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xr:revisionPtr revIDLastSave="0" documentId="13_ncr:1_{41B3E447-DE79-4A3D-97D6-C59ABA736EC9}" xr6:coauthVersionLast="47" xr6:coauthVersionMax="47" xr10:uidLastSave="{00000000-0000-0000-0000-000000000000}"/>
  <workbookProtection workbookAlgorithmName="SHA-512" workbookHashValue="Vb/h63jidLz6AVeY5LrfaYJAeCTYHzZ6vxzwoeWhlE0BRxrCQmVH5ulqix51KROJK/FqjH20+nBpQ6yiXnnEzQ==" workbookSaltValue="zhNXh+c8NCIyma1jyUjaGA==" workbookSpinCount="100000" lockStructure="1"/>
  <bookViews>
    <workbookView xWindow="-108" yWindow="-108" windowWidth="23256" windowHeight="12576" firstSheet="6" activeTab="9" xr2:uid="{C000AD1F-BA91-4AE9-AE44-2AAE40C2124C}"/>
  </bookViews>
  <sheets>
    <sheet name="TITLE PAGE" sheetId="1" r:id="rId1"/>
    <sheet name="1. Base Year Licences" sheetId="3" r:id="rId2"/>
    <sheet name="2. WC Level Data" sheetId="15" r:id="rId3"/>
    <sheet name="BWXBRS" sheetId="27" r:id="rId4"/>
    <sheet name="4. Options Appraisal Summary" sheetId="17" r:id="rId5"/>
    <sheet name="5. Options Benefits" sheetId="18" r:id="rId6"/>
    <sheet name="5a-5c. Cost Profiles" sheetId="26" r:id="rId7"/>
    <sheet name="6. Drought Plan Links" sheetId="19" r:id="rId8"/>
    <sheet name="7. Adaptive Programmes" sheetId="16" r:id="rId9"/>
    <sheet name="8. Business Plan Links " sheetId="22" r:id="rId10"/>
    <sheet name="Option Typs_Grps" sheetId="23" state="veryHidden" r:id="rId11"/>
  </sheets>
  <externalReferences>
    <externalReference r:id="rId12"/>
  </externalReferences>
  <definedNames>
    <definedName name="_xlnm._FilterDatabase" localSheetId="9" hidden="1">'8. Business Plan Links '!$B$6:$U$95</definedName>
    <definedName name="btnTemplate">"Button 1"</definedName>
    <definedName name="rngCompanyWRZ">"$Q$2"</definedName>
    <definedName name="rngOptions">'Option Typs_Grps'!$B$2:$C$47</definedName>
    <definedName name="rngWRZ">'Option Typs_Grps'!$E$2:$J$133</definedName>
    <definedName name="Source_Types">'[1]WRP1a BL Licences'!$C$1021:$C$1024</definedName>
    <definedName name="TBL2d_WCDYAABL">'2. WC Level Data'!$B$55:$CJ$65</definedName>
    <definedName name="TBL2e_WCDYAAFP">'2. WC Level Data'!$B$68:$CJ$80</definedName>
    <definedName name="WRZ_DATA_T3A" localSheetId="3">BWXBRS!$B$22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0" i="15" l="1"/>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I71" i="15"/>
  <c r="AD59" i="15"/>
  <c r="AC59" i="15"/>
  <c r="AB59" i="15"/>
  <c r="AA59" i="15"/>
  <c r="Z59" i="15"/>
  <c r="Y59" i="15"/>
  <c r="X59" i="15"/>
  <c r="W59" i="15"/>
  <c r="V59" i="15"/>
  <c r="U59" i="15"/>
  <c r="T59" i="15"/>
  <c r="S59" i="15"/>
  <c r="R59" i="15"/>
  <c r="Q59" i="15"/>
  <c r="P59" i="15"/>
  <c r="O59" i="15"/>
  <c r="N59" i="15"/>
  <c r="M59" i="15"/>
  <c r="L59" i="15"/>
  <c r="K59" i="15"/>
  <c r="J59" i="15"/>
  <c r="I59" i="15"/>
  <c r="I58" i="15"/>
  <c r="AD57" i="15"/>
  <c r="AC57" i="15"/>
  <c r="AB57" i="15"/>
  <c r="AA57" i="15"/>
  <c r="Z57" i="15"/>
  <c r="Y57" i="15"/>
  <c r="X57" i="15"/>
  <c r="W57" i="15"/>
  <c r="V57" i="15"/>
  <c r="U57" i="15"/>
  <c r="T57" i="15"/>
  <c r="S57" i="15"/>
  <c r="R57" i="15"/>
  <c r="Q57" i="15"/>
  <c r="P57" i="15"/>
  <c r="O57" i="15"/>
  <c r="N57" i="15"/>
  <c r="M57" i="15"/>
  <c r="L57" i="15"/>
  <c r="K57" i="15"/>
  <c r="J57" i="15"/>
  <c r="I57" i="15"/>
  <c r="AD56" i="15"/>
  <c r="AC56" i="15"/>
  <c r="AB56" i="15"/>
  <c r="AA56" i="15"/>
  <c r="Z56" i="15"/>
  <c r="Y56" i="15"/>
  <c r="X56" i="15"/>
  <c r="W56" i="15"/>
  <c r="V56" i="15"/>
  <c r="U56" i="15"/>
  <c r="T56" i="15"/>
  <c r="S56" i="15"/>
  <c r="R56" i="15"/>
  <c r="Q56" i="15"/>
  <c r="P56" i="15"/>
  <c r="O56" i="15"/>
  <c r="N56" i="15"/>
  <c r="M56" i="15"/>
  <c r="L56" i="15"/>
  <c r="K56" i="15"/>
  <c r="J56" i="15"/>
  <c r="I56"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CJ43" i="15"/>
  <c r="CI43" i="15"/>
  <c r="CH43" i="15"/>
  <c r="CG43" i="15"/>
  <c r="CF43" i="15"/>
  <c r="CE43" i="15"/>
  <c r="CD43" i="15"/>
  <c r="CC43" i="15"/>
  <c r="CB43" i="15"/>
  <c r="CA43" i="15"/>
  <c r="BZ43" i="15"/>
  <c r="BY43" i="15"/>
  <c r="BX43" i="15"/>
  <c r="BW43" i="15"/>
  <c r="BV43" i="15"/>
  <c r="BU43" i="15"/>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L269" i="22" l="1"/>
  <c r="L174" i="22"/>
  <c r="L79" i="22"/>
  <c r="L279" i="22" l="1"/>
  <c r="K279" i="22"/>
  <c r="J279" i="22"/>
  <c r="I279" i="22"/>
  <c r="H279" i="22"/>
  <c r="G279" i="22"/>
  <c r="L277" i="22"/>
  <c r="K277" i="22"/>
  <c r="J277" i="22"/>
  <c r="I277" i="22"/>
  <c r="H277" i="22"/>
  <c r="G277" i="22"/>
  <c r="L275" i="22"/>
  <c r="K275" i="22"/>
  <c r="J275" i="22"/>
  <c r="I275" i="22"/>
  <c r="H275" i="22"/>
  <c r="G275" i="22"/>
  <c r="L270" i="22"/>
  <c r="K270" i="22"/>
  <c r="J270" i="22"/>
  <c r="I270" i="22"/>
  <c r="H270" i="22"/>
  <c r="G270" i="22"/>
  <c r="K269" i="22"/>
  <c r="J269" i="22"/>
  <c r="I269" i="22"/>
  <c r="H269" i="22"/>
  <c r="G269" i="22"/>
  <c r="L184" i="22"/>
  <c r="K184" i="22"/>
  <c r="J184" i="22"/>
  <c r="I184" i="22"/>
  <c r="H184" i="22"/>
  <c r="G184" i="22"/>
  <c r="L182" i="22"/>
  <c r="K182" i="22"/>
  <c r="J182" i="22"/>
  <c r="I182" i="22"/>
  <c r="H182" i="22"/>
  <c r="G182" i="22"/>
  <c r="L180" i="22"/>
  <c r="K180" i="22"/>
  <c r="J180" i="22"/>
  <c r="I180" i="22"/>
  <c r="H180" i="22"/>
  <c r="G180" i="22"/>
  <c r="L175" i="22"/>
  <c r="K175" i="22"/>
  <c r="J175" i="22"/>
  <c r="I175" i="22"/>
  <c r="H175" i="22"/>
  <c r="G175" i="22"/>
  <c r="K174" i="22"/>
  <c r="J174" i="22"/>
  <c r="I174" i="22"/>
  <c r="H174" i="22"/>
  <c r="G174" i="22"/>
  <c r="L89" i="22"/>
  <c r="K89" i="22"/>
  <c r="J89" i="22"/>
  <c r="I89" i="22"/>
  <c r="H89" i="22"/>
  <c r="G89" i="22"/>
  <c r="L87" i="22"/>
  <c r="K87" i="22"/>
  <c r="J87" i="22"/>
  <c r="I87" i="22"/>
  <c r="H87" i="22"/>
  <c r="G87" i="22"/>
  <c r="L85" i="22"/>
  <c r="K85" i="22"/>
  <c r="J85" i="22"/>
  <c r="I85" i="22"/>
  <c r="H85" i="22"/>
  <c r="G85" i="22"/>
  <c r="L80" i="22"/>
  <c r="K80" i="22"/>
  <c r="J80" i="22"/>
  <c r="I80" i="22"/>
  <c r="H80" i="22"/>
  <c r="G80" i="22"/>
  <c r="K79" i="22"/>
  <c r="J79" i="22"/>
  <c r="I79" i="22"/>
  <c r="H79" i="22"/>
  <c r="G79" i="22"/>
  <c r="M175" i="22" l="1"/>
  <c r="M270" i="22"/>
  <c r="M80" i="22"/>
  <c r="M118" i="27"/>
  <c r="N175" i="22" l="1"/>
  <c r="N80" i="22"/>
  <c r="N270" i="22"/>
  <c r="N118" i="27"/>
  <c r="O175" i="22" l="1"/>
  <c r="O80" i="22"/>
  <c r="O270" i="22"/>
  <c r="O118" i="27"/>
  <c r="P80" i="22" l="1"/>
  <c r="P175" i="22"/>
  <c r="P270" i="22"/>
  <c r="P118" i="27"/>
  <c r="N269" i="22"/>
  <c r="N79" i="22"/>
  <c r="N174" i="22"/>
  <c r="O269" i="22"/>
  <c r="O174" i="22"/>
  <c r="O79" i="22"/>
  <c r="M269" i="22"/>
  <c r="M79" i="22"/>
  <c r="M174" i="22"/>
  <c r="P174" i="22"/>
  <c r="P269" i="22"/>
  <c r="P79" i="22"/>
  <c r="Q174" i="22"/>
  <c r="R174" i="22" s="1"/>
  <c r="Q269" i="22"/>
  <c r="R269" i="22" s="1"/>
  <c r="Q79" i="22"/>
  <c r="R79" i="22" s="1"/>
  <c r="N277" i="22"/>
  <c r="N87" i="22"/>
  <c r="N182" i="22"/>
  <c r="O275" i="22"/>
  <c r="O85" i="22"/>
  <c r="O180" i="22"/>
  <c r="O87" i="22"/>
  <c r="O182" i="22"/>
  <c r="O277" i="22"/>
  <c r="P275" i="22"/>
  <c r="P85" i="22"/>
  <c r="P180" i="22"/>
  <c r="P87" i="22"/>
  <c r="P277" i="22"/>
  <c r="P182" i="22"/>
  <c r="Q275" i="22"/>
  <c r="R275" i="22" s="1"/>
  <c r="S275" i="22" s="1"/>
  <c r="T275" i="22" s="1"/>
  <c r="U275" i="22" s="1"/>
  <c r="V275" i="22" s="1"/>
  <c r="W275" i="22" s="1"/>
  <c r="X275" i="22" s="1"/>
  <c r="Y275" i="22" s="1"/>
  <c r="Z275" i="22" s="1"/>
  <c r="AA275" i="22" s="1"/>
  <c r="Q85" i="22"/>
  <c r="R85" i="22" s="1"/>
  <c r="S85" i="22" s="1"/>
  <c r="T85" i="22" s="1"/>
  <c r="U85" i="22" s="1"/>
  <c r="V85" i="22" s="1"/>
  <c r="W85" i="22" s="1"/>
  <c r="X85" i="22" s="1"/>
  <c r="Y85" i="22" s="1"/>
  <c r="Z85" i="22" s="1"/>
  <c r="AA85" i="22" s="1"/>
  <c r="Q180" i="22"/>
  <c r="R180" i="22" s="1"/>
  <c r="S180" i="22" s="1"/>
  <c r="T180" i="22" s="1"/>
  <c r="U180" i="22" s="1"/>
  <c r="V180" i="22" s="1"/>
  <c r="W180" i="22" s="1"/>
  <c r="X180" i="22" s="1"/>
  <c r="Y180" i="22" s="1"/>
  <c r="Z180" i="22" s="1"/>
  <c r="AA180" i="22" s="1"/>
  <c r="Q87" i="22"/>
  <c r="R87" i="22" s="1"/>
  <c r="S87" i="22" s="1"/>
  <c r="T87" i="22" s="1"/>
  <c r="U87" i="22" s="1"/>
  <c r="V87" i="22" s="1"/>
  <c r="W87" i="22" s="1"/>
  <c r="X87" i="22" s="1"/>
  <c r="Y87" i="22" s="1"/>
  <c r="Z87" i="22" s="1"/>
  <c r="AA87" i="22" s="1"/>
  <c r="Q182" i="22"/>
  <c r="R182" i="22" s="1"/>
  <c r="S182" i="22" s="1"/>
  <c r="T182" i="22" s="1"/>
  <c r="U182" i="22" s="1"/>
  <c r="V182" i="22" s="1"/>
  <c r="W182" i="22" s="1"/>
  <c r="X182" i="22" s="1"/>
  <c r="Y182" i="22" s="1"/>
  <c r="Z182" i="22" s="1"/>
  <c r="AA182" i="22" s="1"/>
  <c r="Q277" i="22"/>
  <c r="R277" i="22" s="1"/>
  <c r="S277" i="22" s="1"/>
  <c r="T277" i="22" s="1"/>
  <c r="U277" i="22" s="1"/>
  <c r="V277" i="22" s="1"/>
  <c r="W277" i="22" s="1"/>
  <c r="X277" i="22" s="1"/>
  <c r="Y277" i="22" s="1"/>
  <c r="Z277" i="22" s="1"/>
  <c r="AA277" i="22" s="1"/>
  <c r="M89" i="22"/>
  <c r="M184" i="22"/>
  <c r="M279" i="22"/>
  <c r="N184" i="22"/>
  <c r="N279" i="22"/>
  <c r="N89" i="22"/>
  <c r="O184" i="22"/>
  <c r="O279" i="22"/>
  <c r="O89" i="22"/>
  <c r="M180" i="22"/>
  <c r="M275" i="22"/>
  <c r="M85" i="22"/>
  <c r="P184" i="22"/>
  <c r="P279" i="22"/>
  <c r="P89" i="22"/>
  <c r="M87" i="22"/>
  <c r="M277" i="22"/>
  <c r="M182" i="22"/>
  <c r="N180" i="22"/>
  <c r="N275" i="22"/>
  <c r="N85" i="22"/>
  <c r="Q279" i="22"/>
  <c r="R279" i="22" s="1"/>
  <c r="S279" i="22" s="1"/>
  <c r="T279" i="22" s="1"/>
  <c r="U279" i="22" s="1"/>
  <c r="V279" i="22" s="1"/>
  <c r="W279" i="22" s="1"/>
  <c r="X279" i="22" s="1"/>
  <c r="Y279" i="22" s="1"/>
  <c r="Q89" i="22"/>
  <c r="R89" i="22" s="1"/>
  <c r="S89" i="22" s="1"/>
  <c r="T89" i="22" s="1"/>
  <c r="U89" i="22" s="1"/>
  <c r="V89" i="22" s="1"/>
  <c r="W89" i="22" s="1"/>
  <c r="X89" i="22" s="1"/>
  <c r="Y89" i="22" s="1"/>
  <c r="Q184" i="22"/>
  <c r="R184" i="22" s="1"/>
  <c r="S184" i="22" s="1"/>
  <c r="T184" i="22" s="1"/>
  <c r="U184" i="22" s="1"/>
  <c r="V184" i="22" s="1"/>
  <c r="W184" i="22" s="1"/>
  <c r="X184" i="22" s="1"/>
  <c r="Y184" i="22" s="1"/>
  <c r="Q80" i="22" l="1"/>
  <c r="Q175" i="22"/>
  <c r="Q270" i="22"/>
  <c r="Q118" i="27"/>
  <c r="R118" i="27" l="1"/>
  <c r="S118" i="27" l="1"/>
  <c r="T118" i="27" l="1"/>
  <c r="U118" i="27" l="1"/>
  <c r="R270" i="22" l="1"/>
  <c r="R175" i="22"/>
  <c r="R80" i="22"/>
  <c r="V118" i="27"/>
  <c r="W118" i="27" l="1"/>
  <c r="X118" i="27" l="1"/>
  <c r="Y118" i="27" l="1"/>
  <c r="Z118" i="27" l="1"/>
  <c r="AA118" i="27" l="1"/>
  <c r="S270" i="22"/>
  <c r="S175" i="22"/>
  <c r="S80" i="22"/>
  <c r="AB118" i="27" l="1"/>
  <c r="S269" i="22"/>
  <c r="S174" i="22"/>
  <c r="S79" i="22"/>
  <c r="AC118" i="27" l="1"/>
  <c r="AD118" i="27" l="1"/>
  <c r="AE118" i="27" l="1"/>
  <c r="AF118" i="27" l="1"/>
  <c r="T175" i="22"/>
  <c r="T80" i="22"/>
  <c r="T270" i="22"/>
  <c r="AG118" i="27" l="1"/>
  <c r="T79" i="22"/>
  <c r="T174" i="22"/>
  <c r="T269" i="22"/>
  <c r="AH118" i="27" l="1"/>
  <c r="AI118" i="27" l="1"/>
  <c r="AJ118" i="27" l="1"/>
  <c r="AK118" i="27" l="1"/>
  <c r="U80" i="22"/>
  <c r="V80" i="22" s="1"/>
  <c r="W80" i="22" s="1"/>
  <c r="X80" i="22" s="1"/>
  <c r="Y80" i="22" s="1"/>
  <c r="Z80" i="22" s="1"/>
  <c r="AA80" i="22" s="1"/>
  <c r="U270" i="22"/>
  <c r="V270" i="22" s="1"/>
  <c r="W270" i="22" s="1"/>
  <c r="X270" i="22" s="1"/>
  <c r="Y270" i="22" s="1"/>
  <c r="Z270" i="22" s="1"/>
  <c r="AA270" i="22" s="1"/>
  <c r="U175" i="22"/>
  <c r="V175" i="22" s="1"/>
  <c r="W175" i="22" s="1"/>
  <c r="X175" i="22" s="1"/>
  <c r="Y175" i="22" s="1"/>
  <c r="Z175" i="22" s="1"/>
  <c r="AA175" i="22" s="1"/>
  <c r="AL118" i="27" l="1"/>
  <c r="U269" i="22"/>
  <c r="U174" i="22"/>
  <c r="U79" i="22"/>
  <c r="AM118" i="27" l="1"/>
  <c r="AN118" i="27" l="1"/>
  <c r="AO118" i="27" l="1"/>
  <c r="AP118" i="27" l="1"/>
  <c r="AQ118" i="27" l="1"/>
  <c r="V174" i="22"/>
  <c r="V79" i="22"/>
  <c r="V269" i="22"/>
  <c r="AR118" i="27" l="1"/>
  <c r="AS118" i="27" l="1"/>
  <c r="AT118" i="27" l="1"/>
  <c r="AU118" i="27" l="1"/>
  <c r="AV118" i="27" l="1"/>
  <c r="W79" i="22"/>
  <c r="W269" i="22"/>
  <c r="W174" i="22"/>
  <c r="AW118" i="27" l="1"/>
  <c r="AX118" i="27" l="1"/>
  <c r="AY118" i="27" l="1"/>
  <c r="AZ118" i="27" l="1"/>
  <c r="BA118" i="27" l="1"/>
  <c r="BB118" i="27" l="1"/>
  <c r="BC118" i="27" l="1"/>
  <c r="BD118" i="27" l="1"/>
  <c r="BE118" i="27" l="1"/>
  <c r="BF118" i="27" l="1"/>
  <c r="BG118" i="27" l="1"/>
  <c r="BH118" i="27" l="1"/>
  <c r="BI118" i="27" l="1"/>
  <c r="BJ118" i="27" l="1"/>
  <c r="BK118" i="27" l="1"/>
  <c r="BL118" i="27" l="1"/>
  <c r="BM118" i="27" l="1"/>
  <c r="BO118" i="27" l="1"/>
  <c r="BN118" i="27"/>
  <c r="AA26" i="22" l="1"/>
  <c r="Z26" i="22"/>
  <c r="Y26" i="22"/>
  <c r="X26" i="22"/>
  <c r="W26" i="22"/>
  <c r="V26" i="22"/>
  <c r="U26" i="22"/>
  <c r="T26" i="22"/>
  <c r="S26" i="22"/>
  <c r="R26" i="22"/>
  <c r="Q26" i="22"/>
  <c r="P26" i="22"/>
  <c r="O26" i="22"/>
  <c r="N26" i="22"/>
  <c r="M26" i="22"/>
  <c r="L26" i="22"/>
  <c r="K26" i="22"/>
  <c r="J26" i="22"/>
  <c r="I26" i="22"/>
  <c r="H26" i="22"/>
  <c r="G26" i="22"/>
  <c r="AA25" i="22"/>
  <c r="Z25" i="22"/>
  <c r="Y25" i="22"/>
  <c r="X25" i="22"/>
  <c r="W25" i="22"/>
  <c r="V25" i="22"/>
  <c r="U25" i="22"/>
  <c r="T25" i="22"/>
  <c r="S25" i="22"/>
  <c r="R25" i="22"/>
  <c r="Q25" i="22"/>
  <c r="P25" i="22"/>
  <c r="O25" i="22"/>
  <c r="N25" i="22"/>
  <c r="M25" i="22"/>
  <c r="L25" i="22"/>
  <c r="K25" i="22"/>
  <c r="J25" i="22"/>
  <c r="I25" i="22"/>
  <c r="H25" i="22"/>
  <c r="G25" i="22"/>
  <c r="AA23" i="22"/>
  <c r="Z23" i="22"/>
  <c r="Y23" i="22"/>
  <c r="X23" i="22"/>
  <c r="W23" i="22"/>
  <c r="V23" i="22"/>
  <c r="U23" i="22"/>
  <c r="T23" i="22"/>
  <c r="S23" i="22"/>
  <c r="R23" i="22"/>
  <c r="Q23" i="22"/>
  <c r="P23" i="22"/>
  <c r="O23" i="22"/>
  <c r="N23" i="22"/>
  <c r="M23" i="22"/>
  <c r="L23" i="22"/>
  <c r="K23" i="22"/>
  <c r="J23" i="22"/>
  <c r="I23" i="22"/>
  <c r="H23" i="22"/>
  <c r="G23" i="22"/>
  <c r="AA22" i="22"/>
  <c r="Z22" i="22"/>
  <c r="Y22" i="22"/>
  <c r="X22" i="22"/>
  <c r="W22" i="22"/>
  <c r="V22" i="22"/>
  <c r="U22" i="22"/>
  <c r="T22" i="22"/>
  <c r="S22" i="22"/>
  <c r="R22" i="22"/>
  <c r="Q22" i="22"/>
  <c r="P22" i="22"/>
  <c r="O22" i="22"/>
  <c r="N22" i="22"/>
  <c r="M22" i="22"/>
  <c r="L22" i="22"/>
  <c r="K22" i="22"/>
  <c r="J22" i="22"/>
  <c r="I22" i="22"/>
  <c r="H22" i="22"/>
  <c r="G22" i="22"/>
  <c r="AA20" i="22"/>
  <c r="Z20" i="22"/>
  <c r="Y20" i="22"/>
  <c r="X20" i="22"/>
  <c r="W20" i="22"/>
  <c r="V20" i="22"/>
  <c r="L20" i="22"/>
  <c r="K20" i="22"/>
  <c r="J20" i="22"/>
  <c r="I20" i="22"/>
  <c r="H20" i="22"/>
  <c r="G20" i="22"/>
  <c r="AA19" i="22"/>
  <c r="Z19" i="22"/>
  <c r="Y19" i="22"/>
  <c r="X19" i="22"/>
  <c r="W19" i="22"/>
  <c r="V19" i="22"/>
  <c r="U21" i="22"/>
  <c r="T21" i="22"/>
  <c r="S21" i="22"/>
  <c r="R21" i="22"/>
  <c r="Q21" i="22"/>
  <c r="P21" i="22"/>
  <c r="O21" i="22"/>
  <c r="N21" i="22"/>
  <c r="M21" i="22"/>
  <c r="L19" i="22"/>
  <c r="K19" i="22"/>
  <c r="J19" i="22"/>
  <c r="I19" i="22"/>
  <c r="H19" i="22"/>
  <c r="G19" i="22"/>
  <c r="AA17" i="22"/>
  <c r="Z17" i="22"/>
  <c r="Y17" i="22"/>
  <c r="X17" i="22"/>
  <c r="W17" i="22"/>
  <c r="V17" i="22"/>
  <c r="L17" i="22"/>
  <c r="K17" i="22"/>
  <c r="J17" i="22"/>
  <c r="I17" i="22"/>
  <c r="H17" i="22"/>
  <c r="G17" i="22"/>
  <c r="AA16" i="22"/>
  <c r="Z16" i="22"/>
  <c r="Y16" i="22"/>
  <c r="X16" i="22"/>
  <c r="W16" i="22"/>
  <c r="V16" i="22"/>
  <c r="L16" i="22"/>
  <c r="K16" i="22"/>
  <c r="J16" i="22"/>
  <c r="I16" i="22"/>
  <c r="H16" i="22"/>
  <c r="G16" i="22"/>
  <c r="AA14" i="22"/>
  <c r="Z14" i="22"/>
  <c r="Y14" i="22"/>
  <c r="X14" i="22"/>
  <c r="W14" i="22"/>
  <c r="V14" i="22"/>
  <c r="U14" i="22"/>
  <c r="T14" i="22"/>
  <c r="S14" i="22"/>
  <c r="R14" i="22"/>
  <c r="Q14" i="22"/>
  <c r="P14" i="22"/>
  <c r="O14" i="22"/>
  <c r="N14" i="22"/>
  <c r="M14" i="22"/>
  <c r="L14" i="22"/>
  <c r="K14" i="22"/>
  <c r="J14" i="22"/>
  <c r="I14" i="22"/>
  <c r="H14" i="22"/>
  <c r="G14" i="22"/>
  <c r="AA13" i="22"/>
  <c r="Z13" i="22"/>
  <c r="Y13" i="22"/>
  <c r="X13" i="22"/>
  <c r="W13" i="22"/>
  <c r="V13" i="22"/>
  <c r="U13" i="22"/>
  <c r="T13" i="22"/>
  <c r="S13" i="22"/>
  <c r="R13" i="22"/>
  <c r="Q13" i="22"/>
  <c r="P13" i="22"/>
  <c r="O13" i="22"/>
  <c r="N13" i="22"/>
  <c r="M13" i="22"/>
  <c r="L13" i="22"/>
  <c r="K13" i="22"/>
  <c r="J13" i="22"/>
  <c r="I13" i="22"/>
  <c r="H13" i="22"/>
  <c r="G13" i="22"/>
  <c r="AA121" i="22"/>
  <c r="Z121" i="22"/>
  <c r="Y121" i="22"/>
  <c r="X121" i="22"/>
  <c r="W121" i="22"/>
  <c r="V121" i="22"/>
  <c r="U121" i="22"/>
  <c r="T121" i="22"/>
  <c r="S121" i="22"/>
  <c r="R121" i="22"/>
  <c r="Q121" i="22"/>
  <c r="P121" i="22"/>
  <c r="O121" i="22"/>
  <c r="N121" i="22"/>
  <c r="M121" i="22"/>
  <c r="L121" i="22"/>
  <c r="K121" i="22"/>
  <c r="J121" i="22"/>
  <c r="I121" i="22"/>
  <c r="H121" i="22"/>
  <c r="G121" i="22"/>
  <c r="AA120" i="22"/>
  <c r="Z120" i="22"/>
  <c r="Y120" i="22"/>
  <c r="X120" i="22"/>
  <c r="W120" i="22"/>
  <c r="V120" i="22"/>
  <c r="U120" i="22"/>
  <c r="T120" i="22"/>
  <c r="S120" i="22"/>
  <c r="R120" i="22"/>
  <c r="Q120" i="22"/>
  <c r="P120" i="22"/>
  <c r="O120" i="22"/>
  <c r="N120" i="22"/>
  <c r="M120" i="22"/>
  <c r="L120" i="22"/>
  <c r="K120" i="22"/>
  <c r="J120" i="22"/>
  <c r="I120" i="22"/>
  <c r="H120" i="22"/>
  <c r="G120" i="22"/>
  <c r="AA118" i="22"/>
  <c r="Z118" i="22"/>
  <c r="Y118" i="22"/>
  <c r="X118" i="22"/>
  <c r="W118" i="22"/>
  <c r="V118" i="22"/>
  <c r="U118" i="22"/>
  <c r="T118" i="22"/>
  <c r="S118" i="22"/>
  <c r="R118" i="22"/>
  <c r="Q118" i="22"/>
  <c r="P118" i="22"/>
  <c r="O118" i="22"/>
  <c r="N118" i="22"/>
  <c r="M118" i="22"/>
  <c r="L118" i="22"/>
  <c r="K118" i="22"/>
  <c r="J118" i="22"/>
  <c r="I118" i="22"/>
  <c r="H118" i="22"/>
  <c r="G118" i="22"/>
  <c r="AA117" i="22"/>
  <c r="Z117" i="22"/>
  <c r="Y117" i="22"/>
  <c r="X117" i="22"/>
  <c r="W117" i="22"/>
  <c r="V117" i="22"/>
  <c r="U117" i="22"/>
  <c r="T117" i="22"/>
  <c r="S117" i="22"/>
  <c r="R117" i="22"/>
  <c r="Q117" i="22"/>
  <c r="P117" i="22"/>
  <c r="O117" i="22"/>
  <c r="N117" i="22"/>
  <c r="M117" i="22"/>
  <c r="L117" i="22"/>
  <c r="K117" i="22"/>
  <c r="J117" i="22"/>
  <c r="I117" i="22"/>
  <c r="H117" i="22"/>
  <c r="G117" i="22"/>
  <c r="AA115" i="22"/>
  <c r="Z115" i="22"/>
  <c r="Y115" i="22"/>
  <c r="X115" i="22"/>
  <c r="W115" i="22"/>
  <c r="V115" i="22"/>
  <c r="L115" i="22"/>
  <c r="K115" i="22"/>
  <c r="J115" i="22"/>
  <c r="I115" i="22"/>
  <c r="H115" i="22"/>
  <c r="G115" i="22"/>
  <c r="AA114" i="22"/>
  <c r="Z114" i="22"/>
  <c r="Y114" i="22"/>
  <c r="X114" i="22"/>
  <c r="W114" i="22"/>
  <c r="V114" i="22"/>
  <c r="U116" i="22"/>
  <c r="T116" i="22"/>
  <c r="S116" i="22"/>
  <c r="R116" i="22"/>
  <c r="Q116" i="22"/>
  <c r="P116" i="22"/>
  <c r="O116" i="22"/>
  <c r="N116" i="22"/>
  <c r="M116" i="22"/>
  <c r="L114" i="22"/>
  <c r="K114" i="22"/>
  <c r="J114" i="22"/>
  <c r="I114" i="22"/>
  <c r="H114" i="22"/>
  <c r="G114" i="22"/>
  <c r="AA112" i="22"/>
  <c r="Z112" i="22"/>
  <c r="Y112" i="22"/>
  <c r="X112" i="22"/>
  <c r="W112" i="22"/>
  <c r="V112" i="22"/>
  <c r="L112" i="22"/>
  <c r="K112" i="22"/>
  <c r="J112" i="22"/>
  <c r="I112" i="22"/>
  <c r="H112" i="22"/>
  <c r="G112" i="22"/>
  <c r="AA111" i="22"/>
  <c r="Z111" i="22"/>
  <c r="Y111" i="22"/>
  <c r="X111" i="22"/>
  <c r="W111" i="22"/>
  <c r="V111" i="22"/>
  <c r="L111" i="22"/>
  <c r="K111" i="22"/>
  <c r="J111" i="22"/>
  <c r="I111" i="22"/>
  <c r="H111" i="22"/>
  <c r="G111" i="22"/>
  <c r="AA109" i="22"/>
  <c r="Z109" i="22"/>
  <c r="Y109" i="22"/>
  <c r="X109" i="22"/>
  <c r="W109" i="22"/>
  <c r="V109" i="22"/>
  <c r="U109" i="22"/>
  <c r="T109" i="22"/>
  <c r="S109" i="22"/>
  <c r="R109" i="22"/>
  <c r="Q109" i="22"/>
  <c r="P109" i="22"/>
  <c r="O109" i="22"/>
  <c r="N109" i="22"/>
  <c r="M109" i="22"/>
  <c r="L109" i="22"/>
  <c r="K109" i="22"/>
  <c r="J109" i="22"/>
  <c r="I109" i="22"/>
  <c r="H109" i="22"/>
  <c r="G109" i="22"/>
  <c r="AA108" i="22"/>
  <c r="Z108" i="22"/>
  <c r="Y108" i="22"/>
  <c r="X108" i="22"/>
  <c r="W108" i="22"/>
  <c r="V108" i="22"/>
  <c r="U108" i="22"/>
  <c r="T108" i="22"/>
  <c r="S108" i="22"/>
  <c r="R108" i="22"/>
  <c r="Q108" i="22"/>
  <c r="P108" i="22"/>
  <c r="O108" i="22"/>
  <c r="N108" i="22"/>
  <c r="M108" i="22"/>
  <c r="L108" i="22"/>
  <c r="K108" i="22"/>
  <c r="J108" i="22"/>
  <c r="I108" i="22"/>
  <c r="H108" i="22"/>
  <c r="G108" i="22"/>
  <c r="Q122" i="22" l="1"/>
  <c r="Y122" i="22"/>
  <c r="L24" i="22"/>
  <c r="T24" i="22"/>
  <c r="J27" i="22"/>
  <c r="R27" i="22"/>
  <c r="Z27" i="22"/>
  <c r="K110" i="22"/>
  <c r="S110" i="22"/>
  <c r="AA110" i="22"/>
  <c r="X119" i="22"/>
  <c r="T15" i="22"/>
  <c r="I24" i="22"/>
  <c r="Q24" i="22"/>
  <c r="Y24" i="22"/>
  <c r="W18" i="22"/>
  <c r="M15" i="22"/>
  <c r="G18" i="22"/>
  <c r="X18" i="22"/>
  <c r="W21" i="22"/>
  <c r="L110" i="22"/>
  <c r="T110" i="22"/>
  <c r="Y119" i="22"/>
  <c r="U15" i="22"/>
  <c r="G21" i="22"/>
  <c r="N24" i="22"/>
  <c r="L27" i="22"/>
  <c r="T27" i="22"/>
  <c r="X110" i="22"/>
  <c r="Q110" i="22"/>
  <c r="Y110" i="22"/>
  <c r="G116" i="22"/>
  <c r="Y27" i="22"/>
  <c r="H110" i="22"/>
  <c r="M110" i="22"/>
  <c r="H122" i="22"/>
  <c r="P122" i="22"/>
  <c r="I113" i="22"/>
  <c r="Y116" i="22"/>
  <c r="P119" i="22"/>
  <c r="P110" i="22"/>
  <c r="I110" i="22"/>
  <c r="H116" i="22"/>
  <c r="X116" i="22"/>
  <c r="X122" i="22"/>
  <c r="Z113" i="22"/>
  <c r="Q119" i="22"/>
  <c r="R15" i="22"/>
  <c r="Z15" i="22"/>
  <c r="R119" i="22"/>
  <c r="Z119" i="22"/>
  <c r="K119" i="22"/>
  <c r="S119" i="22"/>
  <c r="AA119" i="22"/>
  <c r="J15" i="22"/>
  <c r="I119" i="22"/>
  <c r="J119" i="22"/>
  <c r="G119" i="22"/>
  <c r="O119" i="22"/>
  <c r="W119" i="22"/>
  <c r="L119" i="22"/>
  <c r="T119" i="22"/>
  <c r="V24" i="22"/>
  <c r="I116" i="22"/>
  <c r="I21" i="22"/>
  <c r="Z21" i="22"/>
  <c r="H24" i="22"/>
  <c r="X24" i="22"/>
  <c r="N27" i="22"/>
  <c r="V27" i="22"/>
  <c r="AA113" i="22"/>
  <c r="J116" i="22"/>
  <c r="V116" i="22"/>
  <c r="V21" i="22"/>
  <c r="U110" i="22"/>
  <c r="K113" i="22"/>
  <c r="AA116" i="22"/>
  <c r="W116" i="22"/>
  <c r="J122" i="22"/>
  <c r="R122" i="22"/>
  <c r="Z122" i="22"/>
  <c r="K21" i="22"/>
  <c r="AA21" i="22"/>
  <c r="G27" i="22"/>
  <c r="O27" i="22"/>
  <c r="W27" i="22"/>
  <c r="L15" i="22"/>
  <c r="Z116" i="22"/>
  <c r="I122" i="22"/>
  <c r="P24" i="22"/>
  <c r="H119" i="22"/>
  <c r="K122" i="22"/>
  <c r="S122" i="22"/>
  <c r="AA122" i="22"/>
  <c r="L21" i="22"/>
  <c r="J113" i="22"/>
  <c r="G110" i="22"/>
  <c r="O110" i="22"/>
  <c r="W110" i="22"/>
  <c r="V113" i="22"/>
  <c r="L122" i="22"/>
  <c r="T122" i="22"/>
  <c r="V18" i="22"/>
  <c r="I27" i="22"/>
  <c r="Q27" i="22"/>
  <c r="R110" i="22"/>
  <c r="M119" i="22"/>
  <c r="U122" i="22"/>
  <c r="L116" i="22"/>
  <c r="V119" i="22"/>
  <c r="N122" i="22"/>
  <c r="V122" i="22"/>
  <c r="N15" i="22"/>
  <c r="V15" i="22"/>
  <c r="H18" i="22"/>
  <c r="Y18" i="22"/>
  <c r="L18" i="22"/>
  <c r="J24" i="22"/>
  <c r="R24" i="22"/>
  <c r="Z24" i="22"/>
  <c r="W113" i="22"/>
  <c r="G122" i="22"/>
  <c r="O122" i="22"/>
  <c r="W122" i="22"/>
  <c r="G15" i="22"/>
  <c r="O15" i="22"/>
  <c r="W15" i="22"/>
  <c r="I18" i="22"/>
  <c r="Z18" i="22"/>
  <c r="H21" i="22"/>
  <c r="X21" i="22"/>
  <c r="K24" i="22"/>
  <c r="S24" i="22"/>
  <c r="AA24" i="22"/>
  <c r="K27" i="22"/>
  <c r="S27" i="22"/>
  <c r="AA27" i="22"/>
  <c r="J110" i="22"/>
  <c r="Z110" i="22"/>
  <c r="K116" i="22"/>
  <c r="U119" i="22"/>
  <c r="M122" i="22"/>
  <c r="N119" i="22"/>
  <c r="G113" i="22"/>
  <c r="X113" i="22"/>
  <c r="H15" i="22"/>
  <c r="P15" i="22"/>
  <c r="X15" i="22"/>
  <c r="K15" i="22"/>
  <c r="S15" i="22"/>
  <c r="AA15" i="22"/>
  <c r="J18" i="22"/>
  <c r="AA18" i="22"/>
  <c r="Y21" i="22"/>
  <c r="G24" i="22"/>
  <c r="O24" i="22"/>
  <c r="W24" i="22"/>
  <c r="N110" i="22"/>
  <c r="V110" i="22"/>
  <c r="H113" i="22"/>
  <c r="Y113" i="22"/>
  <c r="L113" i="22"/>
  <c r="I15" i="22"/>
  <c r="Q15" i="22"/>
  <c r="Y15" i="22"/>
  <c r="K18" i="22"/>
  <c r="J21" i="22"/>
  <c r="M24" i="22"/>
  <c r="U24" i="22"/>
  <c r="M27" i="22"/>
  <c r="U27" i="22"/>
  <c r="H27" i="22"/>
  <c r="P27" i="22"/>
  <c r="X27" i="22"/>
  <c r="Y123" i="22"/>
  <c r="H28" i="22" l="1"/>
  <c r="J123" i="22"/>
  <c r="H123" i="22"/>
  <c r="G123" i="22"/>
  <c r="X123" i="22"/>
  <c r="G28" i="22"/>
  <c r="K123" i="22"/>
  <c r="Z28" i="22"/>
  <c r="I123" i="22"/>
  <c r="L28" i="22"/>
  <c r="W123" i="22"/>
  <c r="V28" i="22"/>
  <c r="W28" i="22"/>
  <c r="Y28" i="22"/>
  <c r="L123" i="22"/>
  <c r="AA123" i="22"/>
  <c r="I28" i="22"/>
  <c r="Z123" i="22"/>
  <c r="K28" i="22"/>
  <c r="X28" i="22"/>
  <c r="AA28" i="22"/>
  <c r="J28" i="22"/>
  <c r="V123" i="22"/>
  <c r="M18" i="22" l="1"/>
  <c r="M28" i="22" s="1"/>
  <c r="M113" i="22"/>
  <c r="M123" i="22" s="1"/>
  <c r="N18" i="22" l="1"/>
  <c r="N28" i="22" s="1"/>
  <c r="N113" i="22"/>
  <c r="N123" i="22" s="1"/>
  <c r="O18" i="22" l="1"/>
  <c r="O28" i="22" s="1"/>
  <c r="O113" i="22"/>
  <c r="O123" i="22" s="1"/>
  <c r="P18" i="22" l="1"/>
  <c r="P28" i="22" s="1"/>
  <c r="P113" i="22"/>
  <c r="P123" i="22" s="1"/>
  <c r="Q18" i="22" l="1"/>
  <c r="Q28" i="22" s="1"/>
  <c r="Q113" i="22"/>
  <c r="Q123" i="22" s="1"/>
  <c r="R18" i="22" l="1"/>
  <c r="R28" i="22" s="1"/>
  <c r="R113" i="22" l="1"/>
  <c r="R123" i="22" s="1"/>
  <c r="S113" i="22" l="1"/>
  <c r="S123" i="22" s="1"/>
  <c r="S18" i="22"/>
  <c r="S28" i="22" s="1"/>
  <c r="T18" i="22" l="1"/>
  <c r="T28" i="22" s="1"/>
  <c r="T113" i="22"/>
  <c r="T123" i="22" s="1"/>
  <c r="U113" i="22" l="1"/>
  <c r="U123" i="22" s="1"/>
  <c r="U18" i="22"/>
  <c r="U28" i="22" s="1"/>
  <c r="Z279" i="22" l="1"/>
  <c r="AA279" i="22" s="1"/>
  <c r="X269" i="22"/>
  <c r="Y269" i="22" s="1"/>
  <c r="Z269" i="22" s="1"/>
  <c r="AA269" i="22" s="1"/>
  <c r="Z184" i="22"/>
  <c r="AA184" i="22" s="1"/>
  <c r="X174" i="22"/>
  <c r="Y174" i="22" s="1"/>
  <c r="Z174" i="22" s="1"/>
  <c r="AA174" i="22" s="1"/>
  <c r="Z89" i="22"/>
  <c r="AA89" i="22" s="1"/>
  <c r="X79" i="22"/>
  <c r="Y79" i="22" s="1"/>
  <c r="Z79" i="22" s="1"/>
  <c r="AA79" i="22" s="1"/>
  <c r="AA216" i="22"/>
  <c r="Z216" i="22"/>
  <c r="Y216" i="22"/>
  <c r="X216" i="22"/>
  <c r="W216" i="22"/>
  <c r="V216" i="22"/>
  <c r="U216" i="22"/>
  <c r="T216" i="22"/>
  <c r="S216" i="22"/>
  <c r="R216" i="22"/>
  <c r="Q216" i="22"/>
  <c r="P216" i="22"/>
  <c r="O216" i="22"/>
  <c r="N216" i="22"/>
  <c r="M216" i="22"/>
  <c r="L216" i="22"/>
  <c r="K216" i="22"/>
  <c r="J216" i="22"/>
  <c r="I216" i="22"/>
  <c r="H216" i="22"/>
  <c r="G216" i="22"/>
  <c r="AA215" i="22"/>
  <c r="Z215" i="22"/>
  <c r="Y215" i="22"/>
  <c r="X215" i="22"/>
  <c r="W215" i="22"/>
  <c r="V215" i="22"/>
  <c r="U215" i="22"/>
  <c r="T215" i="22"/>
  <c r="S215" i="22"/>
  <c r="R215" i="22"/>
  <c r="Q215" i="22"/>
  <c r="P215" i="22"/>
  <c r="O215" i="22"/>
  <c r="N215" i="22"/>
  <c r="M215" i="22"/>
  <c r="L215" i="22"/>
  <c r="K215" i="22"/>
  <c r="J215" i="22"/>
  <c r="I215" i="22"/>
  <c r="H215" i="22"/>
  <c r="G215" i="22"/>
  <c r="AA213" i="22"/>
  <c r="Z213" i="22"/>
  <c r="Y213" i="22"/>
  <c r="X213" i="22"/>
  <c r="W213" i="22"/>
  <c r="V213" i="22"/>
  <c r="U213" i="22"/>
  <c r="T213" i="22"/>
  <c r="S213" i="22"/>
  <c r="R213" i="22"/>
  <c r="Q213" i="22"/>
  <c r="P213" i="22"/>
  <c r="O213" i="22"/>
  <c r="N213" i="22"/>
  <c r="M213" i="22"/>
  <c r="L213" i="22"/>
  <c r="K213" i="22"/>
  <c r="J213" i="22"/>
  <c r="I213" i="22"/>
  <c r="H213" i="22"/>
  <c r="G213" i="22"/>
  <c r="AA212" i="22"/>
  <c r="Z212" i="22"/>
  <c r="Y212" i="22"/>
  <c r="X212" i="22"/>
  <c r="W212" i="22"/>
  <c r="V212" i="22"/>
  <c r="U212" i="22"/>
  <c r="T212" i="22"/>
  <c r="S212" i="22"/>
  <c r="R212" i="22"/>
  <c r="Q212" i="22"/>
  <c r="P212" i="22"/>
  <c r="O212" i="22"/>
  <c r="N212" i="22"/>
  <c r="M212" i="22"/>
  <c r="L212" i="22"/>
  <c r="K212" i="22"/>
  <c r="J212" i="22"/>
  <c r="I212" i="22"/>
  <c r="H212" i="22"/>
  <c r="G212" i="22"/>
  <c r="AA210" i="22"/>
  <c r="Z210" i="22"/>
  <c r="Y210" i="22"/>
  <c r="X210" i="22"/>
  <c r="W210" i="22"/>
  <c r="V210" i="22"/>
  <c r="P211" i="22"/>
  <c r="L210" i="22"/>
  <c r="K210" i="22"/>
  <c r="J210" i="22"/>
  <c r="I210" i="22"/>
  <c r="H210" i="22"/>
  <c r="G210" i="22"/>
  <c r="AA209" i="22"/>
  <c r="Z209" i="22"/>
  <c r="Y209" i="22"/>
  <c r="X209" i="22"/>
  <c r="W209" i="22"/>
  <c r="V209" i="22"/>
  <c r="U211" i="22"/>
  <c r="S211" i="22"/>
  <c r="R211" i="22"/>
  <c r="Q211" i="22"/>
  <c r="M211" i="22"/>
  <c r="L209" i="22"/>
  <c r="K209" i="22"/>
  <c r="J209" i="22"/>
  <c r="I209" i="22"/>
  <c r="H209" i="22"/>
  <c r="G209" i="22"/>
  <c r="AA207" i="22"/>
  <c r="Z207" i="22"/>
  <c r="Y207" i="22"/>
  <c r="X207" i="22"/>
  <c r="W207" i="22"/>
  <c r="V207" i="22"/>
  <c r="N208" i="22"/>
  <c r="L207" i="22"/>
  <c r="K207" i="22"/>
  <c r="J207" i="22"/>
  <c r="I207" i="22"/>
  <c r="H207" i="22"/>
  <c r="G207" i="22"/>
  <c r="AA206" i="22"/>
  <c r="Z206" i="22"/>
  <c r="Y206" i="22"/>
  <c r="X206" i="22"/>
  <c r="W206" i="22"/>
  <c r="V206" i="22"/>
  <c r="R208" i="22"/>
  <c r="Q208" i="22"/>
  <c r="P208" i="22"/>
  <c r="L206" i="22"/>
  <c r="K206" i="22"/>
  <c r="J206" i="22"/>
  <c r="I206" i="22"/>
  <c r="H206" i="22"/>
  <c r="G206" i="22"/>
  <c r="AA204" i="22"/>
  <c r="Z204" i="22"/>
  <c r="Y204" i="22"/>
  <c r="X204" i="22"/>
  <c r="W204" i="22"/>
  <c r="V204" i="22"/>
  <c r="U204" i="22"/>
  <c r="T204" i="22"/>
  <c r="S204" i="22"/>
  <c r="R204" i="22"/>
  <c r="Q204" i="22"/>
  <c r="P204" i="22"/>
  <c r="O204" i="22"/>
  <c r="N204" i="22"/>
  <c r="M204" i="22"/>
  <c r="L204" i="22"/>
  <c r="K204" i="22"/>
  <c r="J204" i="22"/>
  <c r="I204" i="22"/>
  <c r="H204" i="22"/>
  <c r="G204" i="22"/>
  <c r="AA203" i="22"/>
  <c r="Z203" i="22"/>
  <c r="Y203" i="22"/>
  <c r="X203" i="22"/>
  <c r="W203" i="22"/>
  <c r="V203" i="22"/>
  <c r="U203" i="22"/>
  <c r="T203" i="22"/>
  <c r="S203" i="22"/>
  <c r="R203" i="22"/>
  <c r="Q203" i="22"/>
  <c r="P203" i="22"/>
  <c r="O203" i="22"/>
  <c r="N203" i="22"/>
  <c r="M203" i="22"/>
  <c r="L203" i="22"/>
  <c r="K203" i="22"/>
  <c r="J203" i="22"/>
  <c r="I203" i="22"/>
  <c r="H203" i="22"/>
  <c r="G203" i="22"/>
  <c r="L199" i="22"/>
  <c r="K199" i="22"/>
  <c r="J199" i="22"/>
  <c r="I199" i="22"/>
  <c r="H199" i="22"/>
  <c r="G199" i="22"/>
  <c r="L104" i="22"/>
  <c r="K104" i="22"/>
  <c r="J104" i="22"/>
  <c r="I104" i="22"/>
  <c r="H104" i="22"/>
  <c r="G104" i="22"/>
  <c r="L9" i="22"/>
  <c r="K9" i="22"/>
  <c r="J9" i="22"/>
  <c r="I9" i="22"/>
  <c r="H9" i="22"/>
  <c r="G9" i="22"/>
  <c r="G168" i="22" l="1"/>
  <c r="L168" i="22"/>
  <c r="G31" i="16" s="1"/>
  <c r="R205" i="22"/>
  <c r="Z205" i="22"/>
  <c r="AA214" i="22"/>
  <c r="K73" i="22"/>
  <c r="I73" i="22"/>
  <c r="H73" i="22"/>
  <c r="L211" i="22"/>
  <c r="R214" i="22"/>
  <c r="Z214" i="22"/>
  <c r="N205" i="22"/>
  <c r="V205" i="22"/>
  <c r="I208" i="22"/>
  <c r="R272" i="22"/>
  <c r="G217" i="22"/>
  <c r="O217" i="22"/>
  <c r="W217" i="22"/>
  <c r="L208" i="22"/>
  <c r="L72" i="22"/>
  <c r="G73" i="22"/>
  <c r="G167" i="22"/>
  <c r="G169" i="22" s="1"/>
  <c r="J168" i="22"/>
  <c r="R177" i="22"/>
  <c r="K211" i="22"/>
  <c r="L272" i="22"/>
  <c r="N82" i="22"/>
  <c r="V82" i="22"/>
  <c r="H168" i="22"/>
  <c r="O205" i="22"/>
  <c r="W205" i="22"/>
  <c r="H208" i="22"/>
  <c r="I168" i="22"/>
  <c r="Z211" i="22"/>
  <c r="M217" i="22"/>
  <c r="U217" i="22"/>
  <c r="Z208" i="22"/>
  <c r="L214" i="22"/>
  <c r="N217" i="22"/>
  <c r="V217" i="22"/>
  <c r="I217" i="22"/>
  <c r="Q217" i="22"/>
  <c r="Y217" i="22"/>
  <c r="H167" i="22"/>
  <c r="V208" i="22"/>
  <c r="I72" i="22"/>
  <c r="I74" i="22" s="1"/>
  <c r="I167" i="22"/>
  <c r="H205" i="22"/>
  <c r="P205" i="22"/>
  <c r="I211" i="22"/>
  <c r="H211" i="22"/>
  <c r="X211" i="22"/>
  <c r="K217" i="22"/>
  <c r="AA217" i="22"/>
  <c r="K82" i="22"/>
  <c r="S82" i="22"/>
  <c r="AA82" i="22"/>
  <c r="M205" i="22"/>
  <c r="U205" i="22"/>
  <c r="G208" i="22"/>
  <c r="W208" i="22"/>
  <c r="J217" i="22"/>
  <c r="R217" i="22"/>
  <c r="Z217" i="22"/>
  <c r="S205" i="22"/>
  <c r="AA205" i="22"/>
  <c r="K214" i="22"/>
  <c r="S214" i="22"/>
  <c r="J167" i="22"/>
  <c r="J211" i="22"/>
  <c r="T214" i="22"/>
  <c r="X205" i="22"/>
  <c r="K168" i="22"/>
  <c r="J208" i="22"/>
  <c r="X208" i="22"/>
  <c r="S217" i="22"/>
  <c r="G205" i="22"/>
  <c r="Y208" i="22"/>
  <c r="Y211" i="22"/>
  <c r="J214" i="22"/>
  <c r="L217" i="22"/>
  <c r="T217" i="22"/>
  <c r="Q82" i="22"/>
  <c r="T82" i="22"/>
  <c r="Y82" i="22"/>
  <c r="K177" i="22"/>
  <c r="L82" i="22"/>
  <c r="W82" i="22"/>
  <c r="I82" i="22"/>
  <c r="K208" i="22"/>
  <c r="AA208" i="22"/>
  <c r="H217" i="22"/>
  <c r="P217" i="22"/>
  <c r="X217" i="22"/>
  <c r="M177" i="22"/>
  <c r="G82" i="22"/>
  <c r="J82" i="22"/>
  <c r="J272" i="22"/>
  <c r="M272" i="22"/>
  <c r="H272" i="22"/>
  <c r="P272" i="22"/>
  <c r="Q73" i="22"/>
  <c r="L167" i="22"/>
  <c r="G30" i="16" s="1"/>
  <c r="K272" i="22"/>
  <c r="K167" i="22"/>
  <c r="M72" i="22"/>
  <c r="U72" i="22"/>
  <c r="K263" i="22"/>
  <c r="AA211" i="22"/>
  <c r="M214" i="22"/>
  <c r="U214" i="22"/>
  <c r="H214" i="22"/>
  <c r="P214" i="22"/>
  <c r="X214" i="22"/>
  <c r="H72" i="22"/>
  <c r="I262" i="22"/>
  <c r="Q205" i="22"/>
  <c r="Y205" i="22"/>
  <c r="L263" i="22"/>
  <c r="G211" i="22"/>
  <c r="W211" i="22"/>
  <c r="N214" i="22"/>
  <c r="V214" i="22"/>
  <c r="Q214" i="22"/>
  <c r="Y214" i="22"/>
  <c r="O82" i="22"/>
  <c r="J177" i="22"/>
  <c r="N272" i="22"/>
  <c r="G272" i="22"/>
  <c r="O272" i="22"/>
  <c r="R82" i="22"/>
  <c r="Z82" i="22"/>
  <c r="M82" i="22"/>
  <c r="U82" i="22"/>
  <c r="H82" i="22"/>
  <c r="P82" i="22"/>
  <c r="X82" i="22"/>
  <c r="I272" i="22"/>
  <c r="Q272" i="22"/>
  <c r="H177" i="22"/>
  <c r="P177" i="22"/>
  <c r="N177" i="22"/>
  <c r="I177" i="22"/>
  <c r="Q177" i="22"/>
  <c r="L177" i="22"/>
  <c r="G177" i="22"/>
  <c r="O177" i="22"/>
  <c r="T211" i="22"/>
  <c r="O211" i="22"/>
  <c r="S208" i="22"/>
  <c r="T208" i="22"/>
  <c r="O208" i="22"/>
  <c r="J262" i="22"/>
  <c r="J205" i="22"/>
  <c r="R218" i="22"/>
  <c r="K262" i="22"/>
  <c r="K205" i="22"/>
  <c r="I205" i="22"/>
  <c r="L262" i="22"/>
  <c r="L205" i="22"/>
  <c r="T205" i="22"/>
  <c r="N211" i="22"/>
  <c r="V211" i="22"/>
  <c r="I214" i="22"/>
  <c r="I263" i="22"/>
  <c r="O263" i="22"/>
  <c r="G263" i="22"/>
  <c r="H262" i="22"/>
  <c r="M208" i="22"/>
  <c r="U208" i="22"/>
  <c r="G214" i="22"/>
  <c r="O214" i="22"/>
  <c r="W214" i="22"/>
  <c r="J263" i="22"/>
  <c r="H263" i="22"/>
  <c r="G262" i="22"/>
  <c r="G72" i="22"/>
  <c r="G74" i="22" s="1"/>
  <c r="J73" i="22"/>
  <c r="L73" i="22"/>
  <c r="J72" i="22"/>
  <c r="K72" i="22"/>
  <c r="S73" i="22" l="1"/>
  <c r="W72" i="22"/>
  <c r="X102" i="22"/>
  <c r="X104" i="22" s="1"/>
  <c r="W73" i="22"/>
  <c r="W74" i="22" s="1"/>
  <c r="J169" i="22"/>
  <c r="M218" i="22"/>
  <c r="K74" i="22"/>
  <c r="J218" i="22"/>
  <c r="L74" i="22"/>
  <c r="U102" i="22"/>
  <c r="U104" i="22" s="1"/>
  <c r="H74" i="22"/>
  <c r="Z218" i="22"/>
  <c r="Q102" i="22"/>
  <c r="Q104" i="22" s="1"/>
  <c r="Q218" i="22"/>
  <c r="H169" i="22"/>
  <c r="N102" i="22"/>
  <c r="N104" i="22" s="1"/>
  <c r="V197" i="22"/>
  <c r="V199" i="22" s="1"/>
  <c r="R263" i="22"/>
  <c r="V73" i="22"/>
  <c r="AA263" i="22"/>
  <c r="Z168" i="22"/>
  <c r="U31" i="16" s="1"/>
  <c r="T167" i="22"/>
  <c r="O30" i="16" s="1"/>
  <c r="S262" i="22"/>
  <c r="R168" i="22"/>
  <c r="M31" i="16" s="1"/>
  <c r="O7" i="22"/>
  <c r="O9" i="22" s="1"/>
  <c r="T73" i="22"/>
  <c r="V263" i="22"/>
  <c r="Q168" i="22"/>
  <c r="L31" i="16" s="1"/>
  <c r="N263" i="22"/>
  <c r="I264" i="22"/>
  <c r="K218" i="22"/>
  <c r="Y218" i="22"/>
  <c r="V168" i="22"/>
  <c r="Q31" i="16" s="1"/>
  <c r="T7" i="22"/>
  <c r="T9" i="22" s="1"/>
  <c r="I169" i="22"/>
  <c r="N73" i="22"/>
  <c r="P197" i="22"/>
  <c r="P199" i="22" s="1"/>
  <c r="T263" i="22"/>
  <c r="S177" i="22"/>
  <c r="L169" i="22"/>
  <c r="G32" i="16" s="1"/>
  <c r="M7" i="22"/>
  <c r="M9" i="22" s="1"/>
  <c r="AA218" i="22"/>
  <c r="T272" i="22"/>
  <c r="W263" i="22"/>
  <c r="T102" i="22"/>
  <c r="T104" i="22" s="1"/>
  <c r="P218" i="22"/>
  <c r="K169" i="22"/>
  <c r="S272" i="22"/>
  <c r="V218" i="22"/>
  <c r="Z102" i="22"/>
  <c r="Z104" i="22" s="1"/>
  <c r="K264" i="22"/>
  <c r="AA168" i="22"/>
  <c r="V31" i="16" s="1"/>
  <c r="V102" i="22"/>
  <c r="V104" i="22" s="1"/>
  <c r="S218" i="22"/>
  <c r="P7" i="22"/>
  <c r="P9" i="22" s="1"/>
  <c r="U197" i="22"/>
  <c r="U199" i="22" s="1"/>
  <c r="X197" i="22"/>
  <c r="X199" i="22" s="1"/>
  <c r="Y73" i="22"/>
  <c r="O197" i="22"/>
  <c r="O199" i="22" s="1"/>
  <c r="X262" i="22"/>
  <c r="U168" i="22"/>
  <c r="P31" i="16" s="1"/>
  <c r="Y263" i="22"/>
  <c r="N168" i="22"/>
  <c r="I31" i="16" s="1"/>
  <c r="M168" i="22"/>
  <c r="H31" i="16" s="1"/>
  <c r="Z197" i="22"/>
  <c r="Z199" i="22" s="1"/>
  <c r="Y102" i="22"/>
  <c r="Y104" i="22" s="1"/>
  <c r="R72" i="22"/>
  <c r="W218" i="22"/>
  <c r="W7" i="22"/>
  <c r="W9" i="22" s="1"/>
  <c r="N167" i="22"/>
  <c r="I30" i="16" s="1"/>
  <c r="Q167" i="22"/>
  <c r="L30" i="16" s="1"/>
  <c r="R167" i="22"/>
  <c r="M30" i="16" s="1"/>
  <c r="P72" i="22"/>
  <c r="AA262" i="22"/>
  <c r="Z263" i="22"/>
  <c r="W167" i="22"/>
  <c r="R30" i="16" s="1"/>
  <c r="AA73" i="22"/>
  <c r="T262" i="22"/>
  <c r="Y168" i="22"/>
  <c r="T31" i="16" s="1"/>
  <c r="O73" i="22"/>
  <c r="O72" i="22"/>
  <c r="M73" i="22"/>
  <c r="M74" i="22" s="1"/>
  <c r="X168" i="22"/>
  <c r="S31" i="16" s="1"/>
  <c r="S263" i="22"/>
  <c r="V167" i="22"/>
  <c r="Q30" i="16" s="1"/>
  <c r="Z72" i="22"/>
  <c r="R7" i="22"/>
  <c r="R9" i="22" s="1"/>
  <c r="M197" i="22"/>
  <c r="M199" i="22" s="1"/>
  <c r="R197" i="22"/>
  <c r="R199" i="22" s="1"/>
  <c r="X73" i="22"/>
  <c r="R102" i="22"/>
  <c r="R104" i="22" s="1"/>
  <c r="T197" i="22"/>
  <c r="T199" i="22" s="1"/>
  <c r="M102" i="22"/>
  <c r="M104" i="22" s="1"/>
  <c r="Q263" i="22"/>
  <c r="P102" i="22"/>
  <c r="P104" i="22" s="1"/>
  <c r="Z262" i="22"/>
  <c r="O262" i="22"/>
  <c r="O264" i="22" s="1"/>
  <c r="W197" i="22"/>
  <c r="W199" i="22" s="1"/>
  <c r="U73" i="22"/>
  <c r="U74" i="22" s="1"/>
  <c r="L218" i="22"/>
  <c r="AA197" i="22"/>
  <c r="AA199" i="22" s="1"/>
  <c r="Y197" i="22"/>
  <c r="Y199" i="22" s="1"/>
  <c r="S7" i="22"/>
  <c r="S9" i="22" s="1"/>
  <c r="P73" i="22"/>
  <c r="S167" i="22"/>
  <c r="N30" i="16" s="1"/>
  <c r="L264" i="22"/>
  <c r="Z7" i="22"/>
  <c r="Z9" i="22" s="1"/>
  <c r="Q197" i="22"/>
  <c r="Q199" i="22" s="1"/>
  <c r="H218" i="22"/>
  <c r="X7" i="22"/>
  <c r="X9" i="22" s="1"/>
  <c r="W168" i="22"/>
  <c r="R31" i="16" s="1"/>
  <c r="R73" i="22"/>
  <c r="X167" i="22"/>
  <c r="S30" i="16" s="1"/>
  <c r="P168" i="22"/>
  <c r="K31" i="16" s="1"/>
  <c r="T72" i="22"/>
  <c r="U262" i="22"/>
  <c r="AA167" i="22"/>
  <c r="V30" i="16" s="1"/>
  <c r="N7" i="22"/>
  <c r="N9" i="22" s="1"/>
  <c r="G218" i="22"/>
  <c r="Y7" i="22"/>
  <c r="Y9" i="22" s="1"/>
  <c r="W262" i="22"/>
  <c r="Y167" i="22"/>
  <c r="T30" i="16" s="1"/>
  <c r="J264" i="22"/>
  <c r="S168" i="22"/>
  <c r="N31" i="16" s="1"/>
  <c r="U263" i="22"/>
  <c r="I218" i="22"/>
  <c r="P263" i="22"/>
  <c r="N197" i="22"/>
  <c r="N199" i="22" s="1"/>
  <c r="U7" i="22"/>
  <c r="U9" i="22" s="1"/>
  <c r="X218" i="22"/>
  <c r="O168" i="22"/>
  <c r="J31" i="16" s="1"/>
  <c r="Q7" i="22"/>
  <c r="Q9" i="22" s="1"/>
  <c r="M262" i="22"/>
  <c r="AA7" i="22"/>
  <c r="AA9" i="22" s="1"/>
  <c r="S102" i="22"/>
  <c r="S104" i="22" s="1"/>
  <c r="Z73" i="22"/>
  <c r="N218" i="22"/>
  <c r="O218" i="22"/>
  <c r="V7" i="22"/>
  <c r="V9" i="22" s="1"/>
  <c r="S197" i="22"/>
  <c r="S199" i="22" s="1"/>
  <c r="W102" i="22"/>
  <c r="W104" i="22" s="1"/>
  <c r="X72" i="22"/>
  <c r="Z167" i="22"/>
  <c r="U218" i="22"/>
  <c r="O102" i="22"/>
  <c r="O104" i="22" s="1"/>
  <c r="T168" i="22"/>
  <c r="O31" i="16" s="1"/>
  <c r="AA102" i="22"/>
  <c r="AA104" i="22" s="1"/>
  <c r="X263" i="22"/>
  <c r="J74" i="22"/>
  <c r="T218" i="22"/>
  <c r="S72" i="22"/>
  <c r="S74" i="22" s="1"/>
  <c r="P167" i="22"/>
  <c r="M167" i="22"/>
  <c r="Q262" i="22"/>
  <c r="M263" i="22"/>
  <c r="R262" i="22"/>
  <c r="P262" i="22"/>
  <c r="AA72" i="22"/>
  <c r="O167" i="22"/>
  <c r="U167" i="22"/>
  <c r="V262" i="22"/>
  <c r="H264" i="22"/>
  <c r="Y262" i="22"/>
  <c r="N262" i="22"/>
  <c r="G264" i="22"/>
  <c r="V72" i="22"/>
  <c r="N72" i="22"/>
  <c r="Y72" i="22"/>
  <c r="Q72" i="22"/>
  <c r="Q74" i="22" s="1"/>
  <c r="V74" i="22" l="1"/>
  <c r="S264" i="22"/>
  <c r="R264" i="22"/>
  <c r="N74" i="22"/>
  <c r="T74" i="22"/>
  <c r="N264" i="22"/>
  <c r="AA74" i="22"/>
  <c r="AA264" i="22"/>
  <c r="V264" i="22"/>
  <c r="Y264" i="22"/>
  <c r="W264" i="22"/>
  <c r="T264" i="22"/>
  <c r="Q264" i="22"/>
  <c r="X264" i="22"/>
  <c r="X74" i="22"/>
  <c r="P74" i="22"/>
  <c r="U272" i="22"/>
  <c r="V272" i="22"/>
  <c r="Y74" i="22"/>
  <c r="O74" i="22"/>
  <c r="T177" i="22"/>
  <c r="R74" i="22"/>
  <c r="N169" i="22"/>
  <c r="I32" i="16" s="1"/>
  <c r="Q169" i="22"/>
  <c r="L32" i="16" s="1"/>
  <c r="Z74" i="22"/>
  <c r="Z264" i="22"/>
  <c r="V169" i="22"/>
  <c r="Q32" i="16" s="1"/>
  <c r="U264" i="22"/>
  <c r="R169" i="22"/>
  <c r="M32" i="16" s="1"/>
  <c r="W169" i="22"/>
  <c r="R32" i="16" s="1"/>
  <c r="AA169" i="22"/>
  <c r="V32" i="16" s="1"/>
  <c r="Y169" i="22"/>
  <c r="T32" i="16" s="1"/>
  <c r="X169" i="22"/>
  <c r="S32" i="16" s="1"/>
  <c r="P264" i="22"/>
  <c r="S169" i="22"/>
  <c r="N32" i="16" s="1"/>
  <c r="T169" i="22"/>
  <c r="O32" i="16" s="1"/>
  <c r="M264" i="22"/>
  <c r="Z169" i="22"/>
  <c r="U32" i="16" s="1"/>
  <c r="U30" i="16"/>
  <c r="U169" i="22"/>
  <c r="P32" i="16" s="1"/>
  <c r="P30" i="16"/>
  <c r="P169" i="22"/>
  <c r="K32" i="16" s="1"/>
  <c r="K30" i="16"/>
  <c r="M169" i="22"/>
  <c r="H32" i="16" s="1"/>
  <c r="H30" i="16"/>
  <c r="O169" i="22"/>
  <c r="J32" i="16" s="1"/>
  <c r="J30" i="16"/>
  <c r="AG58" i="17"/>
  <c r="AG57" i="17"/>
  <c r="AG56" i="17"/>
  <c r="AG55" i="17"/>
  <c r="AG54" i="17"/>
  <c r="AG53" i="17"/>
  <c r="AG52" i="17"/>
  <c r="AG51" i="17"/>
  <c r="AG49" i="17"/>
  <c r="AG48" i="17"/>
  <c r="AG47" i="17"/>
  <c r="AG46" i="17"/>
  <c r="AG41" i="17"/>
  <c r="AG40" i="17"/>
  <c r="W272" i="22" l="1"/>
  <c r="U177" i="22"/>
  <c r="AG62" i="17"/>
  <c r="V177" i="22" l="1"/>
  <c r="X272" i="22"/>
  <c r="F41" i="18"/>
  <c r="Y272" i="22" l="1"/>
  <c r="W177" i="22"/>
  <c r="X177" i="22" l="1"/>
  <c r="AA272" i="22"/>
  <c r="Z272" i="22"/>
  <c r="Y177" i="22" l="1"/>
  <c r="F40" i="18"/>
  <c r="F29" i="18"/>
  <c r="F28" i="18"/>
  <c r="F17" i="18"/>
  <c r="F16" i="18"/>
  <c r="Z177" i="22" l="1"/>
  <c r="AA177" i="22"/>
  <c r="W107" i="27"/>
  <c r="O107" i="27"/>
  <c r="N107" i="27"/>
  <c r="Q107" i="27"/>
  <c r="T107" i="27"/>
  <c r="V107" i="27"/>
  <c r="R107" i="27"/>
  <c r="Y107" i="27"/>
  <c r="Z107" i="27"/>
  <c r="U107" i="27"/>
  <c r="X107" i="27"/>
  <c r="S107" i="27"/>
  <c r="AA107" i="27"/>
  <c r="P107" i="27"/>
  <c r="M107" i="27"/>
  <c r="AB107" i="27" l="1"/>
  <c r="AC107" i="27" l="1"/>
  <c r="AD107" i="27" l="1"/>
  <c r="AE107" i="27" l="1"/>
  <c r="AF107" i="27" l="1"/>
  <c r="AG107" i="27" l="1"/>
  <c r="AH107" i="27" l="1"/>
  <c r="AI107" i="27" l="1"/>
  <c r="AJ107" i="27" l="1"/>
  <c r="AK107" i="27" l="1"/>
  <c r="AL107" i="27" l="1"/>
  <c r="AM107" i="27" l="1"/>
  <c r="AN107" i="27" l="1"/>
  <c r="AO107" i="27" l="1"/>
  <c r="AP107" i="27" l="1"/>
  <c r="AQ107" i="27" l="1"/>
  <c r="AR107" i="27" l="1"/>
  <c r="AS107" i="27" l="1"/>
  <c r="AT107" i="27" l="1"/>
  <c r="AU107" i="27" l="1"/>
  <c r="AV107" i="27" l="1"/>
  <c r="AW107" i="27" l="1"/>
  <c r="AX107" i="27" l="1"/>
  <c r="AY107" i="27" l="1"/>
  <c r="AZ107" i="27" l="1"/>
  <c r="BA107" i="27" l="1"/>
  <c r="BB107" i="27" l="1"/>
  <c r="BC107" i="27" l="1"/>
  <c r="BD107" i="27" l="1"/>
  <c r="BE107" i="27" l="1"/>
  <c r="BF107" i="27" l="1"/>
  <c r="BG107" i="27" l="1"/>
  <c r="BH107" i="27" l="1"/>
  <c r="BI107" i="27" l="1"/>
  <c r="BJ107" i="27" l="1"/>
  <c r="BK107" i="27" l="1"/>
  <c r="BL107" i="27" l="1"/>
  <c r="BM107" i="27" l="1"/>
  <c r="BN107" i="27" l="1"/>
  <c r="BO107" i="27" l="1"/>
  <c r="G57" i="16" l="1"/>
  <c r="H57" i="16"/>
  <c r="I57" i="16"/>
  <c r="J57" i="16"/>
  <c r="K57" i="16"/>
  <c r="L57" i="16"/>
  <c r="M57" i="16"/>
  <c r="N57" i="16"/>
  <c r="O57" i="16"/>
  <c r="P57" i="16"/>
  <c r="Q57" i="16"/>
  <c r="R57" i="16"/>
  <c r="S57" i="16"/>
  <c r="T57" i="16"/>
  <c r="U57" i="16"/>
  <c r="V57" i="16"/>
  <c r="G58" i="16"/>
  <c r="H58" i="16"/>
  <c r="I58" i="16"/>
  <c r="J58" i="16"/>
  <c r="K58" i="16"/>
  <c r="L58" i="16"/>
  <c r="M58" i="16"/>
  <c r="N58" i="16"/>
  <c r="O58" i="16"/>
  <c r="P58" i="16"/>
  <c r="Q58" i="16"/>
  <c r="R58" i="16"/>
  <c r="S58" i="16"/>
  <c r="T58" i="16"/>
  <c r="U58" i="16"/>
  <c r="V58" i="16"/>
  <c r="G24" i="16"/>
  <c r="H24" i="16"/>
  <c r="I24" i="16"/>
  <c r="J24" i="16"/>
  <c r="K24" i="16"/>
  <c r="L24" i="16"/>
  <c r="M24" i="16"/>
  <c r="N24" i="16"/>
  <c r="O24" i="16"/>
  <c r="P24" i="16"/>
  <c r="Q24" i="16"/>
  <c r="R24" i="16"/>
  <c r="S24" i="16"/>
  <c r="T24" i="16"/>
  <c r="U24" i="16"/>
  <c r="V24" i="16"/>
  <c r="G25" i="16"/>
  <c r="H25" i="16"/>
  <c r="I25" i="16"/>
  <c r="J25" i="16"/>
  <c r="K25" i="16"/>
  <c r="L25" i="16"/>
  <c r="M25" i="16"/>
  <c r="N25" i="16"/>
  <c r="O25" i="16"/>
  <c r="P25" i="16"/>
  <c r="Q25" i="16"/>
  <c r="R25" i="16"/>
  <c r="S25" i="16"/>
  <c r="T25" i="16"/>
  <c r="U25" i="16"/>
  <c r="V25" i="16"/>
  <c r="S26" i="16" l="1"/>
  <c r="G26" i="16"/>
  <c r="O26" i="16"/>
  <c r="K26" i="16"/>
  <c r="J26" i="16"/>
  <c r="R26" i="16"/>
  <c r="Q26" i="16"/>
  <c r="I26" i="16"/>
  <c r="P26" i="16"/>
  <c r="H26" i="16"/>
  <c r="T26" i="16"/>
  <c r="V26" i="16"/>
  <c r="N26" i="16"/>
  <c r="U26" i="16"/>
  <c r="M26" i="16"/>
  <c r="L26" i="16"/>
  <c r="G59" i="16" l="1"/>
  <c r="G63" i="16" l="1"/>
  <c r="I59" i="16"/>
  <c r="S59" i="16"/>
  <c r="K63" i="16"/>
  <c r="G64" i="16"/>
  <c r="O64" i="16"/>
  <c r="I63" i="16"/>
  <c r="Q63" i="16"/>
  <c r="Q59" i="16"/>
  <c r="K59" i="16"/>
  <c r="V59" i="16"/>
  <c r="J64" i="16"/>
  <c r="U64" i="16"/>
  <c r="P64" i="16"/>
  <c r="O63" i="16"/>
  <c r="T64" i="16"/>
  <c r="T59" i="16"/>
  <c r="K64" i="16"/>
  <c r="S63" i="16"/>
  <c r="I64" i="16"/>
  <c r="H63" i="16"/>
  <c r="S64" i="16"/>
  <c r="L63" i="16"/>
  <c r="T63" i="16"/>
  <c r="M63" i="16"/>
  <c r="U63" i="16"/>
  <c r="H64" i="16"/>
  <c r="R63" i="16"/>
  <c r="J59" i="16"/>
  <c r="R59" i="16"/>
  <c r="M59" i="16"/>
  <c r="H59" i="16"/>
  <c r="P59" i="16"/>
  <c r="N63" i="16"/>
  <c r="V63" i="16"/>
  <c r="L59" i="16"/>
  <c r="G65" i="16" l="1"/>
  <c r="N59" i="16"/>
  <c r="H65" i="16"/>
  <c r="U59" i="16"/>
  <c r="I65" i="16"/>
  <c r="S65" i="16"/>
  <c r="U65" i="16"/>
  <c r="K65" i="16"/>
  <c r="O65" i="16"/>
  <c r="O59" i="16"/>
  <c r="T65" i="16"/>
  <c r="M65" i="16" l="1"/>
  <c r="M64" i="16"/>
  <c r="J65" i="16"/>
  <c r="J63" i="16"/>
  <c r="V65" i="16"/>
  <c r="V64" i="16"/>
  <c r="L65" i="16"/>
  <c r="L64" i="16"/>
  <c r="P65" i="16"/>
  <c r="P63" i="16"/>
  <c r="Q65" i="16"/>
  <c r="Q64" i="16"/>
  <c r="R65" i="16"/>
  <c r="R64" i="16"/>
  <c r="N65" i="16"/>
  <c r="N64" i="16"/>
  <c r="Y12" i="17" l="1"/>
  <c r="AA12" i="17"/>
  <c r="AB12" i="17" s="1"/>
  <c r="AG12" i="17" l="1"/>
  <c r="Y6" i="17" l="1"/>
  <c r="F12" i="17" l="1"/>
  <c r="B12" i="17" s="1"/>
  <c r="U6" i="17"/>
  <c r="AG6" i="17" l="1"/>
  <c r="AA6" i="17"/>
  <c r="AB6" i="17" s="1"/>
  <c r="B12" i="18"/>
  <c r="J29" i="27" l="1"/>
  <c r="K29" i="27"/>
  <c r="L29" i="27"/>
  <c r="I29" i="27"/>
  <c r="X29" i="27"/>
  <c r="Y29" i="27"/>
  <c r="Z29" i="27"/>
  <c r="AA29" i="27"/>
  <c r="AB29" i="27"/>
  <c r="AC29" i="27"/>
  <c r="AD29" i="27"/>
  <c r="AE29" i="27"/>
  <c r="AF29" i="27"/>
  <c r="AG29" i="27"/>
  <c r="AH29" i="27"/>
  <c r="AI29" i="27"/>
  <c r="AJ29" i="27"/>
  <c r="AK29" i="27"/>
  <c r="AL29" i="27"/>
  <c r="AM29" i="27"/>
  <c r="AN29" i="27"/>
  <c r="AO29" i="27"/>
  <c r="AP29" i="27"/>
  <c r="AQ29" i="27"/>
  <c r="AR29" i="27"/>
  <c r="AS29" i="27"/>
  <c r="AT29" i="27"/>
  <c r="AU29" i="27"/>
  <c r="AV29" i="27"/>
  <c r="AW29" i="27"/>
  <c r="AX29" i="27"/>
  <c r="AY29" i="27"/>
  <c r="AZ29" i="27"/>
  <c r="BA29" i="27"/>
  <c r="BB29" i="27"/>
  <c r="BC29" i="27"/>
  <c r="BD29" i="27"/>
  <c r="BE29" i="27"/>
  <c r="BF29" i="27"/>
  <c r="BG29" i="27"/>
  <c r="BH29" i="27"/>
  <c r="BI29" i="27"/>
  <c r="BJ29" i="27"/>
  <c r="BK29" i="27"/>
  <c r="BL29" i="27"/>
  <c r="BM29" i="27"/>
  <c r="BN29" i="27"/>
  <c r="BO29" i="27"/>
  <c r="W29" i="27"/>
  <c r="V29" i="27"/>
  <c r="M29" i="27"/>
  <c r="N29" i="27"/>
  <c r="O29" i="27"/>
  <c r="P29" i="27"/>
  <c r="Q29" i="27"/>
  <c r="R29" i="27"/>
  <c r="S29" i="27"/>
  <c r="T29" i="27"/>
  <c r="U29" i="27"/>
  <c r="F60" i="17" l="1"/>
  <c r="B60" i="17" s="1"/>
  <c r="BG33" i="27"/>
  <c r="BH33" i="27" s="1"/>
  <c r="BI33" i="27" s="1"/>
  <c r="BJ33" i="27" s="1"/>
  <c r="BK33" i="27" s="1"/>
  <c r="BL33" i="27" s="1"/>
  <c r="BM33" i="27" s="1"/>
  <c r="BN33" i="27" s="1"/>
  <c r="BO33" i="27" s="1"/>
  <c r="BE33" i="27"/>
  <c r="BD33" i="27" s="1"/>
  <c r="BC33" i="27" s="1"/>
  <c r="BB33" i="27" s="1"/>
  <c r="BA33" i="27" s="1"/>
  <c r="AZ33" i="27" s="1"/>
  <c r="AY33" i="27" s="1"/>
  <c r="AX33" i="27" s="1"/>
  <c r="AW33" i="27" s="1"/>
  <c r="AV33" i="27" s="1"/>
  <c r="AU33" i="27" s="1"/>
  <c r="AT33" i="27" s="1"/>
  <c r="AS33" i="27" s="1"/>
  <c r="AR33" i="27" s="1"/>
  <c r="AQ33" i="27" s="1"/>
  <c r="AP33" i="27" s="1"/>
  <c r="AO33" i="27" s="1"/>
  <c r="AN33" i="27" s="1"/>
  <c r="AM33" i="27" s="1"/>
  <c r="AL33" i="27" s="1"/>
  <c r="AK33" i="27" s="1"/>
  <c r="AJ33" i="27" s="1"/>
  <c r="AI33" i="27" s="1"/>
  <c r="AH33" i="27" s="1"/>
  <c r="AG33" i="27" s="1"/>
  <c r="AF33" i="27" s="1"/>
  <c r="AE33" i="27" s="1"/>
  <c r="AD33" i="27" s="1"/>
  <c r="AC33" i="27" s="1"/>
  <c r="AB33" i="27" s="1"/>
  <c r="AA33" i="27" s="1"/>
  <c r="Z33" i="27" s="1"/>
  <c r="Y33" i="27" s="1"/>
  <c r="X33" i="27" s="1"/>
  <c r="W33" i="27" s="1"/>
  <c r="V33" i="27" s="1"/>
  <c r="U33" i="27" s="1"/>
  <c r="T33" i="27" s="1"/>
  <c r="S33" i="27" s="1"/>
  <c r="R33" i="27" s="1"/>
  <c r="Q33" i="27" s="1"/>
  <c r="P33" i="27" s="1"/>
  <c r="O33" i="27" s="1"/>
  <c r="N33" i="27" s="1"/>
  <c r="M33" i="27" s="1"/>
  <c r="L33" i="27" s="1"/>
  <c r="K33" i="27" s="1"/>
  <c r="J33" i="27" s="1"/>
  <c r="I33" i="27" s="1"/>
  <c r="F143" i="17" l="1"/>
  <c r="B143" i="17" s="1"/>
  <c r="F142" i="17"/>
  <c r="B142" i="17" s="1"/>
  <c r="F141" i="17"/>
  <c r="B141" i="17" s="1"/>
  <c r="F140" i="17"/>
  <c r="B140" i="17" s="1"/>
  <c r="F139" i="17"/>
  <c r="B139" i="17" s="1"/>
  <c r="F138" i="17"/>
  <c r="B138" i="17" s="1"/>
  <c r="J30" i="27" l="1"/>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I30" i="27" l="1"/>
  <c r="R35" i="27" l="1"/>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I266" i="27" l="1"/>
  <c r="J266" i="27"/>
  <c r="K266" i="27"/>
  <c r="L266" i="27"/>
  <c r="M266" i="27"/>
  <c r="N266" i="27"/>
  <c r="O266" i="27"/>
  <c r="P266" i="27"/>
  <c r="Q266" i="27"/>
  <c r="R266" i="27"/>
  <c r="S266" i="27"/>
  <c r="T266" i="27"/>
  <c r="U266" i="27"/>
  <c r="V266" i="27"/>
  <c r="W266" i="27"/>
  <c r="X266" i="27"/>
  <c r="Y266" i="27"/>
  <c r="Z266" i="27"/>
  <c r="AA266" i="27"/>
  <c r="AB266" i="27"/>
  <c r="AC266" i="27"/>
  <c r="AD266" i="27"/>
  <c r="AE266" i="27"/>
  <c r="AF266" i="27"/>
  <c r="AG266" i="27"/>
  <c r="AH266" i="27"/>
  <c r="AI266" i="27"/>
  <c r="AJ266" i="27"/>
  <c r="AK266" i="27"/>
  <c r="AL266" i="27"/>
  <c r="AM266" i="27"/>
  <c r="AN266" i="27"/>
  <c r="AO266" i="27"/>
  <c r="AP266" i="27"/>
  <c r="AQ266" i="27"/>
  <c r="AR266" i="27"/>
  <c r="AS266" i="27"/>
  <c r="AT266" i="27"/>
  <c r="AU266" i="27"/>
  <c r="AV266" i="27"/>
  <c r="AW266" i="27"/>
  <c r="AX266" i="27"/>
  <c r="AY266" i="27"/>
  <c r="AZ266" i="27"/>
  <c r="BA266" i="27"/>
  <c r="BB266" i="27"/>
  <c r="BC266" i="27"/>
  <c r="BD266" i="27"/>
  <c r="BE266" i="27"/>
  <c r="BF266" i="27"/>
  <c r="BG266" i="27"/>
  <c r="BH266" i="27"/>
  <c r="BI266" i="27"/>
  <c r="BJ266" i="27"/>
  <c r="BK266" i="27"/>
  <c r="BL266" i="27"/>
  <c r="BM266" i="27"/>
  <c r="BN266" i="27"/>
  <c r="BO266" i="27"/>
  <c r="BP266" i="27"/>
  <c r="BQ266" i="27"/>
  <c r="BR266" i="27"/>
  <c r="BS266" i="27"/>
  <c r="BT266" i="27"/>
  <c r="BU266" i="27"/>
  <c r="BV266" i="27"/>
  <c r="BW266" i="27"/>
  <c r="BX266" i="27"/>
  <c r="BY266" i="27"/>
  <c r="BZ266" i="27"/>
  <c r="CA266" i="27"/>
  <c r="CB266" i="27"/>
  <c r="CC266" i="27"/>
  <c r="CD266" i="27"/>
  <c r="CE266" i="27"/>
  <c r="CF266" i="27"/>
  <c r="CG266" i="27"/>
  <c r="CH266" i="27"/>
  <c r="CI266" i="27"/>
  <c r="BP85" i="27"/>
  <c r="BQ85" i="27"/>
  <c r="BR85" i="27"/>
  <c r="BS85" i="27"/>
  <c r="BT85" i="27"/>
  <c r="BU85" i="27"/>
  <c r="BV85" i="27"/>
  <c r="BW85" i="27"/>
  <c r="BX85" i="27"/>
  <c r="BY85" i="27"/>
  <c r="BZ85" i="27"/>
  <c r="CA85" i="27"/>
  <c r="CB85" i="27"/>
  <c r="CC85" i="27"/>
  <c r="CD85" i="27"/>
  <c r="CE85" i="27"/>
  <c r="CF85" i="27"/>
  <c r="CG85" i="27"/>
  <c r="CH85" i="27"/>
  <c r="CI85" i="27"/>
  <c r="N123" i="27" l="1"/>
  <c r="H34" i="3" l="1"/>
  <c r="H33" i="3"/>
  <c r="J10" i="3"/>
  <c r="H10" i="3" l="1"/>
  <c r="I90" i="27" l="1"/>
  <c r="J90" i="27"/>
  <c r="K90" i="27"/>
  <c r="L90" i="27"/>
  <c r="M90" i="27"/>
  <c r="N90" i="27"/>
  <c r="O90" i="27"/>
  <c r="P90" i="27"/>
  <c r="Q90" i="27"/>
  <c r="R90" i="27"/>
  <c r="S90" i="27"/>
  <c r="T90" i="27"/>
  <c r="U90" i="27"/>
  <c r="V90" i="27"/>
  <c r="W90" i="27"/>
  <c r="X90" i="27"/>
  <c r="Y90" i="27"/>
  <c r="Z90" i="27"/>
  <c r="AA90" i="27"/>
  <c r="AB90" i="27"/>
  <c r="AC90" i="27"/>
  <c r="AD90" i="27"/>
  <c r="AE90" i="27"/>
  <c r="AF90" i="27"/>
  <c r="AG90" i="27"/>
  <c r="AH90" i="27"/>
  <c r="AI90" i="27"/>
  <c r="AJ90" i="27"/>
  <c r="AK90" i="27"/>
  <c r="AL90" i="27"/>
  <c r="AM90" i="27"/>
  <c r="AN90" i="27"/>
  <c r="AO90" i="27"/>
  <c r="AP90" i="27"/>
  <c r="AQ90" i="27"/>
  <c r="AR90" i="27"/>
  <c r="AS90" i="27"/>
  <c r="AT90" i="27"/>
  <c r="AU90" i="27"/>
  <c r="AV90" i="27"/>
  <c r="AW90" i="27"/>
  <c r="AX90" i="27"/>
  <c r="AY90" i="27"/>
  <c r="AZ90" i="27"/>
  <c r="BA90" i="27"/>
  <c r="BB90" i="27"/>
  <c r="BC90" i="27"/>
  <c r="BD90" i="27"/>
  <c r="BE90" i="27"/>
  <c r="BF90" i="27"/>
  <c r="BG90" i="27"/>
  <c r="BH90" i="27"/>
  <c r="BI90" i="27"/>
  <c r="BJ90" i="27"/>
  <c r="BK90" i="27"/>
  <c r="BL90" i="27"/>
  <c r="BM90" i="27"/>
  <c r="BN90" i="27"/>
  <c r="BO90" i="27"/>
  <c r="I126" i="27" l="1"/>
  <c r="J126" i="27"/>
  <c r="K126" i="27"/>
  <c r="L126" i="27"/>
  <c r="M126" i="27"/>
  <c r="N126" i="27"/>
  <c r="O126" i="27"/>
  <c r="P126" i="27"/>
  <c r="Q126"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BK126" i="27"/>
  <c r="BL126" i="27"/>
  <c r="BM126" i="27"/>
  <c r="BN126" i="27"/>
  <c r="BO126" i="27"/>
  <c r="I123" i="27"/>
  <c r="J123" i="27"/>
  <c r="K123" i="27"/>
  <c r="L123" i="27"/>
  <c r="M123" i="27"/>
  <c r="O123" i="27"/>
  <c r="P123" i="27"/>
  <c r="Q123" i="27"/>
  <c r="R123" i="27"/>
  <c r="S123" i="27"/>
  <c r="T123" i="27"/>
  <c r="U123" i="27"/>
  <c r="V123" i="27"/>
  <c r="W123" i="27"/>
  <c r="X123" i="27"/>
  <c r="Y123" i="27"/>
  <c r="Z123" i="27"/>
  <c r="AA123" i="27"/>
  <c r="AB123" i="27"/>
  <c r="AC123" i="27"/>
  <c r="AD123" i="27"/>
  <c r="AE123" i="27"/>
  <c r="AF123" i="27"/>
  <c r="AG123" i="27"/>
  <c r="AH123" i="27"/>
  <c r="AI123" i="27"/>
  <c r="AJ123" i="27"/>
  <c r="AK123" i="27"/>
  <c r="AL123" i="27"/>
  <c r="AM123" i="27"/>
  <c r="AN123" i="27"/>
  <c r="AO123" i="27"/>
  <c r="AP123" i="27"/>
  <c r="AQ123" i="27"/>
  <c r="AR123" i="27"/>
  <c r="AS123" i="27"/>
  <c r="AT123" i="27"/>
  <c r="AU123" i="27"/>
  <c r="AV123" i="27"/>
  <c r="AW123" i="27"/>
  <c r="AX123" i="27"/>
  <c r="AY123" i="27"/>
  <c r="AZ123" i="27"/>
  <c r="BA123" i="27"/>
  <c r="BB123" i="27"/>
  <c r="BC123" i="27"/>
  <c r="BD123" i="27"/>
  <c r="BE123" i="27"/>
  <c r="BF123" i="27"/>
  <c r="BG123" i="27"/>
  <c r="BH123" i="27"/>
  <c r="BI123" i="27"/>
  <c r="BJ123" i="27"/>
  <c r="BK123" i="27"/>
  <c r="BL123" i="27"/>
  <c r="BM123" i="27"/>
  <c r="BN123" i="27"/>
  <c r="BO123" i="27"/>
  <c r="F31" i="17" l="1"/>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B58" i="17" s="1"/>
  <c r="F59" i="17"/>
  <c r="B59" i="17" s="1"/>
  <c r="F61" i="17"/>
  <c r="F62" i="17"/>
  <c r="F63" i="17"/>
  <c r="F64" i="17"/>
  <c r="F65" i="17"/>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10" i="17"/>
  <c r="B110" i="17" s="1"/>
  <c r="B33" i="18" l="1"/>
  <c r="B41" i="18"/>
  <c r="B36" i="18"/>
  <c r="B34" i="18"/>
  <c r="B40" i="18"/>
  <c r="B32" i="18"/>
  <c r="B39" i="18"/>
  <c r="B31" i="18"/>
  <c r="B35" i="18"/>
  <c r="B38" i="18"/>
  <c r="B37" i="18"/>
  <c r="B38" i="17"/>
  <c r="B51" i="17"/>
  <c r="B43" i="17"/>
  <c r="B35" i="17"/>
  <c r="B37" i="17"/>
  <c r="B52" i="17"/>
  <c r="B44" i="17"/>
  <c r="B50" i="17"/>
  <c r="B42" i="17"/>
  <c r="B34" i="17"/>
  <c r="B57" i="17"/>
  <c r="B49" i="17"/>
  <c r="B41" i="17"/>
  <c r="B33" i="17"/>
  <c r="B45" i="17"/>
  <c r="B65" i="17"/>
  <c r="B56" i="17"/>
  <c r="B48" i="17"/>
  <c r="B40" i="17"/>
  <c r="B32" i="17"/>
  <c r="B53" i="17"/>
  <c r="B36" i="17"/>
  <c r="B64" i="17"/>
  <c r="B55" i="17"/>
  <c r="B47" i="17"/>
  <c r="B39" i="17"/>
  <c r="B31" i="17"/>
  <c r="B62" i="17"/>
  <c r="B61" i="17"/>
  <c r="B63" i="17"/>
  <c r="B54" i="17"/>
  <c r="B46" i="17"/>
  <c r="AK32" i="27" l="1"/>
  <c r="K85" i="27" l="1"/>
  <c r="K61" i="15" s="1"/>
  <c r="O32" i="27"/>
  <c r="O31" i="27" s="1"/>
  <c r="I32" i="27"/>
  <c r="I85" i="27" l="1"/>
  <c r="I61" i="15" s="1"/>
  <c r="J85" i="27"/>
  <c r="J61" i="15" s="1"/>
  <c r="J13" i="19"/>
  <c r="Q13" i="19" s="1"/>
  <c r="X13" i="19" s="1"/>
  <c r="I166" i="27"/>
  <c r="I31" i="27"/>
  <c r="I41" i="27"/>
  <c r="M150" i="27"/>
  <c r="I171" i="27"/>
  <c r="I76" i="27"/>
  <c r="L85" i="27"/>
  <c r="BC88" i="27"/>
  <c r="I42" i="27" l="1"/>
  <c r="I64" i="15" s="1"/>
  <c r="I63" i="15"/>
  <c r="G10" i="16"/>
  <c r="G43" i="16" s="1"/>
  <c r="L61" i="15"/>
  <c r="K13" i="19"/>
  <c r="R13" i="19" s="1"/>
  <c r="Y13" i="19" s="1"/>
  <c r="M85" i="27"/>
  <c r="M52" i="27"/>
  <c r="H10" i="16" l="1"/>
  <c r="H43" i="16" s="1"/>
  <c r="M61" i="15"/>
  <c r="N85" i="27"/>
  <c r="O85" i="27"/>
  <c r="J10" i="16" l="1"/>
  <c r="J43" i="16" s="1"/>
  <c r="O61" i="15"/>
  <c r="I10" i="16"/>
  <c r="I43" i="16" s="1"/>
  <c r="N61" i="15"/>
  <c r="P85" i="27"/>
  <c r="K10" i="16" l="1"/>
  <c r="K43" i="16" s="1"/>
  <c r="P61" i="15"/>
  <c r="Q85" i="27"/>
  <c r="L13" i="19"/>
  <c r="S13" i="19" s="1"/>
  <c r="Z13" i="19" s="1"/>
  <c r="R85" i="27"/>
  <c r="R61" i="15" s="1"/>
  <c r="L10" i="16" l="1"/>
  <c r="L43" i="16" s="1"/>
  <c r="Q61" i="15"/>
  <c r="S85" i="27"/>
  <c r="S61" i="15" s="1"/>
  <c r="T85" i="27" l="1"/>
  <c r="T61" i="15" s="1"/>
  <c r="U85" i="27" l="1"/>
  <c r="U61" i="15" s="1"/>
  <c r="V85" i="27" l="1"/>
  <c r="M13" i="19"/>
  <c r="T13" i="19" s="1"/>
  <c r="AA13" i="19" s="1"/>
  <c r="W85" i="27"/>
  <c r="W61" i="15" s="1"/>
  <c r="M10" i="16" l="1"/>
  <c r="M43" i="16" s="1"/>
  <c r="V61" i="15"/>
  <c r="X85" i="27"/>
  <c r="X61" i="15" s="1"/>
  <c r="Y85" i="27"/>
  <c r="Y61" i="15" s="1"/>
  <c r="Z85" i="27" l="1"/>
  <c r="Z61" i="15" s="1"/>
  <c r="AA85" i="27" l="1"/>
  <c r="N13" i="19"/>
  <c r="U13" i="19" s="1"/>
  <c r="AB13" i="19" s="1"/>
  <c r="AB85" i="27"/>
  <c r="AB61" i="15" s="1"/>
  <c r="N10" i="16" l="1"/>
  <c r="N43" i="16" s="1"/>
  <c r="AA61" i="15"/>
  <c r="AC85" i="27"/>
  <c r="AC61" i="15" s="1"/>
  <c r="AD85" i="27" l="1"/>
  <c r="AD61" i="15" s="1"/>
  <c r="AE85" i="27"/>
  <c r="AF85" i="27" l="1"/>
  <c r="O10" i="16" s="1"/>
  <c r="O43" i="16" s="1"/>
  <c r="AG85" i="27"/>
  <c r="O13" i="19" l="1"/>
  <c r="V13" i="19" s="1"/>
  <c r="AC13" i="19" s="1"/>
  <c r="AH85" i="27" l="1"/>
  <c r="AI85" i="27" l="1"/>
  <c r="AJ85" i="27" l="1"/>
  <c r="AK85" i="27" l="1"/>
  <c r="P10" i="16" s="1"/>
  <c r="P43" i="16" s="1"/>
  <c r="P13" i="19"/>
  <c r="W13" i="19" s="1"/>
  <c r="AD13" i="19" s="1"/>
  <c r="AL85" i="27" l="1"/>
  <c r="AM85" i="27" l="1"/>
  <c r="AN85" i="27" l="1"/>
  <c r="AO85" i="27" l="1"/>
  <c r="AP85" i="27"/>
  <c r="Q10" i="16" l="1"/>
  <c r="Q43" i="16" s="1"/>
  <c r="AQ85" i="27"/>
  <c r="AR85" i="27" l="1"/>
  <c r="AS85" i="27" l="1"/>
  <c r="AT85" i="27" l="1"/>
  <c r="AU85" i="27"/>
  <c r="R10" i="16" l="1"/>
  <c r="R43" i="16" s="1"/>
  <c r="AV85" i="27"/>
  <c r="AW85" i="27" l="1"/>
  <c r="AX85" i="27"/>
  <c r="AY85" i="27" l="1"/>
  <c r="AZ85" i="27" l="1"/>
  <c r="S10" i="16" s="1"/>
  <c r="S43" i="16" s="1"/>
  <c r="BA85" i="27"/>
  <c r="BB85" i="27" l="1"/>
  <c r="BC85" i="27"/>
  <c r="BD85" i="27" l="1"/>
  <c r="BE85" i="27"/>
  <c r="T10" i="16" l="1"/>
  <c r="T43" i="16" s="1"/>
  <c r="BF85" i="27"/>
  <c r="BG85" i="27" l="1"/>
  <c r="BH85" i="27" l="1"/>
  <c r="BI85" i="27"/>
  <c r="BJ85" i="27" l="1"/>
  <c r="U10" i="16" s="1"/>
  <c r="U43" i="16" s="1"/>
  <c r="BK85" i="27" l="1"/>
  <c r="BL85" i="27"/>
  <c r="V10" i="16" l="1"/>
  <c r="V43" i="16" s="1"/>
  <c r="BM85" i="27"/>
  <c r="BO85" i="27"/>
  <c r="BN85" i="27"/>
  <c r="BO52" i="27" l="1"/>
  <c r="E76" i="3" l="1"/>
  <c r="AK22" i="19" l="1"/>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C8" i="19"/>
  <c r="CI388" i="27"/>
  <c r="CH388" i="27"/>
  <c r="CG388" i="27"/>
  <c r="CF388" i="27"/>
  <c r="CE388" i="27"/>
  <c r="CD388" i="27"/>
  <c r="CC388" i="27"/>
  <c r="CB388" i="27"/>
  <c r="CA388" i="27"/>
  <c r="BZ388" i="27"/>
  <c r="BY388" i="27"/>
  <c r="BX388" i="27"/>
  <c r="BW388" i="27"/>
  <c r="BV388" i="27"/>
  <c r="BU388" i="27"/>
  <c r="BT388" i="27"/>
  <c r="BS388" i="27"/>
  <c r="BR388" i="27"/>
  <c r="BQ388" i="27"/>
  <c r="BP388" i="27"/>
  <c r="BO388" i="27"/>
  <c r="BN388" i="27"/>
  <c r="BM388" i="27"/>
  <c r="BL388" i="27"/>
  <c r="BK388" i="27"/>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CI387" i="27"/>
  <c r="CH387" i="27"/>
  <c r="CG387" i="27"/>
  <c r="CF387" i="27"/>
  <c r="CE387" i="27"/>
  <c r="CD387" i="27"/>
  <c r="CC387" i="27"/>
  <c r="CB387" i="27"/>
  <c r="CA387" i="27"/>
  <c r="BZ387" i="27"/>
  <c r="BY387" i="27"/>
  <c r="BX387" i="27"/>
  <c r="BW387" i="27"/>
  <c r="BV387" i="27"/>
  <c r="BU387" i="27"/>
  <c r="BT387" i="27"/>
  <c r="BS387" i="27"/>
  <c r="BR387" i="27"/>
  <c r="BQ387" i="27"/>
  <c r="BP387" i="27"/>
  <c r="BO387" i="27"/>
  <c r="BN387" i="27"/>
  <c r="BM387" i="27"/>
  <c r="BL387" i="27"/>
  <c r="BK387"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CI386" i="27"/>
  <c r="CH386" i="27"/>
  <c r="CG386" i="27"/>
  <c r="CF386" i="27"/>
  <c r="CE386" i="27"/>
  <c r="CD386" i="27"/>
  <c r="CC386" i="27"/>
  <c r="CB386" i="27"/>
  <c r="CA386" i="27"/>
  <c r="BZ386" i="27"/>
  <c r="BY386" i="27"/>
  <c r="BX386" i="27"/>
  <c r="BW386" i="27"/>
  <c r="BV386" i="27"/>
  <c r="BU386" i="27"/>
  <c r="BT386" i="27"/>
  <c r="BS386" i="27"/>
  <c r="BR386" i="27"/>
  <c r="BQ386" i="27"/>
  <c r="BP386" i="27"/>
  <c r="BO386" i="27"/>
  <c r="BN386" i="27"/>
  <c r="BM386" i="27"/>
  <c r="BL386" i="27"/>
  <c r="BK386"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CI370" i="27"/>
  <c r="CH370" i="27"/>
  <c r="CG370" i="27"/>
  <c r="CF370" i="27"/>
  <c r="CE370" i="27"/>
  <c r="CD370" i="27"/>
  <c r="CC370" i="27"/>
  <c r="CB370" i="27"/>
  <c r="CA370" i="27"/>
  <c r="BZ370" i="27"/>
  <c r="BY370" i="27"/>
  <c r="BX370" i="27"/>
  <c r="BW370" i="27"/>
  <c r="BV370" i="27"/>
  <c r="BU370" i="27"/>
  <c r="BT370" i="27"/>
  <c r="BS370" i="27"/>
  <c r="BR370" i="27"/>
  <c r="BQ370" i="27"/>
  <c r="BP370" i="27"/>
  <c r="H370" i="27"/>
  <c r="G370" i="27"/>
  <c r="CI369" i="27"/>
  <c r="CH369" i="27"/>
  <c r="CG369" i="27"/>
  <c r="CF369" i="27"/>
  <c r="CE369" i="27"/>
  <c r="CD369" i="27"/>
  <c r="CC369" i="27"/>
  <c r="CB369" i="27"/>
  <c r="CA369" i="27"/>
  <c r="BZ369" i="27"/>
  <c r="BY369" i="27"/>
  <c r="BX369" i="27"/>
  <c r="BW369" i="27"/>
  <c r="BV369" i="27"/>
  <c r="BU369" i="27"/>
  <c r="BT369" i="27"/>
  <c r="BS369" i="27"/>
  <c r="BR369" i="27"/>
  <c r="BQ369" i="27"/>
  <c r="BP369" i="27"/>
  <c r="BO369" i="27"/>
  <c r="BN369" i="27"/>
  <c r="BM369" i="27"/>
  <c r="BL369" i="27"/>
  <c r="BK369"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CI368" i="27"/>
  <c r="CH368" i="27"/>
  <c r="CG368" i="27"/>
  <c r="CF368" i="27"/>
  <c r="CE368" i="27"/>
  <c r="CD368" i="27"/>
  <c r="CC368" i="27"/>
  <c r="CB368" i="27"/>
  <c r="CA368" i="27"/>
  <c r="BZ368" i="27"/>
  <c r="BY368" i="27"/>
  <c r="BX368" i="27"/>
  <c r="BW368" i="27"/>
  <c r="BV368" i="27"/>
  <c r="BU368" i="27"/>
  <c r="BT368" i="27"/>
  <c r="BS368" i="27"/>
  <c r="BR368" i="27"/>
  <c r="BQ368" i="27"/>
  <c r="BP368" i="27"/>
  <c r="BO368" i="27"/>
  <c r="BN368" i="27"/>
  <c r="BM368" i="27"/>
  <c r="BL368" i="27"/>
  <c r="BK368" i="27"/>
  <c r="BJ368" i="27"/>
  <c r="BI368"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CI359" i="27"/>
  <c r="CH359" i="27"/>
  <c r="CG359" i="27"/>
  <c r="CF359" i="27"/>
  <c r="CE359" i="27"/>
  <c r="CD359" i="27"/>
  <c r="CC359" i="27"/>
  <c r="CB359" i="27"/>
  <c r="CA359" i="27"/>
  <c r="BZ359" i="27"/>
  <c r="BY359" i="27"/>
  <c r="BX359" i="27"/>
  <c r="BW359" i="27"/>
  <c r="BV359" i="27"/>
  <c r="BU359" i="27"/>
  <c r="BT359" i="27"/>
  <c r="BS359" i="27"/>
  <c r="BR359" i="27"/>
  <c r="BQ359" i="27"/>
  <c r="BP359" i="27"/>
  <c r="BO359" i="27"/>
  <c r="BN359" i="27"/>
  <c r="BM359" i="27"/>
  <c r="BL359" i="27"/>
  <c r="BK359"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CI352" i="27"/>
  <c r="CH352" i="27"/>
  <c r="CG352" i="27"/>
  <c r="CF352" i="27"/>
  <c r="CE352" i="27"/>
  <c r="CD352" i="27"/>
  <c r="CC352" i="27"/>
  <c r="CB352" i="27"/>
  <c r="CA352" i="27"/>
  <c r="BZ352" i="27"/>
  <c r="BY352" i="27"/>
  <c r="BX352" i="27"/>
  <c r="BW352" i="27"/>
  <c r="BV352" i="27"/>
  <c r="BU352" i="27"/>
  <c r="BT352" i="27"/>
  <c r="BS352" i="27"/>
  <c r="BR352" i="27"/>
  <c r="BQ352" i="27"/>
  <c r="BP352" i="27"/>
  <c r="BO352" i="27"/>
  <c r="BN352" i="27"/>
  <c r="BM352" i="27"/>
  <c r="BL352" i="27"/>
  <c r="BK352"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CI331" i="27"/>
  <c r="CH331" i="27"/>
  <c r="CG331" i="27"/>
  <c r="CF331" i="27"/>
  <c r="CE331" i="27"/>
  <c r="CD331" i="27"/>
  <c r="CC331" i="27"/>
  <c r="CB331" i="27"/>
  <c r="CA331" i="27"/>
  <c r="BZ331" i="27"/>
  <c r="BY331" i="27"/>
  <c r="BX331" i="27"/>
  <c r="BW331" i="27"/>
  <c r="BV331" i="27"/>
  <c r="BU331" i="27"/>
  <c r="BT331" i="27"/>
  <c r="BS331" i="27"/>
  <c r="BR331" i="27"/>
  <c r="BQ331" i="27"/>
  <c r="BP331" i="27"/>
  <c r="BO331" i="27"/>
  <c r="BN331" i="27"/>
  <c r="BM331" i="27"/>
  <c r="BL331" i="27"/>
  <c r="BK331"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CI330" i="27"/>
  <c r="CH330" i="27"/>
  <c r="CG330" i="27"/>
  <c r="CF330" i="27"/>
  <c r="CE330" i="27"/>
  <c r="CD330" i="27"/>
  <c r="CC330" i="27"/>
  <c r="CB330" i="27"/>
  <c r="CA330" i="27"/>
  <c r="BZ330" i="27"/>
  <c r="BY330" i="27"/>
  <c r="BX330" i="27"/>
  <c r="BW330" i="27"/>
  <c r="BV330" i="27"/>
  <c r="BU330" i="27"/>
  <c r="BT330" i="27"/>
  <c r="BS330" i="27"/>
  <c r="BR330" i="27"/>
  <c r="BQ330" i="27"/>
  <c r="BP330" i="27"/>
  <c r="BO330" i="27"/>
  <c r="BN330" i="27"/>
  <c r="BM330" i="27"/>
  <c r="BL330" i="27"/>
  <c r="BK330"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CI329" i="27"/>
  <c r="CH329" i="27"/>
  <c r="CG329" i="27"/>
  <c r="CF329" i="27"/>
  <c r="CE329" i="27"/>
  <c r="CD329" i="27"/>
  <c r="CC329" i="27"/>
  <c r="CB329" i="27"/>
  <c r="CA329" i="27"/>
  <c r="BZ329" i="27"/>
  <c r="BY329" i="27"/>
  <c r="BX329" i="27"/>
  <c r="BW329" i="27"/>
  <c r="BV329" i="27"/>
  <c r="BU329" i="27"/>
  <c r="BT329" i="27"/>
  <c r="BS329" i="27"/>
  <c r="BR329" i="27"/>
  <c r="BQ329" i="27"/>
  <c r="BP329" i="27"/>
  <c r="BO329" i="27"/>
  <c r="BN329" i="27"/>
  <c r="BM329" i="27"/>
  <c r="BL329" i="27"/>
  <c r="BK329"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CI328" i="27"/>
  <c r="CH328" i="27"/>
  <c r="CG328" i="27"/>
  <c r="CF328" i="27"/>
  <c r="CE328" i="27"/>
  <c r="CD328" i="27"/>
  <c r="CC328" i="27"/>
  <c r="CB328" i="27"/>
  <c r="CA328" i="27"/>
  <c r="BZ328" i="27"/>
  <c r="BY328" i="27"/>
  <c r="BX328" i="27"/>
  <c r="BW328" i="27"/>
  <c r="BV328" i="27"/>
  <c r="BU328" i="27"/>
  <c r="BT328" i="27"/>
  <c r="BS328" i="27"/>
  <c r="BR328" i="27"/>
  <c r="BQ328" i="27"/>
  <c r="BP328" i="27"/>
  <c r="BO328" i="27"/>
  <c r="BN328" i="27"/>
  <c r="BM328" i="27"/>
  <c r="BL328" i="27"/>
  <c r="BK328"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CI327" i="27"/>
  <c r="CH327" i="27"/>
  <c r="CG327" i="27"/>
  <c r="CF327" i="27"/>
  <c r="CE327" i="27"/>
  <c r="CD327" i="27"/>
  <c r="CC327" i="27"/>
  <c r="CB327" i="27"/>
  <c r="CA327" i="27"/>
  <c r="BZ327" i="27"/>
  <c r="BY327" i="27"/>
  <c r="BX327" i="27"/>
  <c r="BW327" i="27"/>
  <c r="BV327" i="27"/>
  <c r="BU327" i="27"/>
  <c r="BT327" i="27"/>
  <c r="BS327" i="27"/>
  <c r="BR327" i="27"/>
  <c r="BQ327" i="27"/>
  <c r="BP327" i="27"/>
  <c r="BO327" i="27"/>
  <c r="BN327" i="27"/>
  <c r="BM327" i="27"/>
  <c r="BL327" i="27"/>
  <c r="BK327"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CI326" i="27"/>
  <c r="CH326" i="27"/>
  <c r="CG326" i="27"/>
  <c r="CF326" i="27"/>
  <c r="CE326" i="27"/>
  <c r="CD326" i="27"/>
  <c r="CC326" i="27"/>
  <c r="CB326" i="27"/>
  <c r="CA326" i="27"/>
  <c r="BZ326" i="27"/>
  <c r="BY326" i="27"/>
  <c r="BX326" i="27"/>
  <c r="BW326" i="27"/>
  <c r="BV326" i="27"/>
  <c r="BU326" i="27"/>
  <c r="BT326" i="27"/>
  <c r="BS326" i="27"/>
  <c r="BR326" i="27"/>
  <c r="BQ326" i="27"/>
  <c r="BP326" i="27"/>
  <c r="BO326" i="27"/>
  <c r="BN326" i="27"/>
  <c r="BM326" i="27"/>
  <c r="BL326" i="27"/>
  <c r="BK326"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CI325" i="27"/>
  <c r="CH325" i="27"/>
  <c r="CG325" i="27"/>
  <c r="CF325" i="27"/>
  <c r="CE325" i="27"/>
  <c r="CD325" i="27"/>
  <c r="CC325" i="27"/>
  <c r="CB325" i="27"/>
  <c r="CA325" i="27"/>
  <c r="BZ325" i="27"/>
  <c r="BY325" i="27"/>
  <c r="BX325" i="27"/>
  <c r="BW325" i="27"/>
  <c r="BV325" i="27"/>
  <c r="BU325" i="27"/>
  <c r="BT325" i="27"/>
  <c r="BS325" i="27"/>
  <c r="BR325" i="27"/>
  <c r="BQ325" i="27"/>
  <c r="BP325" i="27"/>
  <c r="BO325" i="27"/>
  <c r="BN325" i="27"/>
  <c r="BM325" i="27"/>
  <c r="BL325" i="27"/>
  <c r="BK325"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CI324" i="27"/>
  <c r="CH324" i="27"/>
  <c r="CG324" i="27"/>
  <c r="CF324" i="27"/>
  <c r="CE324" i="27"/>
  <c r="CD324" i="27"/>
  <c r="CC324" i="27"/>
  <c r="CB324" i="27"/>
  <c r="CA324" i="27"/>
  <c r="BZ324" i="27"/>
  <c r="BY324" i="27"/>
  <c r="BX324" i="27"/>
  <c r="BW324" i="27"/>
  <c r="BV324" i="27"/>
  <c r="BU324" i="27"/>
  <c r="BT324" i="27"/>
  <c r="BS324" i="27"/>
  <c r="BR324" i="27"/>
  <c r="BQ324" i="27"/>
  <c r="BP324" i="27"/>
  <c r="BO324" i="27"/>
  <c r="BN324" i="27"/>
  <c r="BM324" i="27"/>
  <c r="BL324" i="27"/>
  <c r="BK324"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CI319" i="27"/>
  <c r="CH319" i="27"/>
  <c r="CG319" i="27"/>
  <c r="CF319" i="27"/>
  <c r="CE319" i="27"/>
  <c r="CD319" i="27"/>
  <c r="CC319" i="27"/>
  <c r="CB319" i="27"/>
  <c r="CA319" i="27"/>
  <c r="BZ319" i="27"/>
  <c r="BY319" i="27"/>
  <c r="BX319" i="27"/>
  <c r="BW319" i="27"/>
  <c r="BV319" i="27"/>
  <c r="BU319" i="27"/>
  <c r="BT319" i="27"/>
  <c r="BS319" i="27"/>
  <c r="BR319" i="27"/>
  <c r="BQ319" i="27"/>
  <c r="BP319" i="27"/>
  <c r="BO319" i="27"/>
  <c r="BN319" i="27"/>
  <c r="BM319" i="27"/>
  <c r="BL319" i="27"/>
  <c r="BK319"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CI318" i="27"/>
  <c r="CH318" i="27"/>
  <c r="CG318" i="27"/>
  <c r="CF318" i="27"/>
  <c r="CE318" i="27"/>
  <c r="CD318" i="27"/>
  <c r="CC318" i="27"/>
  <c r="CB318" i="27"/>
  <c r="CA318" i="27"/>
  <c r="BZ318" i="27"/>
  <c r="BY318" i="27"/>
  <c r="BX318" i="27"/>
  <c r="BW318" i="27"/>
  <c r="BV318" i="27"/>
  <c r="BU318" i="27"/>
  <c r="BT318" i="27"/>
  <c r="BS318" i="27"/>
  <c r="BR318" i="27"/>
  <c r="BQ318" i="27"/>
  <c r="BP318" i="27"/>
  <c r="BO318" i="27"/>
  <c r="BN318" i="27"/>
  <c r="BM318" i="27"/>
  <c r="BL318" i="27"/>
  <c r="BK318"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CI317" i="27"/>
  <c r="CH317" i="27"/>
  <c r="CG317" i="27"/>
  <c r="CF317" i="27"/>
  <c r="CE317" i="27"/>
  <c r="CD317" i="27"/>
  <c r="CC317" i="27"/>
  <c r="CB317" i="27"/>
  <c r="CA317" i="27"/>
  <c r="BZ317" i="27"/>
  <c r="BY317" i="27"/>
  <c r="BX317" i="27"/>
  <c r="BW317" i="27"/>
  <c r="BV317" i="27"/>
  <c r="BU317" i="27"/>
  <c r="BT317" i="27"/>
  <c r="BS317" i="27"/>
  <c r="BR317" i="27"/>
  <c r="BQ317" i="27"/>
  <c r="BP317" i="27"/>
  <c r="BO317" i="27"/>
  <c r="BN317" i="27"/>
  <c r="BM317" i="27"/>
  <c r="BL317" i="27"/>
  <c r="BK317"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CI316" i="27"/>
  <c r="CH316" i="27"/>
  <c r="CG316" i="27"/>
  <c r="CF316" i="27"/>
  <c r="CE316" i="27"/>
  <c r="CD316" i="27"/>
  <c r="CC316" i="27"/>
  <c r="CB316" i="27"/>
  <c r="CA316" i="27"/>
  <c r="BZ316" i="27"/>
  <c r="BY316" i="27"/>
  <c r="BX316" i="27"/>
  <c r="BW316" i="27"/>
  <c r="BV316" i="27"/>
  <c r="BU316" i="27"/>
  <c r="BT316" i="27"/>
  <c r="BS316" i="27"/>
  <c r="BR316" i="27"/>
  <c r="BQ316" i="27"/>
  <c r="BP316" i="27"/>
  <c r="BO316" i="27"/>
  <c r="BN316" i="27"/>
  <c r="BM316" i="27"/>
  <c r="BL316" i="27"/>
  <c r="BK316"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CI314" i="27"/>
  <c r="CH314" i="27"/>
  <c r="CG314" i="27"/>
  <c r="CF314" i="27"/>
  <c r="CE314" i="27"/>
  <c r="CD314" i="27"/>
  <c r="CC314" i="27"/>
  <c r="CB314" i="27"/>
  <c r="CA314" i="27"/>
  <c r="BZ314" i="27"/>
  <c r="BY314" i="27"/>
  <c r="BX314" i="27"/>
  <c r="BW314" i="27"/>
  <c r="BV314" i="27"/>
  <c r="BU314" i="27"/>
  <c r="BT314" i="27"/>
  <c r="BS314" i="27"/>
  <c r="BR314" i="27"/>
  <c r="BQ314" i="27"/>
  <c r="BP314" i="27"/>
  <c r="BO314" i="27"/>
  <c r="BN314" i="27"/>
  <c r="BM314" i="27"/>
  <c r="BL314" i="27"/>
  <c r="BK314" i="27"/>
  <c r="BJ314" i="27"/>
  <c r="BI314" i="27"/>
  <c r="BH314" i="27"/>
  <c r="BG314" i="27"/>
  <c r="BF314" i="27"/>
  <c r="BE314" i="27"/>
  <c r="BD314" i="27"/>
  <c r="BC314" i="27"/>
  <c r="BB314" i="27"/>
  <c r="BA314" i="27"/>
  <c r="AZ314" i="27"/>
  <c r="AY314" i="27"/>
  <c r="AX314" i="27"/>
  <c r="AW314" i="27"/>
  <c r="AV314" i="27"/>
  <c r="AU314" i="27"/>
  <c r="AT314" i="27"/>
  <c r="AS314" i="27"/>
  <c r="AR314" i="27"/>
  <c r="AQ314" i="27"/>
  <c r="AP314" i="27"/>
  <c r="AO314" i="27"/>
  <c r="AN314" i="27"/>
  <c r="AM314" i="27"/>
  <c r="AL314" i="27"/>
  <c r="AK314" i="27"/>
  <c r="AJ314" i="27"/>
  <c r="AI314" i="27"/>
  <c r="AH314" i="27"/>
  <c r="AG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CI311" i="27"/>
  <c r="CH311" i="27"/>
  <c r="CG311" i="27"/>
  <c r="CF311" i="27"/>
  <c r="CE311" i="27"/>
  <c r="CD311" i="27"/>
  <c r="CC311" i="27"/>
  <c r="CB311" i="27"/>
  <c r="CA311" i="27"/>
  <c r="BZ311" i="27"/>
  <c r="BY311" i="27"/>
  <c r="BX311" i="27"/>
  <c r="BW311" i="27"/>
  <c r="BV311" i="27"/>
  <c r="BU311" i="27"/>
  <c r="BT311" i="27"/>
  <c r="BS311" i="27"/>
  <c r="BR311" i="27"/>
  <c r="BQ311" i="27"/>
  <c r="BP311" i="27"/>
  <c r="BO311" i="27"/>
  <c r="BN311" i="27"/>
  <c r="BM311" i="27"/>
  <c r="BL311" i="27"/>
  <c r="BK311"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CI310" i="27"/>
  <c r="CH310" i="27"/>
  <c r="CG310" i="27"/>
  <c r="CF310" i="27"/>
  <c r="CE310" i="27"/>
  <c r="CD310" i="27"/>
  <c r="CC310" i="27"/>
  <c r="CB310" i="27"/>
  <c r="CA310" i="27"/>
  <c r="BZ310" i="27"/>
  <c r="BY310" i="27"/>
  <c r="BX310" i="27"/>
  <c r="BW310" i="27"/>
  <c r="BV310" i="27"/>
  <c r="BU310" i="27"/>
  <c r="BT310" i="27"/>
  <c r="BS310" i="27"/>
  <c r="BR310" i="27"/>
  <c r="BQ310" i="27"/>
  <c r="BP310" i="27"/>
  <c r="BO310" i="27"/>
  <c r="BN310" i="27"/>
  <c r="BM310" i="27"/>
  <c r="BL310" i="27"/>
  <c r="BK310"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CI308" i="27"/>
  <c r="CH308" i="27"/>
  <c r="CG308" i="27"/>
  <c r="CF308" i="27"/>
  <c r="CE308" i="27"/>
  <c r="CD308" i="27"/>
  <c r="CC308" i="27"/>
  <c r="CB308" i="27"/>
  <c r="CA308" i="27"/>
  <c r="BZ308" i="27"/>
  <c r="BY308" i="27"/>
  <c r="BX308" i="27"/>
  <c r="BW308" i="27"/>
  <c r="BV308" i="27"/>
  <c r="BU308" i="27"/>
  <c r="BT308" i="27"/>
  <c r="BS308" i="27"/>
  <c r="BR308" i="27"/>
  <c r="BQ308" i="27"/>
  <c r="BP308" i="27"/>
  <c r="BO308" i="27"/>
  <c r="BN308" i="27"/>
  <c r="BM308" i="27"/>
  <c r="BL308" i="27"/>
  <c r="BK308"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CI307" i="27"/>
  <c r="CH307" i="27"/>
  <c r="CG307" i="27"/>
  <c r="CF307" i="27"/>
  <c r="CE307" i="27"/>
  <c r="CD307" i="27"/>
  <c r="CC307" i="27"/>
  <c r="CB307" i="27"/>
  <c r="CA307" i="27"/>
  <c r="BZ307" i="27"/>
  <c r="BY307" i="27"/>
  <c r="BX307" i="27"/>
  <c r="BW307" i="27"/>
  <c r="BV307" i="27"/>
  <c r="BU307" i="27"/>
  <c r="BT307" i="27"/>
  <c r="BS307" i="27"/>
  <c r="BR307" i="27"/>
  <c r="BQ307" i="27"/>
  <c r="BP307" i="27"/>
  <c r="BO307" i="27"/>
  <c r="BN307" i="27"/>
  <c r="BM307" i="27"/>
  <c r="BL307" i="27"/>
  <c r="BK307"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CI306" i="27"/>
  <c r="CH306" i="27"/>
  <c r="CG306" i="27"/>
  <c r="CF306" i="27"/>
  <c r="CE306" i="27"/>
  <c r="CD306" i="27"/>
  <c r="CC306" i="27"/>
  <c r="CB306" i="27"/>
  <c r="CA306" i="27"/>
  <c r="BZ306" i="27"/>
  <c r="BY306" i="27"/>
  <c r="BX306" i="27"/>
  <c r="BW306" i="27"/>
  <c r="BV306" i="27"/>
  <c r="BU306" i="27"/>
  <c r="BT306" i="27"/>
  <c r="BS306" i="27"/>
  <c r="BR306" i="27"/>
  <c r="BQ306" i="27"/>
  <c r="BP306" i="27"/>
  <c r="BO306" i="27"/>
  <c r="BN306" i="27"/>
  <c r="BM306" i="27"/>
  <c r="BL306" i="27"/>
  <c r="BK306"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CI305" i="27"/>
  <c r="CH305" i="27"/>
  <c r="CG305" i="27"/>
  <c r="CF305" i="27"/>
  <c r="CE305" i="27"/>
  <c r="CD305" i="27"/>
  <c r="CC305" i="27"/>
  <c r="CB305" i="27"/>
  <c r="CA305" i="27"/>
  <c r="BZ305" i="27"/>
  <c r="BY305" i="27"/>
  <c r="BX305" i="27"/>
  <c r="BW305" i="27"/>
  <c r="BV305" i="27"/>
  <c r="BU305" i="27"/>
  <c r="BT305" i="27"/>
  <c r="BS305" i="27"/>
  <c r="BR305" i="27"/>
  <c r="BQ305" i="27"/>
  <c r="BP305" i="27"/>
  <c r="BO305" i="27"/>
  <c r="BN305" i="27"/>
  <c r="BM305" i="27"/>
  <c r="BL305" i="27"/>
  <c r="BK305"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CI304" i="27"/>
  <c r="CI361" i="27" s="1"/>
  <c r="CH304" i="27"/>
  <c r="CH361" i="27" s="1"/>
  <c r="CG304" i="27"/>
  <c r="CG361" i="27" s="1"/>
  <c r="CF304" i="27"/>
  <c r="CF361" i="27" s="1"/>
  <c r="CE304" i="27"/>
  <c r="CE361" i="27" s="1"/>
  <c r="CD304" i="27"/>
  <c r="CD361" i="27" s="1"/>
  <c r="CC304" i="27"/>
  <c r="CC361" i="27" s="1"/>
  <c r="CB304" i="27"/>
  <c r="CB361" i="27" s="1"/>
  <c r="CA304" i="27"/>
  <c r="CA361" i="27" s="1"/>
  <c r="BZ304" i="27"/>
  <c r="BZ361" i="27" s="1"/>
  <c r="BY304" i="27"/>
  <c r="BY361" i="27" s="1"/>
  <c r="BX304" i="27"/>
  <c r="BX361" i="27" s="1"/>
  <c r="BW304" i="27"/>
  <c r="BW361" i="27" s="1"/>
  <c r="BV304" i="27"/>
  <c r="BV361" i="27" s="1"/>
  <c r="BU304" i="27"/>
  <c r="BU361" i="27" s="1"/>
  <c r="BT304" i="27"/>
  <c r="BT361" i="27" s="1"/>
  <c r="BS304" i="27"/>
  <c r="BS361" i="27" s="1"/>
  <c r="BR304" i="27"/>
  <c r="BR361" i="27" s="1"/>
  <c r="BQ304" i="27"/>
  <c r="BQ361" i="27" s="1"/>
  <c r="BP304" i="27"/>
  <c r="BP361" i="27" s="1"/>
  <c r="BO304" i="27"/>
  <c r="BO361" i="27" s="1"/>
  <c r="BN304" i="27"/>
  <c r="BN361" i="27" s="1"/>
  <c r="BM304" i="27"/>
  <c r="BM361" i="27" s="1"/>
  <c r="BL304" i="27"/>
  <c r="BL361" i="27" s="1"/>
  <c r="BK304" i="27"/>
  <c r="BK361" i="27" s="1"/>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CI242" i="27"/>
  <c r="CH242" i="27"/>
  <c r="CH389" i="27" s="1"/>
  <c r="CG242" i="27"/>
  <c r="CG389" i="27" s="1"/>
  <c r="CF242" i="27"/>
  <c r="CF389" i="27" s="1"/>
  <c r="CE242" i="27"/>
  <c r="CE389" i="27" s="1"/>
  <c r="CD242" i="27"/>
  <c r="CC242" i="27"/>
  <c r="CB242" i="27"/>
  <c r="CB389" i="27" s="1"/>
  <c r="CA242" i="27"/>
  <c r="BZ242" i="27"/>
  <c r="BZ389" i="27" s="1"/>
  <c r="BY242" i="27"/>
  <c r="BY389" i="27" s="1"/>
  <c r="BX242" i="27"/>
  <c r="BW242" i="27"/>
  <c r="BV242" i="27"/>
  <c r="BU242" i="27"/>
  <c r="BT242" i="27"/>
  <c r="BS242" i="27"/>
  <c r="BR242" i="27"/>
  <c r="BR389" i="27" s="1"/>
  <c r="BQ242" i="27"/>
  <c r="BQ389" i="27" s="1"/>
  <c r="BP242" i="27"/>
  <c r="BO242" i="27"/>
  <c r="BN242" i="27"/>
  <c r="BM242" i="27"/>
  <c r="BL242" i="27"/>
  <c r="BK242" i="27"/>
  <c r="BJ242" i="27"/>
  <c r="BJ389" i="27" s="1"/>
  <c r="BI242" i="27"/>
  <c r="BI389" i="27" s="1"/>
  <c r="BH242" i="27"/>
  <c r="BG242" i="27"/>
  <c r="BF242" i="27"/>
  <c r="BE242" i="27"/>
  <c r="BD242" i="27"/>
  <c r="BC242" i="27"/>
  <c r="BB242" i="27"/>
  <c r="BB389" i="27" s="1"/>
  <c r="BA242" i="27"/>
  <c r="BA389" i="27" s="1"/>
  <c r="AZ242" i="27"/>
  <c r="AY242" i="27"/>
  <c r="AX242" i="27"/>
  <c r="AW242" i="27"/>
  <c r="AV242" i="27"/>
  <c r="AU242" i="27"/>
  <c r="AT242" i="27"/>
  <c r="AT389" i="27" s="1"/>
  <c r="AS242" i="27"/>
  <c r="AS389" i="27" s="1"/>
  <c r="AR242" i="27"/>
  <c r="AQ242" i="27"/>
  <c r="AP242" i="27"/>
  <c r="AO242" i="27"/>
  <c r="AN242" i="27"/>
  <c r="AM242" i="27"/>
  <c r="AL242" i="27"/>
  <c r="AL389" i="27" s="1"/>
  <c r="AK242" i="27"/>
  <c r="AK389" i="27" s="1"/>
  <c r="AJ242" i="27"/>
  <c r="AI242" i="27"/>
  <c r="AH242" i="27"/>
  <c r="AG242" i="27"/>
  <c r="AF242" i="27"/>
  <c r="AE242" i="27"/>
  <c r="AD242" i="27"/>
  <c r="AD389" i="27" s="1"/>
  <c r="AC242" i="27"/>
  <c r="AC389" i="27" s="1"/>
  <c r="AB242" i="27"/>
  <c r="AA242" i="27"/>
  <c r="Z242" i="27"/>
  <c r="Y242" i="27"/>
  <c r="X242" i="27"/>
  <c r="W242" i="27"/>
  <c r="V242" i="27"/>
  <c r="V389" i="27" s="1"/>
  <c r="U242" i="27"/>
  <c r="U389" i="27" s="1"/>
  <c r="T242" i="27"/>
  <c r="S242" i="27"/>
  <c r="R242" i="27"/>
  <c r="Q242" i="27"/>
  <c r="P242" i="27"/>
  <c r="O242" i="27"/>
  <c r="N242" i="27"/>
  <c r="N389" i="27" s="1"/>
  <c r="M242" i="27"/>
  <c r="M389" i="27" s="1"/>
  <c r="L242" i="27"/>
  <c r="K242" i="27"/>
  <c r="J242" i="27"/>
  <c r="I242" i="27"/>
  <c r="H389" i="27"/>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K230" i="27"/>
  <c r="J230" i="27"/>
  <c r="I230" i="27"/>
  <c r="CI213" i="27"/>
  <c r="CI222" i="27" s="1"/>
  <c r="CI223" i="27" s="1"/>
  <c r="CH213" i="27"/>
  <c r="CH222" i="27" s="1"/>
  <c r="CH223" i="27" s="1"/>
  <c r="CG213" i="27"/>
  <c r="CG222" i="27" s="1"/>
  <c r="CG223" i="27" s="1"/>
  <c r="CF213" i="27"/>
  <c r="CE213" i="27"/>
  <c r="CD213" i="27"/>
  <c r="CD222" i="27" s="1"/>
  <c r="CD223" i="27" s="1"/>
  <c r="CC213" i="27"/>
  <c r="CC222" i="27" s="1"/>
  <c r="CC223" i="27" s="1"/>
  <c r="CB213" i="27"/>
  <c r="CB222" i="27" s="1"/>
  <c r="CB223" i="27" s="1"/>
  <c r="CA213" i="27"/>
  <c r="CA222" i="27" s="1"/>
  <c r="CA223" i="27" s="1"/>
  <c r="BZ213" i="27"/>
  <c r="BZ222" i="27" s="1"/>
  <c r="BZ223" i="27" s="1"/>
  <c r="BY213" i="27"/>
  <c r="BY222" i="27" s="1"/>
  <c r="BY223" i="27" s="1"/>
  <c r="BX213" i="27"/>
  <c r="BW213" i="27"/>
  <c r="BV213" i="27"/>
  <c r="BV222" i="27" s="1"/>
  <c r="BV223" i="27" s="1"/>
  <c r="BU213" i="27"/>
  <c r="BU222" i="27" s="1"/>
  <c r="BU223" i="27" s="1"/>
  <c r="BT213" i="27"/>
  <c r="BT222" i="27" s="1"/>
  <c r="BT223" i="27" s="1"/>
  <c r="BS213" i="27"/>
  <c r="BS222" i="27" s="1"/>
  <c r="BS223" i="27" s="1"/>
  <c r="BR213" i="27"/>
  <c r="BR222" i="27" s="1"/>
  <c r="BR223" i="27" s="1"/>
  <c r="BQ213" i="27"/>
  <c r="BQ222" i="27" s="1"/>
  <c r="BQ223" i="27" s="1"/>
  <c r="BP213" i="27"/>
  <c r="BO213" i="27"/>
  <c r="BN213" i="27"/>
  <c r="BN222" i="27" s="1"/>
  <c r="BN223" i="27" s="1"/>
  <c r="BM213" i="27"/>
  <c r="BM222" i="27" s="1"/>
  <c r="BM223" i="27" s="1"/>
  <c r="BL213" i="27"/>
  <c r="BL222" i="27" s="1"/>
  <c r="BL223" i="27" s="1"/>
  <c r="BK213" i="27"/>
  <c r="BK222" i="27" s="1"/>
  <c r="BK223" i="27" s="1"/>
  <c r="BJ213" i="27"/>
  <c r="BJ222" i="27" s="1"/>
  <c r="BJ223" i="27" s="1"/>
  <c r="BI213" i="27"/>
  <c r="BI222" i="27" s="1"/>
  <c r="BI223" i="27" s="1"/>
  <c r="BH213" i="27"/>
  <c r="BG213" i="27"/>
  <c r="BG212" i="27" s="1"/>
  <c r="BG309" i="27" s="1"/>
  <c r="BF213" i="27"/>
  <c r="BF222" i="27" s="1"/>
  <c r="BF223" i="27" s="1"/>
  <c r="BE213" i="27"/>
  <c r="BE222" i="27" s="1"/>
  <c r="BE223" i="27" s="1"/>
  <c r="BD213" i="27"/>
  <c r="BD222" i="27" s="1"/>
  <c r="BD223" i="27" s="1"/>
  <c r="BC213" i="27"/>
  <c r="BC222" i="27" s="1"/>
  <c r="BC223" i="27" s="1"/>
  <c r="BB213" i="27"/>
  <c r="BB222" i="27" s="1"/>
  <c r="BB223" i="27" s="1"/>
  <c r="BA213" i="27"/>
  <c r="BA222" i="27" s="1"/>
  <c r="BA223" i="27" s="1"/>
  <c r="AZ213" i="27"/>
  <c r="AY213" i="27"/>
  <c r="AX213" i="27"/>
  <c r="AX222" i="27" s="1"/>
  <c r="AX223" i="27" s="1"/>
  <c r="AW213" i="27"/>
  <c r="AW222" i="27" s="1"/>
  <c r="AW223" i="27" s="1"/>
  <c r="AV213" i="27"/>
  <c r="AV222" i="27" s="1"/>
  <c r="AV223" i="27" s="1"/>
  <c r="AU213" i="27"/>
  <c r="AU222" i="27" s="1"/>
  <c r="AU223" i="27" s="1"/>
  <c r="AT213" i="27"/>
  <c r="AT222" i="27" s="1"/>
  <c r="AT223" i="27" s="1"/>
  <c r="AS213" i="27"/>
  <c r="AS222" i="27" s="1"/>
  <c r="AS223" i="27" s="1"/>
  <c r="AR213" i="27"/>
  <c r="AQ213" i="27"/>
  <c r="AQ222" i="27" s="1"/>
  <c r="AQ223" i="27" s="1"/>
  <c r="AP213" i="27"/>
  <c r="AP222" i="27" s="1"/>
  <c r="AP223" i="27" s="1"/>
  <c r="AO213" i="27"/>
  <c r="AO222" i="27" s="1"/>
  <c r="AO223" i="27" s="1"/>
  <c r="AN213" i="27"/>
  <c r="AN222" i="27" s="1"/>
  <c r="AN223" i="27" s="1"/>
  <c r="AM213" i="27"/>
  <c r="AM222" i="27" s="1"/>
  <c r="AM223" i="27" s="1"/>
  <c r="AL213" i="27"/>
  <c r="AL222" i="27" s="1"/>
  <c r="AL223" i="27" s="1"/>
  <c r="AK213" i="27"/>
  <c r="AK212" i="27" s="1"/>
  <c r="AK309" i="27" s="1"/>
  <c r="AJ213" i="27"/>
  <c r="AI213" i="27"/>
  <c r="AH213" i="27"/>
  <c r="AH222" i="27" s="1"/>
  <c r="AH223" i="27" s="1"/>
  <c r="AG213" i="27"/>
  <c r="AG222" i="27" s="1"/>
  <c r="AG223" i="27" s="1"/>
  <c r="AF213" i="27"/>
  <c r="AF222" i="27" s="1"/>
  <c r="AF223" i="27" s="1"/>
  <c r="AE213" i="27"/>
  <c r="AE222" i="27" s="1"/>
  <c r="AE223" i="27" s="1"/>
  <c r="AD213" i="27"/>
  <c r="AD222" i="27" s="1"/>
  <c r="AD223" i="27" s="1"/>
  <c r="AC213" i="27"/>
  <c r="AC222" i="27" s="1"/>
  <c r="AC223" i="27" s="1"/>
  <c r="AB213" i="27"/>
  <c r="AA213" i="27"/>
  <c r="Z213" i="27"/>
  <c r="Z222" i="27" s="1"/>
  <c r="Z223" i="27" s="1"/>
  <c r="Y213" i="27"/>
  <c r="Y222" i="27" s="1"/>
  <c r="Y223" i="27" s="1"/>
  <c r="X213" i="27"/>
  <c r="X222" i="27" s="1"/>
  <c r="X223" i="27" s="1"/>
  <c r="W213" i="27"/>
  <c r="W222" i="27" s="1"/>
  <c r="W223" i="27" s="1"/>
  <c r="V213" i="27"/>
  <c r="V222" i="27" s="1"/>
  <c r="V223" i="27" s="1"/>
  <c r="U213" i="27"/>
  <c r="U222" i="27" s="1"/>
  <c r="U223" i="27" s="1"/>
  <c r="T213" i="27"/>
  <c r="S213" i="27"/>
  <c r="R213" i="27"/>
  <c r="R222" i="27" s="1"/>
  <c r="R223" i="27" s="1"/>
  <c r="Q213" i="27"/>
  <c r="Q222" i="27" s="1"/>
  <c r="Q223" i="27" s="1"/>
  <c r="P213" i="27"/>
  <c r="P222" i="27" s="1"/>
  <c r="P223" i="27" s="1"/>
  <c r="O213" i="27"/>
  <c r="O212" i="27" s="1"/>
  <c r="O309" i="27" s="1"/>
  <c r="N213" i="27"/>
  <c r="N222" i="27" s="1"/>
  <c r="N223" i="27" s="1"/>
  <c r="M213" i="27"/>
  <c r="M222" i="27" s="1"/>
  <c r="M223" i="27" s="1"/>
  <c r="L213" i="27"/>
  <c r="K213" i="27"/>
  <c r="J213" i="27"/>
  <c r="J222" i="27" s="1"/>
  <c r="J223" i="27" s="1"/>
  <c r="I213" i="27"/>
  <c r="I222" i="27" s="1"/>
  <c r="I223" i="27" s="1"/>
  <c r="C185" i="27"/>
  <c r="CI178" i="27"/>
  <c r="CH178" i="27"/>
  <c r="CG178" i="27"/>
  <c r="CG75" i="15" s="1"/>
  <c r="CF178" i="27"/>
  <c r="CF75" i="15" s="1"/>
  <c r="CE178" i="27"/>
  <c r="CE75" i="15" s="1"/>
  <c r="CD178" i="27"/>
  <c r="CD75" i="15" s="1"/>
  <c r="CC178" i="27"/>
  <c r="CC75" i="15" s="1"/>
  <c r="CB178" i="27"/>
  <c r="CB75" i="15" s="1"/>
  <c r="CA178" i="27"/>
  <c r="CA75" i="15" s="1"/>
  <c r="BZ178" i="27"/>
  <c r="BZ75" i="15" s="1"/>
  <c r="BY178" i="27"/>
  <c r="BY75" i="15" s="1"/>
  <c r="BX178" i="27"/>
  <c r="BX75" i="15" s="1"/>
  <c r="BW178" i="27"/>
  <c r="BW75" i="15" s="1"/>
  <c r="BV178" i="27"/>
  <c r="BV75" i="15" s="1"/>
  <c r="BU178" i="27"/>
  <c r="BU75" i="15" s="1"/>
  <c r="BT178" i="27"/>
  <c r="BT75" i="15" s="1"/>
  <c r="BS178" i="27"/>
  <c r="BS75" i="15" s="1"/>
  <c r="BR178" i="27"/>
  <c r="BR75" i="15" s="1"/>
  <c r="BQ178" i="27"/>
  <c r="BQ75" i="15" s="1"/>
  <c r="BP178" i="27"/>
  <c r="BP75" i="15" s="1"/>
  <c r="BO178" i="27"/>
  <c r="BO75" i="15" s="1"/>
  <c r="BN178" i="27"/>
  <c r="BN75" i="15" s="1"/>
  <c r="BM178" i="27"/>
  <c r="BM75" i="15" s="1"/>
  <c r="BL178" i="27"/>
  <c r="BL75" i="15" s="1"/>
  <c r="BK178" i="27"/>
  <c r="BK75" i="15" s="1"/>
  <c r="BJ178" i="27"/>
  <c r="BJ75" i="15" s="1"/>
  <c r="BI178" i="27"/>
  <c r="BI75" i="15" s="1"/>
  <c r="BH178" i="27"/>
  <c r="BH75" i="15" s="1"/>
  <c r="BG178" i="27"/>
  <c r="BG75" i="15" s="1"/>
  <c r="BF178" i="27"/>
  <c r="BF75" i="15" s="1"/>
  <c r="BE178" i="27"/>
  <c r="BE75" i="15" s="1"/>
  <c r="BD178" i="27"/>
  <c r="BD75" i="15" s="1"/>
  <c r="BC178" i="27"/>
  <c r="BC75" i="15" s="1"/>
  <c r="BB178" i="27"/>
  <c r="BB75" i="15" s="1"/>
  <c r="BA178" i="27"/>
  <c r="BA75" i="15" s="1"/>
  <c r="AZ178" i="27"/>
  <c r="AZ75" i="15" s="1"/>
  <c r="AY178" i="27"/>
  <c r="AY75" i="15" s="1"/>
  <c r="AX178" i="27"/>
  <c r="AX75" i="15" s="1"/>
  <c r="AW178" i="27"/>
  <c r="AW75" i="15" s="1"/>
  <c r="AV178" i="27"/>
  <c r="AV75" i="15" s="1"/>
  <c r="AU178" i="27"/>
  <c r="AU75" i="15" s="1"/>
  <c r="AT178" i="27"/>
  <c r="AT75" i="15" s="1"/>
  <c r="AS178" i="27"/>
  <c r="AS75" i="15" s="1"/>
  <c r="AR178" i="27"/>
  <c r="AR75" i="15" s="1"/>
  <c r="AQ178" i="27"/>
  <c r="AQ75" i="15" s="1"/>
  <c r="AP178" i="27"/>
  <c r="AP75" i="15" s="1"/>
  <c r="AO178" i="27"/>
  <c r="AO75" i="15" s="1"/>
  <c r="AN178" i="27"/>
  <c r="AN75" i="15" s="1"/>
  <c r="AM178" i="27"/>
  <c r="AM75" i="15" s="1"/>
  <c r="AL178" i="27"/>
  <c r="AL75" i="15" s="1"/>
  <c r="AK178" i="27"/>
  <c r="AK75" i="15" s="1"/>
  <c r="AJ178" i="27"/>
  <c r="AJ75" i="15" s="1"/>
  <c r="AI178" i="27"/>
  <c r="AI75" i="15" s="1"/>
  <c r="AH178" i="27"/>
  <c r="AH75" i="15" s="1"/>
  <c r="AG178" i="27"/>
  <c r="AG75" i="15" s="1"/>
  <c r="AF178" i="27"/>
  <c r="AF75" i="15" s="1"/>
  <c r="AE178" i="27"/>
  <c r="AE75" i="15" s="1"/>
  <c r="AD178" i="27"/>
  <c r="AD75" i="15" s="1"/>
  <c r="AC178" i="27"/>
  <c r="AC75" i="15" s="1"/>
  <c r="AB178" i="27"/>
  <c r="AB75" i="15" s="1"/>
  <c r="AA178" i="27"/>
  <c r="AA75" i="15" s="1"/>
  <c r="Z178" i="27"/>
  <c r="Z75" i="15" s="1"/>
  <c r="Y178" i="27"/>
  <c r="Y75" i="15" s="1"/>
  <c r="X178" i="27"/>
  <c r="X75" i="15" s="1"/>
  <c r="W178" i="27"/>
  <c r="W75" i="15" s="1"/>
  <c r="V178" i="27"/>
  <c r="V75" i="15" s="1"/>
  <c r="U178" i="27"/>
  <c r="U75" i="15" s="1"/>
  <c r="T178" i="27"/>
  <c r="T75" i="15" s="1"/>
  <c r="S178" i="27"/>
  <c r="S75" i="15" s="1"/>
  <c r="R178" i="27"/>
  <c r="R75" i="15" s="1"/>
  <c r="Q178" i="27"/>
  <c r="P178" i="27"/>
  <c r="O178" i="27"/>
  <c r="N178" i="27"/>
  <c r="M178" i="27"/>
  <c r="L178" i="27"/>
  <c r="K178" i="27"/>
  <c r="K75" i="15" s="1"/>
  <c r="J178" i="27"/>
  <c r="J75" i="15" s="1"/>
  <c r="I178" i="27"/>
  <c r="I75" i="15" s="1"/>
  <c r="CI171" i="27"/>
  <c r="CH171" i="27"/>
  <c r="CG171" i="27"/>
  <c r="CF171" i="27"/>
  <c r="CE171" i="27"/>
  <c r="CD171" i="27"/>
  <c r="CC171" i="27"/>
  <c r="CB171" i="27"/>
  <c r="CA171" i="27"/>
  <c r="BZ171" i="27"/>
  <c r="BY171" i="27"/>
  <c r="BX171" i="27"/>
  <c r="BW171" i="27"/>
  <c r="BV171" i="27"/>
  <c r="BU171" i="27"/>
  <c r="BT171" i="27"/>
  <c r="BS171" i="27"/>
  <c r="BR171" i="27"/>
  <c r="BQ171" i="27"/>
  <c r="BP171" i="27"/>
  <c r="CI150" i="27"/>
  <c r="CH150" i="27"/>
  <c r="CG150" i="27"/>
  <c r="CF150" i="27"/>
  <c r="CE150" i="27"/>
  <c r="CD150" i="27"/>
  <c r="CC150" i="27"/>
  <c r="CB150" i="27"/>
  <c r="CA150" i="27"/>
  <c r="BZ150" i="27"/>
  <c r="BY150" i="27"/>
  <c r="BX150" i="27"/>
  <c r="BW150" i="27"/>
  <c r="BV150" i="27"/>
  <c r="BU150" i="27"/>
  <c r="BT150" i="27"/>
  <c r="BS150" i="27"/>
  <c r="BR150" i="27"/>
  <c r="BQ150" i="27"/>
  <c r="BP150" i="27"/>
  <c r="BO150" i="27"/>
  <c r="BN150" i="27"/>
  <c r="BM150" i="27"/>
  <c r="BL150" i="27"/>
  <c r="BK150"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L150" i="27"/>
  <c r="K150" i="27"/>
  <c r="J150" i="27"/>
  <c r="I150" i="27"/>
  <c r="CI149" i="27"/>
  <c r="CH149" i="27"/>
  <c r="CG149" i="27"/>
  <c r="CF149" i="27"/>
  <c r="CE149" i="27"/>
  <c r="CD149" i="27"/>
  <c r="CC149" i="27"/>
  <c r="CB149" i="27"/>
  <c r="CA149" i="27"/>
  <c r="BZ149" i="27"/>
  <c r="BY149" i="27"/>
  <c r="BX149" i="27"/>
  <c r="BW149" i="27"/>
  <c r="BV149" i="27"/>
  <c r="BU149" i="27"/>
  <c r="BT149" i="27"/>
  <c r="BS149" i="27"/>
  <c r="BR149" i="27"/>
  <c r="BQ149" i="27"/>
  <c r="BP149" i="27"/>
  <c r="BO149" i="27"/>
  <c r="BN149" i="27"/>
  <c r="BM149" i="27"/>
  <c r="BL149" i="27"/>
  <c r="BK149"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CI148" i="27"/>
  <c r="CH148" i="27"/>
  <c r="CG148" i="27"/>
  <c r="CF148" i="27"/>
  <c r="CE148" i="27"/>
  <c r="CD148" i="27"/>
  <c r="CC148" i="27"/>
  <c r="CB148" i="27"/>
  <c r="CA148" i="27"/>
  <c r="BZ148" i="27"/>
  <c r="BY148" i="27"/>
  <c r="BX148" i="27"/>
  <c r="BW148" i="27"/>
  <c r="BV148" i="27"/>
  <c r="BU148" i="27"/>
  <c r="BT148" i="27"/>
  <c r="BS148" i="27"/>
  <c r="BR148" i="27"/>
  <c r="BQ148" i="27"/>
  <c r="BP148" i="27"/>
  <c r="BO148" i="27"/>
  <c r="BN148" i="27"/>
  <c r="BM148" i="27"/>
  <c r="BL148" i="27"/>
  <c r="BK148"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M148" i="27"/>
  <c r="L148" i="27"/>
  <c r="K148" i="27"/>
  <c r="J148" i="27"/>
  <c r="I148" i="27"/>
  <c r="CI147" i="27"/>
  <c r="CH147" i="27"/>
  <c r="CG147" i="27"/>
  <c r="CF147" i="27"/>
  <c r="CE147" i="27"/>
  <c r="CD147" i="27"/>
  <c r="CC147" i="27"/>
  <c r="CB147" i="27"/>
  <c r="CA147" i="27"/>
  <c r="BZ147" i="27"/>
  <c r="BY147" i="27"/>
  <c r="BX147" i="27"/>
  <c r="BW147" i="27"/>
  <c r="BV147" i="27"/>
  <c r="BU147" i="27"/>
  <c r="BT147" i="27"/>
  <c r="BS147" i="27"/>
  <c r="BR147" i="27"/>
  <c r="BQ147" i="27"/>
  <c r="BP147" i="27"/>
  <c r="BO147" i="27"/>
  <c r="BN147" i="27"/>
  <c r="BM147" i="27"/>
  <c r="BL147" i="27"/>
  <c r="BK147"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CI146" i="27"/>
  <c r="CH146" i="27"/>
  <c r="CG146" i="27"/>
  <c r="CF146" i="27"/>
  <c r="CE146" i="27"/>
  <c r="CD146" i="27"/>
  <c r="CC146" i="27"/>
  <c r="CB146" i="27"/>
  <c r="CA146" i="27"/>
  <c r="BZ146" i="27"/>
  <c r="BY146" i="27"/>
  <c r="BX146" i="27"/>
  <c r="BW146" i="27"/>
  <c r="BV146" i="27"/>
  <c r="BU146" i="27"/>
  <c r="BT146" i="27"/>
  <c r="BS146" i="27"/>
  <c r="BR146" i="27"/>
  <c r="BQ146" i="27"/>
  <c r="BP146" i="27"/>
  <c r="BO146" i="27"/>
  <c r="BN146" i="27"/>
  <c r="BM146" i="27"/>
  <c r="BL146" i="27"/>
  <c r="BK146"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CI145" i="27"/>
  <c r="CH145" i="27"/>
  <c r="CG145" i="27"/>
  <c r="CF145" i="27"/>
  <c r="CE145" i="27"/>
  <c r="CD145" i="27"/>
  <c r="CC145" i="27"/>
  <c r="CB145" i="27"/>
  <c r="CA145" i="27"/>
  <c r="BZ145" i="27"/>
  <c r="BY145" i="27"/>
  <c r="BX145" i="27"/>
  <c r="BW145" i="27"/>
  <c r="BV145" i="27"/>
  <c r="BU145" i="27"/>
  <c r="BT145" i="27"/>
  <c r="BS145" i="27"/>
  <c r="BR145" i="27"/>
  <c r="BQ145" i="27"/>
  <c r="BP145" i="27"/>
  <c r="BO145" i="27"/>
  <c r="BN145" i="27"/>
  <c r="BM145" i="27"/>
  <c r="BL145" i="27"/>
  <c r="BK145"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CI144" i="27"/>
  <c r="CH144" i="27"/>
  <c r="CG144" i="27"/>
  <c r="CF144" i="27"/>
  <c r="CE144" i="27"/>
  <c r="CD144" i="27"/>
  <c r="CC144" i="27"/>
  <c r="CB144" i="27"/>
  <c r="CA144" i="27"/>
  <c r="BZ144" i="27"/>
  <c r="BY144" i="27"/>
  <c r="BX144" i="27"/>
  <c r="BW144" i="27"/>
  <c r="BV144" i="27"/>
  <c r="BU144" i="27"/>
  <c r="BT144" i="27"/>
  <c r="BS144" i="27"/>
  <c r="BR144" i="27"/>
  <c r="BQ144" i="27"/>
  <c r="BP144" i="27"/>
  <c r="BO144" i="27"/>
  <c r="BN144" i="27"/>
  <c r="BM144" i="27"/>
  <c r="BL144" i="27"/>
  <c r="BK144"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CI143" i="27"/>
  <c r="CH143" i="27"/>
  <c r="CG143" i="27"/>
  <c r="CF143" i="27"/>
  <c r="CE143" i="27"/>
  <c r="CD143" i="27"/>
  <c r="CC143" i="27"/>
  <c r="CB143" i="27"/>
  <c r="CA143" i="27"/>
  <c r="BZ143" i="27"/>
  <c r="BY143" i="27"/>
  <c r="BX143" i="27"/>
  <c r="BW143" i="27"/>
  <c r="BV143" i="27"/>
  <c r="BU143" i="27"/>
  <c r="BT143" i="27"/>
  <c r="BS143" i="27"/>
  <c r="BR143" i="27"/>
  <c r="BQ143" i="27"/>
  <c r="BP143" i="27"/>
  <c r="BO143" i="27"/>
  <c r="BN143" i="27"/>
  <c r="BM143" i="27"/>
  <c r="BL143" i="27"/>
  <c r="BK143"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CI138" i="27"/>
  <c r="CH138" i="27"/>
  <c r="CG138" i="27"/>
  <c r="CF138" i="27"/>
  <c r="CE138" i="27"/>
  <c r="CD138" i="27"/>
  <c r="CC138" i="27"/>
  <c r="CB138" i="27"/>
  <c r="CA138" i="27"/>
  <c r="BZ138" i="27"/>
  <c r="BY138" i="27"/>
  <c r="BX138" i="27"/>
  <c r="BW138" i="27"/>
  <c r="BV138" i="27"/>
  <c r="BU138" i="27"/>
  <c r="BT138" i="27"/>
  <c r="BS138" i="27"/>
  <c r="BR138" i="27"/>
  <c r="BQ138" i="27"/>
  <c r="BP138" i="27"/>
  <c r="BO138" i="27"/>
  <c r="BN138" i="27"/>
  <c r="BM138" i="27"/>
  <c r="BL138" i="27"/>
  <c r="BK138"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CI137" i="27"/>
  <c r="CH137" i="27"/>
  <c r="CG137" i="27"/>
  <c r="CF137" i="27"/>
  <c r="CE137" i="27"/>
  <c r="CD137" i="27"/>
  <c r="CC137" i="27"/>
  <c r="CB137" i="27"/>
  <c r="CA137" i="27"/>
  <c r="BZ137" i="27"/>
  <c r="BY137" i="27"/>
  <c r="BX137" i="27"/>
  <c r="BW137" i="27"/>
  <c r="BV137" i="27"/>
  <c r="BU137" i="27"/>
  <c r="BT137" i="27"/>
  <c r="BS137" i="27"/>
  <c r="BR137" i="27"/>
  <c r="BQ137" i="27"/>
  <c r="BP137" i="27"/>
  <c r="L137" i="27"/>
  <c r="K137" i="27"/>
  <c r="J137" i="27"/>
  <c r="I137" i="27"/>
  <c r="H378" i="27"/>
  <c r="CI136" i="27"/>
  <c r="CH136" i="27"/>
  <c r="CG136" i="27"/>
  <c r="CF136" i="27"/>
  <c r="CE136" i="27"/>
  <c r="CD136" i="27"/>
  <c r="CC136" i="27"/>
  <c r="CB136" i="27"/>
  <c r="CB70" i="15" s="1"/>
  <c r="CA136" i="27"/>
  <c r="BZ136" i="27"/>
  <c r="BZ70" i="15" s="1"/>
  <c r="BY136" i="27"/>
  <c r="BX136" i="27"/>
  <c r="BW136" i="27"/>
  <c r="BV136" i="27"/>
  <c r="BU136" i="27"/>
  <c r="BT136" i="27"/>
  <c r="BS136" i="27"/>
  <c r="BS70" i="15" s="1"/>
  <c r="BR136" i="27"/>
  <c r="BQ136" i="27"/>
  <c r="BP136" i="27"/>
  <c r="L136" i="27"/>
  <c r="K136" i="27"/>
  <c r="J136" i="27"/>
  <c r="J70" i="15" s="1"/>
  <c r="I136" i="27"/>
  <c r="CI135" i="27"/>
  <c r="CH135" i="27"/>
  <c r="CG135" i="27"/>
  <c r="CF135" i="27"/>
  <c r="CE135" i="27"/>
  <c r="CD135" i="27"/>
  <c r="CC135" i="27"/>
  <c r="CB135" i="27"/>
  <c r="CA135" i="27"/>
  <c r="BZ135" i="27"/>
  <c r="BY135" i="27"/>
  <c r="BX135" i="27"/>
  <c r="BW135" i="27"/>
  <c r="BV135" i="27"/>
  <c r="BU135" i="27"/>
  <c r="BT135" i="27"/>
  <c r="BS135" i="27"/>
  <c r="BR135" i="27"/>
  <c r="BQ135" i="27"/>
  <c r="BP135" i="27"/>
  <c r="CI133" i="27"/>
  <c r="CH133" i="27"/>
  <c r="CG133" i="27"/>
  <c r="CG72" i="15" s="1"/>
  <c r="CF133" i="27"/>
  <c r="CF72" i="15" s="1"/>
  <c r="CE133" i="27"/>
  <c r="CD133" i="27"/>
  <c r="CD72" i="15" s="1"/>
  <c r="CC133" i="27"/>
  <c r="CB133" i="27"/>
  <c r="CA133" i="27"/>
  <c r="BZ133" i="27"/>
  <c r="BY133" i="27"/>
  <c r="BX133" i="27"/>
  <c r="BW133" i="27"/>
  <c r="BW72" i="15" s="1"/>
  <c r="BV133" i="27"/>
  <c r="BU133" i="27"/>
  <c r="BT133" i="27"/>
  <c r="BS133" i="27"/>
  <c r="BR133" i="27"/>
  <c r="BQ133" i="27"/>
  <c r="BP133" i="27"/>
  <c r="CI130" i="27"/>
  <c r="CH130" i="27"/>
  <c r="CG130" i="27"/>
  <c r="CG69" i="15" s="1"/>
  <c r="CF130" i="27"/>
  <c r="CF69" i="15" s="1"/>
  <c r="CE130" i="27"/>
  <c r="CE69" i="15" s="1"/>
  <c r="CD130" i="27"/>
  <c r="CD69" i="15" s="1"/>
  <c r="CC130" i="27"/>
  <c r="CC69" i="15" s="1"/>
  <c r="CB130" i="27"/>
  <c r="CB69" i="15" s="1"/>
  <c r="CA130" i="27"/>
  <c r="CA69" i="15" s="1"/>
  <c r="BZ130" i="27"/>
  <c r="BZ69" i="15" s="1"/>
  <c r="BY130" i="27"/>
  <c r="BY69" i="15" s="1"/>
  <c r="BX130" i="27"/>
  <c r="BX69" i="15" s="1"/>
  <c r="BW130" i="27"/>
  <c r="BW69" i="15" s="1"/>
  <c r="BV130" i="27"/>
  <c r="BV69" i="15" s="1"/>
  <c r="BU130" i="27"/>
  <c r="BU69" i="15" s="1"/>
  <c r="BT130" i="27"/>
  <c r="BT69" i="15" s="1"/>
  <c r="BS130" i="27"/>
  <c r="BS69" i="15" s="1"/>
  <c r="BR130" i="27"/>
  <c r="BR69" i="15" s="1"/>
  <c r="BQ130" i="27"/>
  <c r="BQ69" i="15" s="1"/>
  <c r="BP130" i="27"/>
  <c r="BP69" i="15" s="1"/>
  <c r="BO130" i="27"/>
  <c r="BO69" i="15" s="1"/>
  <c r="BN130" i="27"/>
  <c r="BN69" i="15" s="1"/>
  <c r="BM130" i="27"/>
  <c r="BM69" i="15" s="1"/>
  <c r="BL130" i="27"/>
  <c r="BL69" i="15" s="1"/>
  <c r="BK130" i="27"/>
  <c r="BK69" i="15" s="1"/>
  <c r="BJ130" i="27"/>
  <c r="BJ69" i="15" s="1"/>
  <c r="BI130" i="27"/>
  <c r="BI69" i="15" s="1"/>
  <c r="BH130" i="27"/>
  <c r="BH69" i="15" s="1"/>
  <c r="BG130" i="27"/>
  <c r="BG69" i="15" s="1"/>
  <c r="BF130" i="27"/>
  <c r="BF69" i="15" s="1"/>
  <c r="BE130" i="27"/>
  <c r="BE69" i="15" s="1"/>
  <c r="BD130" i="27"/>
  <c r="BD69" i="15" s="1"/>
  <c r="BC130" i="27"/>
  <c r="BC69" i="15" s="1"/>
  <c r="BB130" i="27"/>
  <c r="BB69" i="15" s="1"/>
  <c r="BA130" i="27"/>
  <c r="BA69" i="15" s="1"/>
  <c r="AZ130" i="27"/>
  <c r="AZ69" i="15" s="1"/>
  <c r="AY130" i="27"/>
  <c r="AY69" i="15" s="1"/>
  <c r="AX130" i="27"/>
  <c r="AX69" i="15" s="1"/>
  <c r="AW130" i="27"/>
  <c r="AW69" i="15" s="1"/>
  <c r="AV130" i="27"/>
  <c r="AV69" i="15" s="1"/>
  <c r="AU130" i="27"/>
  <c r="AU69" i="15" s="1"/>
  <c r="AT130" i="27"/>
  <c r="AT69" i="15" s="1"/>
  <c r="AS130" i="27"/>
  <c r="AS69" i="15" s="1"/>
  <c r="AR130" i="27"/>
  <c r="AR69" i="15" s="1"/>
  <c r="AQ130" i="27"/>
  <c r="AQ69" i="15" s="1"/>
  <c r="AP130" i="27"/>
  <c r="AP69" i="15" s="1"/>
  <c r="AO130" i="27"/>
  <c r="AO69" i="15" s="1"/>
  <c r="AN130" i="27"/>
  <c r="AN69" i="15" s="1"/>
  <c r="AM130" i="27"/>
  <c r="AM69" i="15" s="1"/>
  <c r="AL130" i="27"/>
  <c r="AL69" i="15" s="1"/>
  <c r="AK130" i="27"/>
  <c r="AK69" i="15" s="1"/>
  <c r="AJ130" i="27"/>
  <c r="AJ69" i="15" s="1"/>
  <c r="AI130" i="27"/>
  <c r="AI69" i="15" s="1"/>
  <c r="AH130" i="27"/>
  <c r="AH69" i="15" s="1"/>
  <c r="AG130" i="27"/>
  <c r="AG69" i="15" s="1"/>
  <c r="AF130" i="27"/>
  <c r="AF69" i="15" s="1"/>
  <c r="AE130" i="27"/>
  <c r="AE69" i="15" s="1"/>
  <c r="AD130" i="27"/>
  <c r="AD69" i="15" s="1"/>
  <c r="AC130" i="27"/>
  <c r="AC69" i="15" s="1"/>
  <c r="AB130" i="27"/>
  <c r="AB69" i="15" s="1"/>
  <c r="AA130" i="27"/>
  <c r="AA69" i="15" s="1"/>
  <c r="Z130" i="27"/>
  <c r="Z69" i="15" s="1"/>
  <c r="Y130" i="27"/>
  <c r="Y69" i="15" s="1"/>
  <c r="X130" i="27"/>
  <c r="X69" i="15" s="1"/>
  <c r="W130" i="27"/>
  <c r="W69" i="15" s="1"/>
  <c r="V130" i="27"/>
  <c r="V69" i="15" s="1"/>
  <c r="U130" i="27"/>
  <c r="U69" i="15" s="1"/>
  <c r="T130" i="27"/>
  <c r="T69" i="15" s="1"/>
  <c r="S130" i="27"/>
  <c r="S69" i="15" s="1"/>
  <c r="R130" i="27"/>
  <c r="R69" i="15" s="1"/>
  <c r="Q130" i="27"/>
  <c r="Q69" i="15" s="1"/>
  <c r="P130" i="27"/>
  <c r="P69" i="15" s="1"/>
  <c r="O130" i="27"/>
  <c r="O69" i="15" s="1"/>
  <c r="N130" i="27"/>
  <c r="N69" i="15" s="1"/>
  <c r="M130" i="27"/>
  <c r="M69" i="15" s="1"/>
  <c r="L130" i="27"/>
  <c r="L69" i="15" s="1"/>
  <c r="K130" i="27"/>
  <c r="K69" i="15" s="1"/>
  <c r="J130" i="27"/>
  <c r="J69" i="15" s="1"/>
  <c r="I130" i="27"/>
  <c r="I69" i="15" s="1"/>
  <c r="CI129" i="27"/>
  <c r="CH129" i="27"/>
  <c r="CG129" i="27"/>
  <c r="CF129" i="27"/>
  <c r="CE129" i="27"/>
  <c r="CD129" i="27"/>
  <c r="CC129" i="27"/>
  <c r="CB129" i="27"/>
  <c r="CA129" i="27"/>
  <c r="BZ129" i="27"/>
  <c r="BY129" i="27"/>
  <c r="BX129" i="27"/>
  <c r="BW129" i="27"/>
  <c r="BV129" i="27"/>
  <c r="BU129" i="27"/>
  <c r="BT129" i="27"/>
  <c r="BS129" i="27"/>
  <c r="BR129" i="27"/>
  <c r="BQ129" i="27"/>
  <c r="BP129" i="27"/>
  <c r="BO129" i="27"/>
  <c r="BN129" i="27"/>
  <c r="BM129" i="27"/>
  <c r="BL129" i="27"/>
  <c r="BK129" i="27"/>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CI127" i="27"/>
  <c r="CH127" i="27"/>
  <c r="CG127" i="27"/>
  <c r="CF127" i="27"/>
  <c r="CE127" i="27"/>
  <c r="CD127" i="27"/>
  <c r="CC127" i="27"/>
  <c r="CB127" i="27"/>
  <c r="CA127" i="27"/>
  <c r="BZ127" i="27"/>
  <c r="BY127" i="27"/>
  <c r="BX127" i="27"/>
  <c r="BW127" i="27"/>
  <c r="BV127" i="27"/>
  <c r="BU127" i="27"/>
  <c r="BT127" i="27"/>
  <c r="BS127" i="27"/>
  <c r="BR127" i="27"/>
  <c r="BQ127" i="27"/>
  <c r="BP127" i="27"/>
  <c r="BO127" i="27"/>
  <c r="BN127" i="27"/>
  <c r="BM127" i="27"/>
  <c r="BL127" i="27"/>
  <c r="BK127"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M127" i="27"/>
  <c r="L127" i="27"/>
  <c r="K127" i="27"/>
  <c r="J127" i="27"/>
  <c r="I127" i="27"/>
  <c r="CI126" i="27"/>
  <c r="CH126" i="27"/>
  <c r="CG126" i="27"/>
  <c r="CF126" i="27"/>
  <c r="CE126" i="27"/>
  <c r="CD126" i="27"/>
  <c r="CC126" i="27"/>
  <c r="CB126" i="27"/>
  <c r="CA126" i="27"/>
  <c r="BZ126" i="27"/>
  <c r="BY126" i="27"/>
  <c r="BX126" i="27"/>
  <c r="BW126" i="27"/>
  <c r="BV126" i="27"/>
  <c r="BU126" i="27"/>
  <c r="BT126" i="27"/>
  <c r="BS126" i="27"/>
  <c r="BR126" i="27"/>
  <c r="BQ126" i="27"/>
  <c r="BP126" i="27"/>
  <c r="CI125" i="27"/>
  <c r="CH125" i="27"/>
  <c r="CG125" i="27"/>
  <c r="CF125" i="27"/>
  <c r="CE125" i="27"/>
  <c r="CD125" i="27"/>
  <c r="CC125" i="27"/>
  <c r="CB125" i="27"/>
  <c r="CA125" i="27"/>
  <c r="BZ125" i="27"/>
  <c r="BY125" i="27"/>
  <c r="BX125" i="27"/>
  <c r="BW125" i="27"/>
  <c r="BV125" i="27"/>
  <c r="BU125" i="27"/>
  <c r="BT125" i="27"/>
  <c r="BS125" i="27"/>
  <c r="BR125" i="27"/>
  <c r="BQ125" i="27"/>
  <c r="BP125" i="27"/>
  <c r="BO125" i="27"/>
  <c r="BN125" i="27"/>
  <c r="BM125" i="27"/>
  <c r="BL125" i="27"/>
  <c r="BK125"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CI124" i="27"/>
  <c r="CH124" i="27"/>
  <c r="CG124" i="27"/>
  <c r="CF124" i="27"/>
  <c r="CE124" i="27"/>
  <c r="CD124" i="27"/>
  <c r="CC124" i="27"/>
  <c r="CB124" i="27"/>
  <c r="CA124" i="27"/>
  <c r="BZ124" i="27"/>
  <c r="BY124" i="27"/>
  <c r="BX124" i="27"/>
  <c r="BW124" i="27"/>
  <c r="BV124" i="27"/>
  <c r="BU124" i="27"/>
  <c r="BT124" i="27"/>
  <c r="BS124" i="27"/>
  <c r="BR124" i="27"/>
  <c r="BQ124" i="27"/>
  <c r="BP124" i="27"/>
  <c r="BO124" i="27"/>
  <c r="BN124" i="27"/>
  <c r="BM124" i="27"/>
  <c r="BL124" i="27"/>
  <c r="BK124"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CI123" i="27"/>
  <c r="CI180" i="27" s="1"/>
  <c r="CH123" i="27"/>
  <c r="CH180" i="27" s="1"/>
  <c r="CG123" i="27"/>
  <c r="CG180" i="27" s="1"/>
  <c r="CF123" i="27"/>
  <c r="CF180" i="27" s="1"/>
  <c r="CE123" i="27"/>
  <c r="CE180" i="27" s="1"/>
  <c r="CD123" i="27"/>
  <c r="CD180" i="27" s="1"/>
  <c r="CC123" i="27"/>
  <c r="CC180" i="27" s="1"/>
  <c r="CB123" i="27"/>
  <c r="CB180" i="27" s="1"/>
  <c r="CA123" i="27"/>
  <c r="CA180" i="27" s="1"/>
  <c r="BZ123" i="27"/>
  <c r="BZ180" i="27" s="1"/>
  <c r="BY123" i="27"/>
  <c r="BY180" i="27" s="1"/>
  <c r="BX123" i="27"/>
  <c r="BX180" i="27" s="1"/>
  <c r="BW123" i="27"/>
  <c r="BW180" i="27" s="1"/>
  <c r="BV123" i="27"/>
  <c r="BV180" i="27" s="1"/>
  <c r="BU123" i="27"/>
  <c r="BU180" i="27" s="1"/>
  <c r="BT123" i="27"/>
  <c r="BT180" i="27" s="1"/>
  <c r="BS123" i="27"/>
  <c r="BS180" i="27" s="1"/>
  <c r="BR123" i="27"/>
  <c r="BR180" i="27" s="1"/>
  <c r="BQ123" i="27"/>
  <c r="BQ180" i="27" s="1"/>
  <c r="BP123" i="27"/>
  <c r="BP180" i="27" s="1"/>
  <c r="BO180" i="27"/>
  <c r="BN180" i="27"/>
  <c r="BM180" i="27"/>
  <c r="BL180" i="27"/>
  <c r="BK180" i="27"/>
  <c r="BJ180" i="27"/>
  <c r="BI180" i="27"/>
  <c r="BH180" i="27"/>
  <c r="BG180" i="27"/>
  <c r="BF180" i="27"/>
  <c r="BE180" i="27"/>
  <c r="BD180" i="27"/>
  <c r="BC180" i="27"/>
  <c r="BB180" i="27"/>
  <c r="BA180" i="27"/>
  <c r="AZ180" i="27"/>
  <c r="AY180" i="27"/>
  <c r="AX180" i="27"/>
  <c r="AW180" i="27"/>
  <c r="AV180" i="27"/>
  <c r="AU180" i="27"/>
  <c r="AT180" i="27"/>
  <c r="AS180" i="27"/>
  <c r="AR180" i="27"/>
  <c r="AQ180" i="27"/>
  <c r="AP180" i="27"/>
  <c r="AO180" i="27"/>
  <c r="AN180" i="27"/>
  <c r="AM180" i="27"/>
  <c r="AL180" i="27"/>
  <c r="AK180" i="27"/>
  <c r="AJ180" i="27"/>
  <c r="AI180" i="27"/>
  <c r="AH180" i="27"/>
  <c r="AG180" i="27"/>
  <c r="AF180" i="27"/>
  <c r="AE180" i="27"/>
  <c r="AD180" i="27"/>
  <c r="AC180" i="27"/>
  <c r="AB180" i="27"/>
  <c r="AA180" i="27"/>
  <c r="Z180" i="27"/>
  <c r="Y180" i="27"/>
  <c r="X180" i="27"/>
  <c r="W180" i="27"/>
  <c r="V180" i="27"/>
  <c r="U180" i="27"/>
  <c r="T180" i="27"/>
  <c r="S180" i="27"/>
  <c r="R180" i="27"/>
  <c r="Q180" i="27"/>
  <c r="P180" i="27"/>
  <c r="O180" i="27"/>
  <c r="N180" i="27"/>
  <c r="M180" i="27"/>
  <c r="L180" i="27"/>
  <c r="K180" i="27"/>
  <c r="J180" i="27"/>
  <c r="I180" i="27"/>
  <c r="CI90" i="27"/>
  <c r="CH90" i="27"/>
  <c r="CG90" i="27"/>
  <c r="CF90" i="27"/>
  <c r="CE90" i="27"/>
  <c r="CD90" i="27"/>
  <c r="CC90" i="27"/>
  <c r="CB90" i="27"/>
  <c r="CA90" i="27"/>
  <c r="BZ90" i="27"/>
  <c r="BY90" i="27"/>
  <c r="BX90" i="27"/>
  <c r="BW90" i="27"/>
  <c r="BV90" i="27"/>
  <c r="BU90" i="27"/>
  <c r="BT90" i="27"/>
  <c r="BS90" i="27"/>
  <c r="BR90" i="27"/>
  <c r="BQ90" i="27"/>
  <c r="BP90" i="27"/>
  <c r="CI88" i="27"/>
  <c r="CH88" i="27"/>
  <c r="CG88" i="27"/>
  <c r="CF88" i="27"/>
  <c r="CE88" i="27"/>
  <c r="CD88" i="27"/>
  <c r="CC88" i="27"/>
  <c r="CB88" i="27"/>
  <c r="CA88" i="27"/>
  <c r="BZ88" i="27"/>
  <c r="BY88" i="27"/>
  <c r="BX88" i="27"/>
  <c r="BW88" i="27"/>
  <c r="BV88" i="27"/>
  <c r="BU88" i="27"/>
  <c r="BT88" i="27"/>
  <c r="BS88" i="27"/>
  <c r="BR88" i="27"/>
  <c r="BQ88" i="27"/>
  <c r="BP88" i="27"/>
  <c r="BO88" i="27"/>
  <c r="BN88" i="27"/>
  <c r="BM88" i="27"/>
  <c r="BL88" i="27"/>
  <c r="BK88" i="27"/>
  <c r="BJ88" i="27"/>
  <c r="BI88" i="27"/>
  <c r="BH88" i="27"/>
  <c r="BG88" i="27"/>
  <c r="BF88" i="27"/>
  <c r="BE88" i="27"/>
  <c r="BD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D62" i="15" s="1"/>
  <c r="AC88" i="27"/>
  <c r="AC62" i="15" s="1"/>
  <c r="AB88" i="27"/>
  <c r="AB62" i="15" s="1"/>
  <c r="AA88" i="27"/>
  <c r="AA62" i="15" s="1"/>
  <c r="Z88" i="27"/>
  <c r="Z62" i="15" s="1"/>
  <c r="Y88" i="27"/>
  <c r="Y62" i="15" s="1"/>
  <c r="X88" i="27"/>
  <c r="X62" i="15" s="1"/>
  <c r="W88" i="27"/>
  <c r="W62" i="15" s="1"/>
  <c r="V88" i="27"/>
  <c r="V62" i="15" s="1"/>
  <c r="U88" i="27"/>
  <c r="U62" i="15" s="1"/>
  <c r="T88" i="27"/>
  <c r="T62" i="15" s="1"/>
  <c r="S88" i="27"/>
  <c r="S62" i="15" s="1"/>
  <c r="R88" i="27"/>
  <c r="R62" i="15" s="1"/>
  <c r="Q88" i="27"/>
  <c r="P88" i="27"/>
  <c r="O88" i="27"/>
  <c r="N88" i="27"/>
  <c r="M88" i="27"/>
  <c r="L88" i="27"/>
  <c r="K88" i="27"/>
  <c r="K62" i="15" s="1"/>
  <c r="J88" i="27"/>
  <c r="J62" i="15" s="1"/>
  <c r="I88" i="27"/>
  <c r="I62" i="15" s="1"/>
  <c r="CI81" i="27"/>
  <c r="CH81" i="27"/>
  <c r="CG81" i="27"/>
  <c r="CF81" i="27"/>
  <c r="CE81" i="27"/>
  <c r="CD81" i="27"/>
  <c r="CC81" i="27"/>
  <c r="CB81" i="27"/>
  <c r="CA81" i="27"/>
  <c r="BZ81" i="27"/>
  <c r="BY81" i="27"/>
  <c r="BX81" i="27"/>
  <c r="BW81" i="27"/>
  <c r="BV81" i="27"/>
  <c r="BU81" i="27"/>
  <c r="BT81" i="27"/>
  <c r="BS81" i="27"/>
  <c r="BR81" i="27"/>
  <c r="BQ81" i="27"/>
  <c r="BP81" i="27"/>
  <c r="I81" i="27"/>
  <c r="CI61" i="27"/>
  <c r="CH61" i="27"/>
  <c r="CH371" i="27" s="1"/>
  <c r="CG61"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D60" i="15" s="1"/>
  <c r="AC61" i="27"/>
  <c r="AC60" i="15" s="1"/>
  <c r="AB61" i="27"/>
  <c r="AB60" i="15" s="1"/>
  <c r="AA61" i="27"/>
  <c r="AA60" i="15" s="1"/>
  <c r="Z61" i="27"/>
  <c r="Z60" i="15" s="1"/>
  <c r="Y61" i="27"/>
  <c r="Y60" i="15" s="1"/>
  <c r="X61" i="27"/>
  <c r="X60" i="15" s="1"/>
  <c r="W61" i="27"/>
  <c r="W60" i="15" s="1"/>
  <c r="V61" i="27"/>
  <c r="V60" i="15" s="1"/>
  <c r="U61" i="27"/>
  <c r="U60" i="15" s="1"/>
  <c r="T61" i="27"/>
  <c r="T60" i="15" s="1"/>
  <c r="S61" i="27"/>
  <c r="S60" i="15" s="1"/>
  <c r="R61" i="27"/>
  <c r="R60" i="15" s="1"/>
  <c r="Q61" i="27"/>
  <c r="Q60" i="15" s="1"/>
  <c r="P61" i="27"/>
  <c r="P60" i="15" s="1"/>
  <c r="O61" i="27"/>
  <c r="O60" i="15" s="1"/>
  <c r="N61" i="27"/>
  <c r="N60" i="15" s="1"/>
  <c r="M61" i="27"/>
  <c r="M60" i="15" s="1"/>
  <c r="L61" i="27"/>
  <c r="L60" i="15" s="1"/>
  <c r="K61" i="27"/>
  <c r="K60" i="15" s="1"/>
  <c r="J61" i="27"/>
  <c r="J60" i="15" s="1"/>
  <c r="I61" i="27"/>
  <c r="I60" i="15" s="1"/>
  <c r="CI52" i="27"/>
  <c r="CH52" i="27"/>
  <c r="CG52" i="27"/>
  <c r="CF52" i="27"/>
  <c r="CE52" i="27"/>
  <c r="CD52" i="27"/>
  <c r="CC52" i="27"/>
  <c r="CB52" i="27"/>
  <c r="CA52" i="27"/>
  <c r="BZ52" i="27"/>
  <c r="BY52" i="27"/>
  <c r="BX52" i="27"/>
  <c r="BW52" i="27"/>
  <c r="BV52" i="27"/>
  <c r="BU52" i="27"/>
  <c r="BT52" i="27"/>
  <c r="BS52" i="27"/>
  <c r="BR52" i="27"/>
  <c r="BQ52" i="27"/>
  <c r="BP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L52" i="27"/>
  <c r="K52" i="27"/>
  <c r="J52" i="27"/>
  <c r="I52"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CI50" i="27"/>
  <c r="CH50" i="27"/>
  <c r="CG50"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CI49" i="27"/>
  <c r="CH49" i="27"/>
  <c r="CG49" i="27"/>
  <c r="CF49" i="27"/>
  <c r="CE49" i="27"/>
  <c r="CD49" i="27"/>
  <c r="CC49" i="27"/>
  <c r="CB49" i="27"/>
  <c r="CA49" i="27"/>
  <c r="BZ49" i="27"/>
  <c r="BY49" i="27"/>
  <c r="BX49" i="27"/>
  <c r="BW49" i="27"/>
  <c r="BV49" i="27"/>
  <c r="BU49" i="27"/>
  <c r="BT49" i="27"/>
  <c r="BS49" i="27"/>
  <c r="BR49" i="27"/>
  <c r="BQ49" i="27"/>
  <c r="BP49" i="27"/>
  <c r="CI32" i="27"/>
  <c r="CI41" i="27" s="1"/>
  <c r="CI42" i="27" s="1"/>
  <c r="CH32" i="27"/>
  <c r="CH41" i="27" s="1"/>
  <c r="CH42" i="27" s="1"/>
  <c r="CG32" i="27"/>
  <c r="CG31" i="27" s="1"/>
  <c r="CG128" i="27" s="1"/>
  <c r="CF32" i="27"/>
  <c r="CF41" i="27" s="1"/>
  <c r="CE32" i="27"/>
  <c r="CE41" i="27" s="1"/>
  <c r="CD32" i="27"/>
  <c r="CD41" i="27" s="1"/>
  <c r="CC32" i="27"/>
  <c r="CC41" i="27" s="1"/>
  <c r="CB32" i="27"/>
  <c r="CB41" i="27" s="1"/>
  <c r="CA32" i="27"/>
  <c r="CA41" i="27" s="1"/>
  <c r="BZ32" i="27"/>
  <c r="BY32" i="27"/>
  <c r="BY31" i="27" s="1"/>
  <c r="BY128" i="27" s="1"/>
  <c r="BX32" i="27"/>
  <c r="BX41" i="27" s="1"/>
  <c r="BW32" i="27"/>
  <c r="BW41" i="27" s="1"/>
  <c r="BV32" i="27"/>
  <c r="BV41" i="27" s="1"/>
  <c r="BU32" i="27"/>
  <c r="BU41" i="27" s="1"/>
  <c r="BT32" i="27"/>
  <c r="BT41" i="27" s="1"/>
  <c r="BS32" i="27"/>
  <c r="BS41" i="27" s="1"/>
  <c r="BR32" i="27"/>
  <c r="BR41" i="27" s="1"/>
  <c r="BQ32" i="27"/>
  <c r="BQ31" i="27" s="1"/>
  <c r="BQ128" i="27" s="1"/>
  <c r="BP32" i="27"/>
  <c r="BP31" i="27" s="1"/>
  <c r="BP128" i="27" s="1"/>
  <c r="BO32" i="27"/>
  <c r="BO41" i="27" s="1"/>
  <c r="BN32" i="27"/>
  <c r="BN41" i="27" s="1"/>
  <c r="BM32" i="27"/>
  <c r="BM41" i="27" s="1"/>
  <c r="BL32" i="27"/>
  <c r="BL41" i="27" s="1"/>
  <c r="BK32" i="27"/>
  <c r="BK41" i="27" s="1"/>
  <c r="BJ32" i="27"/>
  <c r="BI32" i="27"/>
  <c r="BI31" i="27" s="1"/>
  <c r="BI128" i="27" s="1"/>
  <c r="BH32" i="27"/>
  <c r="BH41" i="27" s="1"/>
  <c r="BG32" i="27"/>
  <c r="BG41" i="27" s="1"/>
  <c r="BF32" i="27"/>
  <c r="BF41" i="27" s="1"/>
  <c r="BE32" i="27"/>
  <c r="BE41" i="27" s="1"/>
  <c r="BD32" i="27"/>
  <c r="BD41" i="27" s="1"/>
  <c r="BC32" i="27"/>
  <c r="BC41" i="27" s="1"/>
  <c r="BB32" i="27"/>
  <c r="BB41" i="27" s="1"/>
  <c r="BA32" i="27"/>
  <c r="BA31" i="27" s="1"/>
  <c r="BA128" i="27" s="1"/>
  <c r="AZ32" i="27"/>
  <c r="AZ41" i="27" s="1"/>
  <c r="AY32" i="27"/>
  <c r="AY41" i="27" s="1"/>
  <c r="AX32" i="27"/>
  <c r="AX41" i="27" s="1"/>
  <c r="AW32" i="27"/>
  <c r="AW41" i="27" s="1"/>
  <c r="AV32" i="27"/>
  <c r="AV41" i="27" s="1"/>
  <c r="AU32" i="27"/>
  <c r="AU41" i="27" s="1"/>
  <c r="AT32" i="27"/>
  <c r="AS32" i="27"/>
  <c r="AS31" i="27" s="1"/>
  <c r="AS128" i="27" s="1"/>
  <c r="AR32" i="27"/>
  <c r="AR41" i="27" s="1"/>
  <c r="AQ32" i="27"/>
  <c r="AQ41" i="27" s="1"/>
  <c r="AP32" i="27"/>
  <c r="AP41" i="27" s="1"/>
  <c r="AO32" i="27"/>
  <c r="AO41" i="27" s="1"/>
  <c r="AN32" i="27"/>
  <c r="AN41" i="27" s="1"/>
  <c r="AM32" i="27"/>
  <c r="AM41" i="27" s="1"/>
  <c r="AL32" i="27"/>
  <c r="AL31" i="27" s="1"/>
  <c r="AK31" i="27"/>
  <c r="AK128" i="27" s="1"/>
  <c r="AJ32" i="27"/>
  <c r="AJ41" i="27" s="1"/>
  <c r="AI32" i="27"/>
  <c r="AI41" i="27" s="1"/>
  <c r="AH32" i="27"/>
  <c r="AH41" i="27" s="1"/>
  <c r="AG32" i="27"/>
  <c r="AG41" i="27" s="1"/>
  <c r="AF32" i="27"/>
  <c r="AF41" i="27" s="1"/>
  <c r="AE32" i="27"/>
  <c r="AE41" i="27" s="1"/>
  <c r="AD32" i="27"/>
  <c r="AC32" i="27"/>
  <c r="AC31" i="27" s="1"/>
  <c r="AC128" i="27" s="1"/>
  <c r="AB32" i="27"/>
  <c r="AB41" i="27" s="1"/>
  <c r="AB63" i="15" s="1"/>
  <c r="AA32" i="27"/>
  <c r="AA41" i="27" s="1"/>
  <c r="AA63" i="15" s="1"/>
  <c r="Z32" i="27"/>
  <c r="Z41" i="27" s="1"/>
  <c r="Z63" i="15" s="1"/>
  <c r="Y32" i="27"/>
  <c r="Y41" i="27" s="1"/>
  <c r="Y63" i="15" s="1"/>
  <c r="X32" i="27"/>
  <c r="X41" i="27" s="1"/>
  <c r="X63" i="15" s="1"/>
  <c r="W32" i="27"/>
  <c r="W41" i="27" s="1"/>
  <c r="W63" i="15" s="1"/>
  <c r="V32" i="27"/>
  <c r="V41" i="27" s="1"/>
  <c r="V63" i="15" s="1"/>
  <c r="U32" i="27"/>
  <c r="U31" i="27" s="1"/>
  <c r="U128" i="27" s="1"/>
  <c r="T32" i="27"/>
  <c r="T41" i="27" s="1"/>
  <c r="T63" i="15" s="1"/>
  <c r="S32" i="27"/>
  <c r="S41" i="27" s="1"/>
  <c r="S63" i="15" s="1"/>
  <c r="R32" i="27"/>
  <c r="R41" i="27" s="1"/>
  <c r="R63" i="15" s="1"/>
  <c r="Q32" i="27"/>
  <c r="Q41" i="27" s="1"/>
  <c r="Q63" i="15" s="1"/>
  <c r="P32" i="27"/>
  <c r="P41" i="27" s="1"/>
  <c r="P63" i="15" s="1"/>
  <c r="O41" i="27"/>
  <c r="O63" i="15" s="1"/>
  <c r="N32" i="27"/>
  <c r="M32" i="27"/>
  <c r="M31" i="27" s="1"/>
  <c r="M128" i="27" s="1"/>
  <c r="L32" i="27"/>
  <c r="K32" i="27"/>
  <c r="K41" i="27" s="1"/>
  <c r="K63" i="15" s="1"/>
  <c r="J32" i="27"/>
  <c r="J41" i="27" s="1"/>
  <c r="J63" i="15" s="1"/>
  <c r="BQ72" i="15" l="1"/>
  <c r="BU70" i="15"/>
  <c r="CE72" i="15"/>
  <c r="I70" i="15"/>
  <c r="BV72" i="15"/>
  <c r="CA70" i="15"/>
  <c r="BX72" i="15"/>
  <c r="BY72" i="15"/>
  <c r="CC70" i="15"/>
  <c r="BR70" i="15"/>
  <c r="BP72" i="15"/>
  <c r="BT70" i="15"/>
  <c r="I12" i="16"/>
  <c r="I45" i="16" s="1"/>
  <c r="N62" i="15"/>
  <c r="BU72" i="15"/>
  <c r="CC72" i="15"/>
  <c r="BQ70" i="15"/>
  <c r="BY70" i="15"/>
  <c r="CG70" i="15"/>
  <c r="K12" i="16"/>
  <c r="K45" i="16" s="1"/>
  <c r="P62" i="15"/>
  <c r="H19" i="16"/>
  <c r="H52" i="16" s="1"/>
  <c r="M75" i="15"/>
  <c r="I19" i="16"/>
  <c r="I52" i="16" s="1"/>
  <c r="N75" i="15"/>
  <c r="J19" i="16"/>
  <c r="J52" i="16" s="1"/>
  <c r="O75" i="15"/>
  <c r="BR72" i="15"/>
  <c r="BZ72" i="15"/>
  <c r="K70" i="15"/>
  <c r="BV70" i="15"/>
  <c r="CD70" i="15"/>
  <c r="K19" i="16"/>
  <c r="K52" i="16" s="1"/>
  <c r="P75" i="15"/>
  <c r="J12" i="16"/>
  <c r="J45" i="16" s="1"/>
  <c r="O62" i="15"/>
  <c r="G19" i="16"/>
  <c r="G52" i="16" s="1"/>
  <c r="L75" i="15"/>
  <c r="L12" i="16"/>
  <c r="L45" i="16" s="1"/>
  <c r="Q62" i="15"/>
  <c r="G12" i="16"/>
  <c r="G45" i="16" s="1"/>
  <c r="L62" i="15"/>
  <c r="BS72" i="15"/>
  <c r="CA72" i="15"/>
  <c r="L70" i="15"/>
  <c r="BW70" i="15"/>
  <c r="CE70" i="15"/>
  <c r="L19" i="16"/>
  <c r="L52" i="16" s="1"/>
  <c r="Q75" i="15"/>
  <c r="H12" i="16"/>
  <c r="H45" i="16" s="1"/>
  <c r="M62" i="15"/>
  <c r="BT72" i="15"/>
  <c r="CB72" i="15"/>
  <c r="BP70" i="15"/>
  <c r="BX70" i="15"/>
  <c r="CF70" i="15"/>
  <c r="O19" i="16"/>
  <c r="O52" i="16" s="1"/>
  <c r="V19" i="16"/>
  <c r="V52" i="16" s="1"/>
  <c r="O12" i="16"/>
  <c r="O45" i="16" s="1"/>
  <c r="T19" i="16"/>
  <c r="T52" i="16" s="1"/>
  <c r="Q19" i="16"/>
  <c r="Q52" i="16" s="1"/>
  <c r="N19" i="16"/>
  <c r="N52" i="16" s="1"/>
  <c r="S19" i="16"/>
  <c r="S52" i="16" s="1"/>
  <c r="P19" i="16"/>
  <c r="P52" i="16" s="1"/>
  <c r="M19" i="16"/>
  <c r="M52" i="16" s="1"/>
  <c r="U19" i="16"/>
  <c r="U52" i="16" s="1"/>
  <c r="R19" i="16"/>
  <c r="R52" i="16" s="1"/>
  <c r="T12" i="16"/>
  <c r="T45" i="16" s="1"/>
  <c r="N12" i="16"/>
  <c r="N45" i="16" s="1"/>
  <c r="AL128" i="27"/>
  <c r="AL131" i="27" s="1"/>
  <c r="AL76" i="15" s="1"/>
  <c r="P12" i="16"/>
  <c r="P45" i="16" s="1"/>
  <c r="U12" i="16"/>
  <c r="U45" i="16" s="1"/>
  <c r="M12" i="16"/>
  <c r="M45" i="16" s="1"/>
  <c r="S12" i="16"/>
  <c r="S45" i="16" s="1"/>
  <c r="R12" i="16"/>
  <c r="R45" i="16" s="1"/>
  <c r="V12" i="16"/>
  <c r="V45" i="16" s="1"/>
  <c r="BW175" i="27"/>
  <c r="BW74" i="15" s="1"/>
  <c r="CE175" i="27"/>
  <c r="CE74" i="15" s="1"/>
  <c r="BV175" i="27"/>
  <c r="BV74" i="15" s="1"/>
  <c r="CD175" i="27"/>
  <c r="CD74" i="15" s="1"/>
  <c r="M356" i="27"/>
  <c r="U356" i="27"/>
  <c r="AC356" i="27"/>
  <c r="AK356" i="27"/>
  <c r="AS356" i="27"/>
  <c r="BA356" i="27"/>
  <c r="BI356" i="27"/>
  <c r="BQ356" i="27"/>
  <c r="BY356" i="27"/>
  <c r="CG356" i="27"/>
  <c r="N356" i="27"/>
  <c r="V356" i="27"/>
  <c r="AD356" i="27"/>
  <c r="AL356" i="27"/>
  <c r="AT356" i="27"/>
  <c r="BB356" i="27"/>
  <c r="BJ356" i="27"/>
  <c r="BR356" i="27"/>
  <c r="BZ356" i="27"/>
  <c r="CH356" i="27"/>
  <c r="BP175" i="27"/>
  <c r="BP74" i="15" s="1"/>
  <c r="BX175" i="27"/>
  <c r="BX74" i="15" s="1"/>
  <c r="CF175" i="27"/>
  <c r="CF74" i="15" s="1"/>
  <c r="O356" i="27"/>
  <c r="W356" i="27"/>
  <c r="AE356" i="27"/>
  <c r="AM356" i="27"/>
  <c r="AU356" i="27"/>
  <c r="BC356" i="27"/>
  <c r="BK356" i="27"/>
  <c r="BS356" i="27"/>
  <c r="CA356" i="27"/>
  <c r="CI356" i="27"/>
  <c r="BQ175" i="27"/>
  <c r="BQ74" i="15" s="1"/>
  <c r="BY175" i="27"/>
  <c r="BY74" i="15" s="1"/>
  <c r="CG175" i="27"/>
  <c r="CG74" i="15" s="1"/>
  <c r="P356" i="27"/>
  <c r="X356" i="27"/>
  <c r="AF356" i="27"/>
  <c r="AN356" i="27"/>
  <c r="AV356" i="27"/>
  <c r="BD356" i="27"/>
  <c r="BL356" i="27"/>
  <c r="BT356" i="27"/>
  <c r="CB356" i="27"/>
  <c r="I356" i="27"/>
  <c r="Q356" i="27"/>
  <c r="Y356" i="27"/>
  <c r="AG356" i="27"/>
  <c r="AO356" i="27"/>
  <c r="AW356" i="27"/>
  <c r="BE356" i="27"/>
  <c r="BM356" i="27"/>
  <c r="BU356" i="27"/>
  <c r="CC356" i="27"/>
  <c r="BZ175" i="27"/>
  <c r="BZ74" i="15" s="1"/>
  <c r="BS175" i="27"/>
  <c r="BS74" i="15" s="1"/>
  <c r="CA175" i="27"/>
  <c r="CA74" i="15" s="1"/>
  <c r="CI175" i="27"/>
  <c r="J356" i="27"/>
  <c r="R356" i="27"/>
  <c r="Z356" i="27"/>
  <c r="AH356" i="27"/>
  <c r="AP356" i="27"/>
  <c r="AX356" i="27"/>
  <c r="BF356" i="27"/>
  <c r="BN356" i="27"/>
  <c r="BV356" i="27"/>
  <c r="CD356" i="27"/>
  <c r="CH175" i="27"/>
  <c r="BT175" i="27"/>
  <c r="BT74" i="15" s="1"/>
  <c r="CB175" i="27"/>
  <c r="CB74" i="15" s="1"/>
  <c r="K356" i="27"/>
  <c r="S356" i="27"/>
  <c r="AA356" i="27"/>
  <c r="AI356" i="27"/>
  <c r="AQ356" i="27"/>
  <c r="AY356" i="27"/>
  <c r="BG356" i="27"/>
  <c r="BO356" i="27"/>
  <c r="BW356" i="27"/>
  <c r="CE356" i="27"/>
  <c r="BR175" i="27"/>
  <c r="BR74" i="15" s="1"/>
  <c r="BU175" i="27"/>
  <c r="BU74" i="15" s="1"/>
  <c r="CC175" i="27"/>
  <c r="CC74" i="15" s="1"/>
  <c r="L356" i="27"/>
  <c r="T356" i="27"/>
  <c r="AB356" i="27"/>
  <c r="AJ356" i="27"/>
  <c r="AR356" i="27"/>
  <c r="AZ356" i="27"/>
  <c r="BH356" i="27"/>
  <c r="BP356" i="27"/>
  <c r="BX356" i="27"/>
  <c r="CF356" i="27"/>
  <c r="CH31" i="27"/>
  <c r="CH128" i="27" s="1"/>
  <c r="CH131" i="27" s="1"/>
  <c r="CH132" i="27" s="1"/>
  <c r="CH382" i="27" s="1"/>
  <c r="CG212" i="27"/>
  <c r="CG309" i="27" s="1"/>
  <c r="CG312" i="27" s="1"/>
  <c r="CG313" i="27" s="1"/>
  <c r="CG400" i="27" s="1"/>
  <c r="BC212" i="27"/>
  <c r="BC309" i="27" s="1"/>
  <c r="BC312" i="27" s="1"/>
  <c r="BC313" i="27" s="1"/>
  <c r="BC400" i="27" s="1"/>
  <c r="AU212" i="27"/>
  <c r="AU309" i="27" s="1"/>
  <c r="AU312" i="27" s="1"/>
  <c r="AU313" i="27" s="1"/>
  <c r="AU400" i="27" s="1"/>
  <c r="CI212" i="27"/>
  <c r="CI309" i="27" s="1"/>
  <c r="CI312" i="27" s="1"/>
  <c r="CI313" i="27" s="1"/>
  <c r="CI400" i="27" s="1"/>
  <c r="J397" i="27"/>
  <c r="R397" i="27"/>
  <c r="Z397" i="27"/>
  <c r="AH397" i="27"/>
  <c r="AP397" i="27"/>
  <c r="AX397" i="27"/>
  <c r="BF397" i="27"/>
  <c r="BN397" i="27"/>
  <c r="BV397" i="27"/>
  <c r="CD397" i="27"/>
  <c r="P321" i="27"/>
  <c r="X321" i="27"/>
  <c r="AF321" i="27"/>
  <c r="AV321" i="27"/>
  <c r="BD321" i="27"/>
  <c r="BL321" i="27"/>
  <c r="CB321" i="27"/>
  <c r="G396" i="27"/>
  <c r="O396" i="27"/>
  <c r="W396" i="27"/>
  <c r="AE396" i="27"/>
  <c r="AM396" i="27"/>
  <c r="AU396" i="27"/>
  <c r="BC396" i="27"/>
  <c r="BK396" i="27"/>
  <c r="BS396" i="27"/>
  <c r="CA396" i="27"/>
  <c r="CI396" i="27"/>
  <c r="W212" i="27"/>
  <c r="W309" i="27" s="1"/>
  <c r="W312" i="27" s="1"/>
  <c r="W313" i="27" s="1"/>
  <c r="W400" i="27" s="1"/>
  <c r="BK212" i="27"/>
  <c r="BK309" i="27" s="1"/>
  <c r="BK312" i="27" s="1"/>
  <c r="BK313" i="27" s="1"/>
  <c r="BK400" i="27" s="1"/>
  <c r="AA321" i="27"/>
  <c r="AQ321" i="27"/>
  <c r="BG321" i="27"/>
  <c r="BW321" i="27"/>
  <c r="J396" i="27"/>
  <c r="R396" i="27"/>
  <c r="Z396" i="27"/>
  <c r="AH396" i="27"/>
  <c r="AP396" i="27"/>
  <c r="AX396" i="27"/>
  <c r="BF396" i="27"/>
  <c r="BN396" i="27"/>
  <c r="BV396" i="27"/>
  <c r="CD396" i="27"/>
  <c r="BS212" i="27"/>
  <c r="BS309" i="27" s="1"/>
  <c r="BS312" i="27" s="1"/>
  <c r="BS313" i="27" s="1"/>
  <c r="BS400" i="27" s="1"/>
  <c r="M151" i="27"/>
  <c r="M73" i="15" s="1"/>
  <c r="U212" i="27"/>
  <c r="U309" i="27" s="1"/>
  <c r="U312" i="27" s="1"/>
  <c r="U313" i="27" s="1"/>
  <c r="U400" i="27" s="1"/>
  <c r="G395" i="27"/>
  <c r="O395" i="27"/>
  <c r="W395" i="27"/>
  <c r="AE395" i="27"/>
  <c r="AM395" i="27"/>
  <c r="AU395" i="27"/>
  <c r="BC395" i="27"/>
  <c r="BK395" i="27"/>
  <c r="BS395" i="27"/>
  <c r="CA395" i="27"/>
  <c r="CI395" i="27"/>
  <c r="N396" i="27"/>
  <c r="V396" i="27"/>
  <c r="AD396" i="27"/>
  <c r="AL396" i="27"/>
  <c r="AT396" i="27"/>
  <c r="BB396" i="27"/>
  <c r="BJ396" i="27"/>
  <c r="BR396" i="27"/>
  <c r="BZ396" i="27"/>
  <c r="CH396" i="27"/>
  <c r="Z212" i="27"/>
  <c r="Z309" i="27" s="1"/>
  <c r="Z312" i="27" s="1"/>
  <c r="Z313" i="27" s="1"/>
  <c r="Z400" i="27" s="1"/>
  <c r="G400" i="27"/>
  <c r="BY212" i="27"/>
  <c r="BY309" i="27" s="1"/>
  <c r="BY312" i="27" s="1"/>
  <c r="BY313" i="27" s="1"/>
  <c r="BY400" i="27" s="1"/>
  <c r="BD31" i="27"/>
  <c r="BD128" i="27" s="1"/>
  <c r="BD131" i="27" s="1"/>
  <c r="BD76" i="15" s="1"/>
  <c r="BT31" i="27"/>
  <c r="BT128" i="27" s="1"/>
  <c r="BT131" i="27" s="1"/>
  <c r="BT76" i="15" s="1"/>
  <c r="K140" i="27"/>
  <c r="I212" i="27"/>
  <c r="I309" i="27" s="1"/>
  <c r="I312" i="27" s="1"/>
  <c r="I313" i="27" s="1"/>
  <c r="I400" i="27" s="1"/>
  <c r="T31" i="27"/>
  <c r="T128" i="27" s="1"/>
  <c r="T131" i="27" s="1"/>
  <c r="T76" i="15" s="1"/>
  <c r="CH377" i="27"/>
  <c r="BQ378" i="27"/>
  <c r="N395" i="27"/>
  <c r="AL321" i="27"/>
  <c r="BJ323" i="27"/>
  <c r="BR321" i="27"/>
  <c r="U396" i="27"/>
  <c r="AK396" i="27"/>
  <c r="BA396" i="27"/>
  <c r="BQ396" i="27"/>
  <c r="CG396" i="27"/>
  <c r="BY378" i="27"/>
  <c r="BR140" i="27"/>
  <c r="BI212" i="27"/>
  <c r="BI309" i="27" s="1"/>
  <c r="BI312" i="27" s="1"/>
  <c r="BI313" i="27" s="1"/>
  <c r="BI400" i="27" s="1"/>
  <c r="CG378" i="27"/>
  <c r="BQ212" i="27"/>
  <c r="BQ309" i="27" s="1"/>
  <c r="BQ312" i="27" s="1"/>
  <c r="BQ313" i="27" s="1"/>
  <c r="BQ400" i="27" s="1"/>
  <c r="Y212" i="27"/>
  <c r="Y309" i="27" s="1"/>
  <c r="Y312" i="27" s="1"/>
  <c r="Y313" i="27" s="1"/>
  <c r="Y400" i="27" s="1"/>
  <c r="BR141" i="27"/>
  <c r="L395" i="27"/>
  <c r="T395" i="27"/>
  <c r="AB395" i="27"/>
  <c r="AJ395" i="27"/>
  <c r="AR395" i="27"/>
  <c r="AZ395" i="27"/>
  <c r="BH395" i="27"/>
  <c r="BP395" i="27"/>
  <c r="BX395" i="27"/>
  <c r="CF395" i="27"/>
  <c r="K396" i="27"/>
  <c r="AA396" i="27"/>
  <c r="R31" i="27"/>
  <c r="R128" i="27" s="1"/>
  <c r="R131" i="27" s="1"/>
  <c r="R76" i="15" s="1"/>
  <c r="CD31" i="27"/>
  <c r="CD128" i="27" s="1"/>
  <c r="CD131" i="27" s="1"/>
  <c r="CD76" i="15" s="1"/>
  <c r="BZ141" i="27"/>
  <c r="CH141" i="27"/>
  <c r="S396" i="27"/>
  <c r="AI396" i="27"/>
  <c r="AQ396" i="27"/>
  <c r="AY396" i="27"/>
  <c r="BG396" i="27"/>
  <c r="BO396" i="27"/>
  <c r="BW396" i="27"/>
  <c r="CE396" i="27"/>
  <c r="AF31" i="27"/>
  <c r="AF128" i="27" s="1"/>
  <c r="AF131" i="27" s="1"/>
  <c r="AF76" i="15" s="1"/>
  <c r="G378" i="27"/>
  <c r="BS378" i="27"/>
  <c r="CA378" i="27"/>
  <c r="CI378" i="27"/>
  <c r="AM212" i="27"/>
  <c r="AM309" i="27" s="1"/>
  <c r="AM312" i="27" s="1"/>
  <c r="AM313" i="27" s="1"/>
  <c r="AM400" i="27" s="1"/>
  <c r="AK312" i="27"/>
  <c r="AK313" i="27" s="1"/>
  <c r="AK400" i="27" s="1"/>
  <c r="BL31" i="27"/>
  <c r="BL128" i="27" s="1"/>
  <c r="BL131" i="27" s="1"/>
  <c r="BL76" i="15" s="1"/>
  <c r="O312" i="27"/>
  <c r="O313" i="27" s="1"/>
  <c r="O400" i="27" s="1"/>
  <c r="BV31" i="27"/>
  <c r="BV128" i="27" s="1"/>
  <c r="BV131" i="27" s="1"/>
  <c r="BV76" i="15" s="1"/>
  <c r="I395" i="27"/>
  <c r="Q395" i="27"/>
  <c r="Y395" i="27"/>
  <c r="AG395" i="27"/>
  <c r="AO395" i="27"/>
  <c r="AW395" i="27"/>
  <c r="BE395" i="27"/>
  <c r="BM395" i="27"/>
  <c r="BU395" i="27"/>
  <c r="CC395" i="27"/>
  <c r="H396" i="27"/>
  <c r="P396" i="27"/>
  <c r="X396" i="27"/>
  <c r="AF396" i="27"/>
  <c r="AN396" i="27"/>
  <c r="AV396" i="27"/>
  <c r="BD396" i="27"/>
  <c r="BL396" i="27"/>
  <c r="BT396" i="27"/>
  <c r="CB396" i="27"/>
  <c r="CB31" i="27"/>
  <c r="CB128" i="27" s="1"/>
  <c r="CB131" i="27" s="1"/>
  <c r="CB76" i="15" s="1"/>
  <c r="L397" i="27"/>
  <c r="T397" i="27"/>
  <c r="AB397" i="27"/>
  <c r="AJ397" i="27"/>
  <c r="AR397" i="27"/>
  <c r="AZ397" i="27"/>
  <c r="BH397" i="27"/>
  <c r="L41" i="27"/>
  <c r="L63" i="15" s="1"/>
  <c r="L31" i="27"/>
  <c r="L128" i="27" s="1"/>
  <c r="L131" i="27" s="1"/>
  <c r="L76" i="15" s="1"/>
  <c r="AX31" i="27"/>
  <c r="AX128" i="27" s="1"/>
  <c r="AX131" i="27" s="1"/>
  <c r="AX76" i="15" s="1"/>
  <c r="Z31" i="27"/>
  <c r="Z128" i="27" s="1"/>
  <c r="Z131" i="27" s="1"/>
  <c r="Z76" i="15" s="1"/>
  <c r="AP31" i="27"/>
  <c r="AP128" i="27" s="1"/>
  <c r="AP131" i="27" s="1"/>
  <c r="AP76" i="15" s="1"/>
  <c r="J31" i="27"/>
  <c r="J128" i="27" s="1"/>
  <c r="J131" i="27" s="1"/>
  <c r="BF31" i="27"/>
  <c r="BF128" i="27" s="1"/>
  <c r="BF131" i="27" s="1"/>
  <c r="AC212" i="27"/>
  <c r="AC309" i="27" s="1"/>
  <c r="AC312" i="27" s="1"/>
  <c r="AC313" i="27" s="1"/>
  <c r="AC400" i="27" s="1"/>
  <c r="BN31" i="27"/>
  <c r="BN128" i="27" s="1"/>
  <c r="BN131" i="27" s="1"/>
  <c r="BN76" i="15" s="1"/>
  <c r="AN31" i="27"/>
  <c r="AN128" i="27" s="1"/>
  <c r="AN131" i="27" s="1"/>
  <c r="AN76" i="15" s="1"/>
  <c r="BR31" i="27"/>
  <c r="BR128" i="27" s="1"/>
  <c r="BR131" i="27" s="1"/>
  <c r="BR76" i="15" s="1"/>
  <c r="M212" i="27"/>
  <c r="M309" i="27" s="1"/>
  <c r="M312" i="27" s="1"/>
  <c r="M313" i="27" s="1"/>
  <c r="M400" i="27" s="1"/>
  <c r="AS212" i="27"/>
  <c r="AS309" i="27" s="1"/>
  <c r="AS312" i="27" s="1"/>
  <c r="AS313" i="27" s="1"/>
  <c r="AS400" i="27" s="1"/>
  <c r="CA212" i="27"/>
  <c r="CA309" i="27" s="1"/>
  <c r="CA312" i="27" s="1"/>
  <c r="CA313" i="27" s="1"/>
  <c r="CA400" i="27" s="1"/>
  <c r="BP41" i="27"/>
  <c r="O222" i="27"/>
  <c r="O223" i="27" s="1"/>
  <c r="O270" i="27" s="1"/>
  <c r="O272" i="27" s="1"/>
  <c r="BP397" i="27"/>
  <c r="BX397" i="27"/>
  <c r="CF397" i="27"/>
  <c r="BE321" i="27"/>
  <c r="BH31" i="27"/>
  <c r="BH128" i="27" s="1"/>
  <c r="BH131" i="27" s="1"/>
  <c r="BH76" i="15" s="1"/>
  <c r="AK222" i="27"/>
  <c r="AK223" i="27" s="1"/>
  <c r="AK391" i="27" s="1"/>
  <c r="AH31" i="27"/>
  <c r="AH128" i="27" s="1"/>
  <c r="AH131" i="27" s="1"/>
  <c r="AH76" i="15" s="1"/>
  <c r="J212" i="27"/>
  <c r="J309" i="27" s="1"/>
  <c r="J312" i="27" s="1"/>
  <c r="J313" i="27" s="1"/>
  <c r="J400" i="27" s="1"/>
  <c r="AP212" i="27"/>
  <c r="AP309" i="27" s="1"/>
  <c r="AP312" i="27" s="1"/>
  <c r="AP313" i="27" s="1"/>
  <c r="AP400" i="27" s="1"/>
  <c r="AE322" i="27"/>
  <c r="AN322" i="27"/>
  <c r="AR31" i="27"/>
  <c r="AR128" i="27" s="1"/>
  <c r="AR131" i="27" s="1"/>
  <c r="AR76" i="15" s="1"/>
  <c r="CF31" i="27"/>
  <c r="CF128" i="27" s="1"/>
  <c r="CF131" i="27" s="1"/>
  <c r="CF76" i="15" s="1"/>
  <c r="BM212" i="27"/>
  <c r="BM309" i="27" s="1"/>
  <c r="BM312" i="27" s="1"/>
  <c r="BM313" i="27" s="1"/>
  <c r="BM400" i="27" s="1"/>
  <c r="CC212" i="27"/>
  <c r="CC309" i="27" s="1"/>
  <c r="CC312" i="27" s="1"/>
  <c r="CC313" i="27" s="1"/>
  <c r="CC400" i="27" s="1"/>
  <c r="BG312" i="27"/>
  <c r="BG313" i="27" s="1"/>
  <c r="BG400" i="27" s="1"/>
  <c r="AU322" i="27"/>
  <c r="AV31" i="27"/>
  <c r="AV128" i="27" s="1"/>
  <c r="AV131" i="27" s="1"/>
  <c r="AV76" i="15" s="1"/>
  <c r="AE212" i="27"/>
  <c r="AE309" i="27" s="1"/>
  <c r="AE312" i="27" s="1"/>
  <c r="AE313" i="27" s="1"/>
  <c r="AE400" i="27" s="1"/>
  <c r="AW212" i="27"/>
  <c r="AW309" i="27" s="1"/>
  <c r="AW312" i="27" s="1"/>
  <c r="AW313" i="27" s="1"/>
  <c r="AW400" i="27" s="1"/>
  <c r="BN212" i="27"/>
  <c r="BN309" i="27" s="1"/>
  <c r="BN312" i="27" s="1"/>
  <c r="BN313" i="27" s="1"/>
  <c r="BN400" i="27" s="1"/>
  <c r="CD212" i="27"/>
  <c r="CD309" i="27" s="1"/>
  <c r="CD312" i="27" s="1"/>
  <c r="CD313" i="27" s="1"/>
  <c r="CD400" i="27" s="1"/>
  <c r="S320" i="27"/>
  <c r="AQ320" i="27"/>
  <c r="BG320" i="27"/>
  <c r="BO320" i="27"/>
  <c r="CE320" i="27"/>
  <c r="J320" i="27"/>
  <c r="R320" i="27"/>
  <c r="Z320" i="27"/>
  <c r="AH320" i="27"/>
  <c r="AP320" i="27"/>
  <c r="BF320" i="27"/>
  <c r="BN320" i="27"/>
  <c r="CD320" i="27"/>
  <c r="I323" i="27"/>
  <c r="AO323" i="27"/>
  <c r="BU323" i="27"/>
  <c r="N321" i="27"/>
  <c r="BJ322" i="27"/>
  <c r="X31" i="27"/>
  <c r="X128" i="27" s="1"/>
  <c r="X131" i="27" s="1"/>
  <c r="X76" i="15" s="1"/>
  <c r="AB31" i="27"/>
  <c r="AB128" i="27" s="1"/>
  <c r="AB131" i="27" s="1"/>
  <c r="AB76" i="15" s="1"/>
  <c r="Q212" i="27"/>
  <c r="Q309" i="27" s="1"/>
  <c r="Q312" i="27" s="1"/>
  <c r="Q313" i="27" s="1"/>
  <c r="Q400" i="27" s="1"/>
  <c r="AG212" i="27"/>
  <c r="AG309" i="27" s="1"/>
  <c r="AG312" i="27" s="1"/>
  <c r="AG313" i="27" s="1"/>
  <c r="AG400" i="27" s="1"/>
  <c r="AX212" i="27"/>
  <c r="AX309" i="27" s="1"/>
  <c r="AX312" i="27" s="1"/>
  <c r="AX313" i="27" s="1"/>
  <c r="AX400" i="27" s="1"/>
  <c r="M397" i="27"/>
  <c r="U397" i="27"/>
  <c r="AC397" i="27"/>
  <c r="AK397" i="27"/>
  <c r="AS397" i="27"/>
  <c r="BA397" i="27"/>
  <c r="BI397" i="27"/>
  <c r="BQ397" i="27"/>
  <c r="BY397" i="27"/>
  <c r="CG397" i="27"/>
  <c r="Q321" i="27"/>
  <c r="CA321" i="27"/>
  <c r="BT322" i="27"/>
  <c r="AZ31" i="27"/>
  <c r="AZ128" i="27" s="1"/>
  <c r="AZ131" i="27" s="1"/>
  <c r="AZ76" i="15" s="1"/>
  <c r="R212" i="27"/>
  <c r="R309" i="27" s="1"/>
  <c r="R312" i="27" s="1"/>
  <c r="R313" i="27" s="1"/>
  <c r="R400" i="27" s="1"/>
  <c r="AH212" i="27"/>
  <c r="AH309" i="27" s="1"/>
  <c r="AH312" i="27" s="1"/>
  <c r="AH313" i="27" s="1"/>
  <c r="AH400" i="27" s="1"/>
  <c r="CE322" i="27"/>
  <c r="BE212" i="27"/>
  <c r="BE309" i="27" s="1"/>
  <c r="BE312" i="27" s="1"/>
  <c r="BE313" i="27" s="1"/>
  <c r="BE400" i="27" s="1"/>
  <c r="BU212" i="27"/>
  <c r="BU309" i="27" s="1"/>
  <c r="BU312" i="27" s="1"/>
  <c r="BU313" i="27" s="1"/>
  <c r="BU400" i="27" s="1"/>
  <c r="AE320" i="27"/>
  <c r="AJ31" i="27"/>
  <c r="AJ128" i="27" s="1"/>
  <c r="AJ131" i="27" s="1"/>
  <c r="AJ76" i="15" s="1"/>
  <c r="BX31" i="27"/>
  <c r="BX128" i="27" s="1"/>
  <c r="BX131" i="27" s="1"/>
  <c r="BX76" i="15" s="1"/>
  <c r="AO212" i="27"/>
  <c r="AO309" i="27" s="1"/>
  <c r="AO312" i="27" s="1"/>
  <c r="AO313" i="27" s="1"/>
  <c r="AO400" i="27" s="1"/>
  <c r="BF212" i="27"/>
  <c r="BF309" i="27" s="1"/>
  <c r="BF312" i="27" s="1"/>
  <c r="BF313" i="27" s="1"/>
  <c r="BF400" i="27" s="1"/>
  <c r="BV212" i="27"/>
  <c r="BV309" i="27" s="1"/>
  <c r="BV312" i="27" s="1"/>
  <c r="BV313" i="27" s="1"/>
  <c r="BV400" i="27" s="1"/>
  <c r="H397" i="27"/>
  <c r="P397" i="27"/>
  <c r="X397" i="27"/>
  <c r="AF397" i="27"/>
  <c r="AN397" i="27"/>
  <c r="AV397" i="27"/>
  <c r="BD397" i="27"/>
  <c r="BL397" i="27"/>
  <c r="BT397" i="27"/>
  <c r="CB397" i="27"/>
  <c r="AD323" i="27"/>
  <c r="AU321" i="27"/>
  <c r="J322" i="27"/>
  <c r="BQ142" i="27"/>
  <c r="BY142" i="27"/>
  <c r="CG142" i="27"/>
  <c r="BS142" i="27"/>
  <c r="CA142" i="27"/>
  <c r="CI142" i="27"/>
  <c r="BT378" i="27"/>
  <c r="CB378" i="27"/>
  <c r="CI139" i="27"/>
  <c r="AB151" i="27"/>
  <c r="AB73" i="15" s="1"/>
  <c r="AJ151" i="27"/>
  <c r="AR151" i="27"/>
  <c r="AR73" i="15" s="1"/>
  <c r="AZ151" i="27"/>
  <c r="AZ73" i="15" s="1"/>
  <c r="BH151" i="27"/>
  <c r="BP151" i="27"/>
  <c r="BP73" i="15" s="1"/>
  <c r="K151" i="27"/>
  <c r="K73" i="15" s="1"/>
  <c r="BW151" i="27"/>
  <c r="CH379" i="27"/>
  <c r="L142" i="27"/>
  <c r="BP142" i="27"/>
  <c r="BX142" i="27"/>
  <c r="CF142" i="27"/>
  <c r="K378" i="27"/>
  <c r="BW378" i="27"/>
  <c r="CE378" i="27"/>
  <c r="BS139" i="27"/>
  <c r="CA139" i="27"/>
  <c r="BY141" i="27"/>
  <c r="CI140" i="27"/>
  <c r="CG141" i="27"/>
  <c r="BR142" i="27"/>
  <c r="BZ142" i="27"/>
  <c r="P31" i="27"/>
  <c r="P128" i="27" s="1"/>
  <c r="P131" i="27" s="1"/>
  <c r="P76" i="15" s="1"/>
  <c r="AA212" i="27"/>
  <c r="AA309" i="27" s="1"/>
  <c r="AA312" i="27" s="1"/>
  <c r="AA313" i="27" s="1"/>
  <c r="AA400" i="27" s="1"/>
  <c r="AA222" i="27"/>
  <c r="AA223" i="27" s="1"/>
  <c r="AA391" i="27" s="1"/>
  <c r="BW222" i="27"/>
  <c r="BW223" i="27" s="1"/>
  <c r="BW391" i="27" s="1"/>
  <c r="BW212" i="27"/>
  <c r="BW309" i="27" s="1"/>
  <c r="BW312" i="27" s="1"/>
  <c r="BW313" i="27" s="1"/>
  <c r="BW400" i="27" s="1"/>
  <c r="N41" i="27"/>
  <c r="N63" i="15" s="1"/>
  <c r="N31" i="27"/>
  <c r="N128" i="27" s="1"/>
  <c r="N131" i="27" s="1"/>
  <c r="AD41" i="27"/>
  <c r="AD63" i="15" s="1"/>
  <c r="AD31" i="27"/>
  <c r="AD128" i="27" s="1"/>
  <c r="AD131" i="27" s="1"/>
  <c r="AD76" i="15" s="1"/>
  <c r="AT41" i="27"/>
  <c r="AT31" i="27"/>
  <c r="AT128" i="27" s="1"/>
  <c r="AT131" i="27" s="1"/>
  <c r="AT76" i="15" s="1"/>
  <c r="BJ41" i="27"/>
  <c r="BJ31" i="27"/>
  <c r="BJ128" i="27" s="1"/>
  <c r="BJ131" i="27" s="1"/>
  <c r="BJ76" i="15" s="1"/>
  <c r="BZ41" i="27"/>
  <c r="BZ31" i="27"/>
  <c r="BZ128" i="27" s="1"/>
  <c r="BZ131" i="27" s="1"/>
  <c r="BO151" i="27"/>
  <c r="BO73" i="15" s="1"/>
  <c r="BG222" i="27"/>
  <c r="BG223" i="27" s="1"/>
  <c r="BG270" i="27" s="1"/>
  <c r="BG272" i="27" s="1"/>
  <c r="H398" i="27"/>
  <c r="X332" i="27"/>
  <c r="X398" i="27" s="1"/>
  <c r="AF332" i="27"/>
  <c r="AF398" i="27" s="1"/>
  <c r="AN332" i="27"/>
  <c r="AN398" i="27" s="1"/>
  <c r="AV332" i="27"/>
  <c r="AV398" i="27" s="1"/>
  <c r="BD332" i="27"/>
  <c r="BD398" i="27" s="1"/>
  <c r="BL332" i="27"/>
  <c r="BL398" i="27" s="1"/>
  <c r="BT332" i="27"/>
  <c r="BT398" i="27" s="1"/>
  <c r="CB332" i="27"/>
  <c r="CB398" i="27" s="1"/>
  <c r="K222" i="27"/>
  <c r="K223" i="27" s="1"/>
  <c r="K391" i="27" s="1"/>
  <c r="K212" i="27"/>
  <c r="K309" i="27" s="1"/>
  <c r="K312" i="27" s="1"/>
  <c r="K313" i="27" s="1"/>
  <c r="K400" i="27" s="1"/>
  <c r="BO222" i="27"/>
  <c r="BO223" i="27" s="1"/>
  <c r="BO391" i="27" s="1"/>
  <c r="BO212" i="27"/>
  <c r="BO309" i="27" s="1"/>
  <c r="BO312" i="27" s="1"/>
  <c r="BO313" i="27" s="1"/>
  <c r="BO400" i="27" s="1"/>
  <c r="AL41" i="27"/>
  <c r="CC142" i="27"/>
  <c r="BV320" i="27"/>
  <c r="P332" i="27"/>
  <c r="P398" i="27" s="1"/>
  <c r="CC378" i="27"/>
  <c r="K320" i="27"/>
  <c r="AY320" i="27"/>
  <c r="BW320" i="27"/>
  <c r="AY222" i="27"/>
  <c r="AY223" i="27" s="1"/>
  <c r="AY391" i="27" s="1"/>
  <c r="AY212" i="27"/>
  <c r="AY309" i="27" s="1"/>
  <c r="AY312" i="27" s="1"/>
  <c r="AY313" i="27" s="1"/>
  <c r="AY400" i="27" s="1"/>
  <c r="BB31" i="27"/>
  <c r="BB128" i="27" s="1"/>
  <c r="BB131" i="27" s="1"/>
  <c r="BB76" i="15" s="1"/>
  <c r="O151" i="27"/>
  <c r="O73" i="15" s="1"/>
  <c r="AQ212" i="27"/>
  <c r="AQ309" i="27" s="1"/>
  <c r="AQ312" i="27" s="1"/>
  <c r="AQ313" i="27" s="1"/>
  <c r="AQ400" i="27" s="1"/>
  <c r="S222" i="27"/>
  <c r="S223" i="27" s="1"/>
  <c r="S391" i="27" s="1"/>
  <c r="S212" i="27"/>
  <c r="S309" i="27" s="1"/>
  <c r="S312" i="27" s="1"/>
  <c r="S313" i="27" s="1"/>
  <c r="S400" i="27" s="1"/>
  <c r="AI212" i="27"/>
  <c r="AI309" i="27" s="1"/>
  <c r="AI312" i="27" s="1"/>
  <c r="AI313" i="27" s="1"/>
  <c r="AI400" i="27" s="1"/>
  <c r="AI222" i="27"/>
  <c r="AI223" i="27" s="1"/>
  <c r="AI391" i="27" s="1"/>
  <c r="CE222" i="27"/>
  <c r="CE223" i="27" s="1"/>
  <c r="CE391" i="27" s="1"/>
  <c r="CE212" i="27"/>
  <c r="CE309" i="27" s="1"/>
  <c r="CE312" i="27" s="1"/>
  <c r="CE313" i="27" s="1"/>
  <c r="CE400" i="27" s="1"/>
  <c r="V31" i="27"/>
  <c r="V128" i="27" s="1"/>
  <c r="V131" i="27" s="1"/>
  <c r="V76" i="15" s="1"/>
  <c r="G380" i="27"/>
  <c r="AE151" i="27"/>
  <c r="AE73" i="15" s="1"/>
  <c r="BS151" i="27"/>
  <c r="BS73" i="15" s="1"/>
  <c r="CI379" i="27"/>
  <c r="L378" i="27"/>
  <c r="BP378" i="27"/>
  <c r="BX378" i="27"/>
  <c r="CF378" i="27"/>
  <c r="BS140" i="27"/>
  <c r="P151" i="27"/>
  <c r="X151" i="27"/>
  <c r="X73" i="15" s="1"/>
  <c r="AF151" i="27"/>
  <c r="AN151" i="27"/>
  <c r="AN73" i="15" s="1"/>
  <c r="BL151" i="27"/>
  <c r="BL73" i="15" s="1"/>
  <c r="BT151" i="27"/>
  <c r="BT73" i="15" s="1"/>
  <c r="CB151" i="27"/>
  <c r="CB73" i="15" s="1"/>
  <c r="O322" i="27"/>
  <c r="AY322" i="27"/>
  <c r="W323" i="27"/>
  <c r="BZ140" i="27"/>
  <c r="I151" i="27"/>
  <c r="I73" i="15" s="1"/>
  <c r="Q151" i="27"/>
  <c r="Q73" i="15" s="1"/>
  <c r="Y151" i="27"/>
  <c r="Y73" i="15" s="1"/>
  <c r="AG151" i="27"/>
  <c r="AG73" i="15" s="1"/>
  <c r="AO151" i="27"/>
  <c r="AW151" i="27"/>
  <c r="AW73" i="15" s="1"/>
  <c r="BE151" i="27"/>
  <c r="BE73" i="15" s="1"/>
  <c r="BM151" i="27"/>
  <c r="BM73" i="15" s="1"/>
  <c r="BU151" i="27"/>
  <c r="CC151" i="27"/>
  <c r="CC73" i="15" s="1"/>
  <c r="AV151" i="27"/>
  <c r="AV73" i="15" s="1"/>
  <c r="BD151" i="27"/>
  <c r="BD73" i="15" s="1"/>
  <c r="AM151" i="27"/>
  <c r="AM73" i="15" s="1"/>
  <c r="AU151" i="27"/>
  <c r="AU73" i="15" s="1"/>
  <c r="AD151" i="27"/>
  <c r="AD73" i="15" s="1"/>
  <c r="AL151" i="27"/>
  <c r="AL73" i="15" s="1"/>
  <c r="U151" i="27"/>
  <c r="U73" i="15" s="1"/>
  <c r="AC151" i="27"/>
  <c r="AC73" i="15" s="1"/>
  <c r="CG151" i="27"/>
  <c r="CG73" i="15" s="1"/>
  <c r="L151" i="27"/>
  <c r="L73" i="15" s="1"/>
  <c r="T151" i="27"/>
  <c r="T73" i="15" s="1"/>
  <c r="BX151" i="27"/>
  <c r="BX73" i="15" s="1"/>
  <c r="CF151" i="27"/>
  <c r="CF73" i="15" s="1"/>
  <c r="I173" i="27"/>
  <c r="I397" i="27"/>
  <c r="Q397" i="27"/>
  <c r="Y397" i="27"/>
  <c r="AG397" i="27"/>
  <c r="AO397" i="27"/>
  <c r="AW397" i="27"/>
  <c r="BE397" i="27"/>
  <c r="BM397" i="27"/>
  <c r="BU397" i="27"/>
  <c r="CC397" i="27"/>
  <c r="AJ321" i="27"/>
  <c r="BP321" i="27"/>
  <c r="S322" i="27"/>
  <c r="BF322" i="27"/>
  <c r="Y323" i="27"/>
  <c r="CA140" i="27"/>
  <c r="J151" i="27"/>
  <c r="J73" i="15" s="1"/>
  <c r="R151" i="27"/>
  <c r="R73" i="15" s="1"/>
  <c r="Z151" i="27"/>
  <c r="Z73" i="15" s="1"/>
  <c r="AH151" i="27"/>
  <c r="AH73" i="15" s="1"/>
  <c r="AP151" i="27"/>
  <c r="AP73" i="15" s="1"/>
  <c r="AX151" i="27"/>
  <c r="AX73" i="15" s="1"/>
  <c r="BF151" i="27"/>
  <c r="BN151" i="27"/>
  <c r="BV151" i="27"/>
  <c r="CD151" i="27"/>
  <c r="CD73" i="15" s="1"/>
  <c r="BA212" i="27"/>
  <c r="BA309" i="27" s="1"/>
  <c r="BA312" i="27" s="1"/>
  <c r="BA313" i="27" s="1"/>
  <c r="BA400" i="27" s="1"/>
  <c r="Z322" i="27"/>
  <c r="BC323" i="27"/>
  <c r="BP131" i="27"/>
  <c r="M131" i="27"/>
  <c r="M76" i="15" s="1"/>
  <c r="U131" i="27"/>
  <c r="U76" i="15" s="1"/>
  <c r="AC131" i="27"/>
  <c r="AK131" i="27"/>
  <c r="AS131" i="27"/>
  <c r="BA131" i="27"/>
  <c r="BI131" i="27"/>
  <c r="BI76" i="15" s="1"/>
  <c r="BQ131" i="27"/>
  <c r="BQ76" i="15" s="1"/>
  <c r="BY131" i="27"/>
  <c r="BY76" i="15" s="1"/>
  <c r="CG131" i="27"/>
  <c r="CG76" i="15" s="1"/>
  <c r="BT142" i="27"/>
  <c r="CB142" i="27"/>
  <c r="BR139" i="27"/>
  <c r="BZ139" i="27"/>
  <c r="CH139" i="27"/>
  <c r="CH140" i="27"/>
  <c r="BQ141" i="27"/>
  <c r="S151" i="27"/>
  <c r="S73" i="15" s="1"/>
  <c r="AA151" i="27"/>
  <c r="AA73" i="15" s="1"/>
  <c r="AI151" i="27"/>
  <c r="AI73" i="15" s="1"/>
  <c r="AQ151" i="27"/>
  <c r="AY151" i="27"/>
  <c r="AY73" i="15" s="1"/>
  <c r="BG151" i="27"/>
  <c r="BG73" i="15" s="1"/>
  <c r="CE151" i="27"/>
  <c r="I321" i="27"/>
  <c r="AD322" i="27"/>
  <c r="BK322" i="27"/>
  <c r="BE323" i="27"/>
  <c r="CB139" i="27"/>
  <c r="AK151" i="27"/>
  <c r="AS151" i="27"/>
  <c r="AS73" i="15" s="1"/>
  <c r="BA151" i="27"/>
  <c r="BA73" i="15" s="1"/>
  <c r="BI151" i="27"/>
  <c r="BI73" i="15" s="1"/>
  <c r="BQ151" i="27"/>
  <c r="BY151" i="27"/>
  <c r="I320" i="27"/>
  <c r="Q320" i="27"/>
  <c r="Y320" i="27"/>
  <c r="AG320" i="27"/>
  <c r="AO320" i="27"/>
  <c r="AW320" i="27"/>
  <c r="BE320" i="27"/>
  <c r="BM320" i="27"/>
  <c r="BU320" i="27"/>
  <c r="CC320" i="27"/>
  <c r="BV322" i="27"/>
  <c r="BT139" i="27"/>
  <c r="BQ139" i="27"/>
  <c r="BY139" i="27"/>
  <c r="CG139" i="27"/>
  <c r="K142" i="27"/>
  <c r="BW142" i="27"/>
  <c r="CE142" i="27"/>
  <c r="J378" i="27"/>
  <c r="BV378" i="27"/>
  <c r="CD378" i="27"/>
  <c r="CC139" i="27"/>
  <c r="N151" i="27"/>
  <c r="V151" i="27"/>
  <c r="V73" i="15" s="1"/>
  <c r="AT151" i="27"/>
  <c r="AT73" i="15" s="1"/>
  <c r="BB151" i="27"/>
  <c r="BB73" i="15" s="1"/>
  <c r="BJ151" i="27"/>
  <c r="BJ73" i="15" s="1"/>
  <c r="BR151" i="27"/>
  <c r="BZ151" i="27"/>
  <c r="BZ73" i="15" s="1"/>
  <c r="CH151" i="27"/>
  <c r="CH380" i="27" s="1"/>
  <c r="CB390" i="27"/>
  <c r="CB392" i="27" s="1"/>
  <c r="Y321" i="27"/>
  <c r="AP322" i="27"/>
  <c r="CA322" i="27"/>
  <c r="AG332" i="27"/>
  <c r="AG398" i="27" s="1"/>
  <c r="BM332" i="27"/>
  <c r="BM398" i="27" s="1"/>
  <c r="W151" i="27"/>
  <c r="BC151" i="27"/>
  <c r="BC73" i="15" s="1"/>
  <c r="BK151" i="27"/>
  <c r="BK73" i="15" s="1"/>
  <c r="CA151" i="27"/>
  <c r="CA73" i="15" s="1"/>
  <c r="CI151" i="27"/>
  <c r="CI380" i="27" s="1"/>
  <c r="AA320" i="27"/>
  <c r="AI320" i="27"/>
  <c r="O332" i="27"/>
  <c r="O398" i="27" s="1"/>
  <c r="W332" i="27"/>
  <c r="W398" i="27" s="1"/>
  <c r="AE332" i="27"/>
  <c r="AE398" i="27" s="1"/>
  <c r="AM332" i="27"/>
  <c r="AM398" i="27" s="1"/>
  <c r="AU332" i="27"/>
  <c r="AU398" i="27" s="1"/>
  <c r="BC332" i="27"/>
  <c r="BC398" i="27" s="1"/>
  <c r="BK332" i="27"/>
  <c r="BK398" i="27" s="1"/>
  <c r="BS332" i="27"/>
  <c r="BS398" i="27" s="1"/>
  <c r="CA332" i="27"/>
  <c r="CA398" i="27" s="1"/>
  <c r="CI332" i="27"/>
  <c r="CI398" i="27" s="1"/>
  <c r="AY42" i="27"/>
  <c r="AQ42" i="27"/>
  <c r="K42" i="27"/>
  <c r="K64" i="15" s="1"/>
  <c r="CE42" i="27"/>
  <c r="AA42" i="27"/>
  <c r="AA64" i="15" s="1"/>
  <c r="BG42" i="27"/>
  <c r="W42" i="27"/>
  <c r="W64" i="15" s="1"/>
  <c r="AM42" i="27"/>
  <c r="BC42" i="27"/>
  <c r="BS42" i="27"/>
  <c r="CI373" i="27"/>
  <c r="CI89" i="27"/>
  <c r="CI91" i="27" s="1"/>
  <c r="CH373" i="27"/>
  <c r="CH89" i="27"/>
  <c r="CH91" i="27" s="1"/>
  <c r="S42" i="27"/>
  <c r="S64" i="15" s="1"/>
  <c r="BO42" i="27"/>
  <c r="O42" i="27"/>
  <c r="AE42" i="27"/>
  <c r="AU42" i="27"/>
  <c r="BK42" i="27"/>
  <c r="CA42" i="27"/>
  <c r="AI42" i="27"/>
  <c r="BW42" i="27"/>
  <c r="Q42" i="27"/>
  <c r="Y42" i="27"/>
  <c r="Y64" i="15" s="1"/>
  <c r="AG42" i="27"/>
  <c r="AO42" i="27"/>
  <c r="AW42" i="27"/>
  <c r="BE42" i="27"/>
  <c r="BM42" i="27"/>
  <c r="BU42" i="27"/>
  <c r="CC42" i="27"/>
  <c r="N371" i="27"/>
  <c r="V371" i="27"/>
  <c r="AD371" i="27"/>
  <c r="AL371" i="27"/>
  <c r="AT371" i="27"/>
  <c r="BB371" i="27"/>
  <c r="BJ371" i="27"/>
  <c r="BR371" i="27"/>
  <c r="BR372" i="27" s="1"/>
  <c r="BR374" i="27" s="1"/>
  <c r="BZ371" i="27"/>
  <c r="BZ372" i="27" s="1"/>
  <c r="O128" i="27"/>
  <c r="O131" i="27" s="1"/>
  <c r="O76" i="15" s="1"/>
  <c r="W31" i="27"/>
  <c r="W128" i="27" s="1"/>
  <c r="W131" i="27" s="1"/>
  <c r="W76" i="15" s="1"/>
  <c r="AE31" i="27"/>
  <c r="AE128" i="27" s="1"/>
  <c r="AE131" i="27" s="1"/>
  <c r="AE76" i="15" s="1"/>
  <c r="AM31" i="27"/>
  <c r="AM128" i="27" s="1"/>
  <c r="AM131" i="27" s="1"/>
  <c r="AM76" i="15" s="1"/>
  <c r="AU31" i="27"/>
  <c r="AU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r="CI31" i="27"/>
  <c r="CI128" i="27" s="1"/>
  <c r="CI131" i="27" s="1"/>
  <c r="CI132" i="27" s="1"/>
  <c r="M41" i="27"/>
  <c r="U41" i="27"/>
  <c r="U63" i="15" s="1"/>
  <c r="AC41" i="27"/>
  <c r="AC63" i="15" s="1"/>
  <c r="AK41" i="27"/>
  <c r="AS41" i="27"/>
  <c r="BA41" i="27"/>
  <c r="BI41" i="27"/>
  <c r="BQ41" i="27"/>
  <c r="BY41" i="27"/>
  <c r="CG41" i="27"/>
  <c r="T42" i="27"/>
  <c r="T64" i="15" s="1"/>
  <c r="AB42" i="27"/>
  <c r="AB64" i="15" s="1"/>
  <c r="AJ42" i="27"/>
  <c r="AR42" i="27"/>
  <c r="AZ42" i="27"/>
  <c r="BH42" i="27"/>
  <c r="BX42" i="27"/>
  <c r="CF42" i="27"/>
  <c r="G371" i="27"/>
  <c r="G372" i="27" s="1"/>
  <c r="G374" i="27" s="1"/>
  <c r="O371" i="27"/>
  <c r="W371" i="27"/>
  <c r="AE371" i="27"/>
  <c r="AM371" i="27"/>
  <c r="AU371" i="27"/>
  <c r="BC371" i="27"/>
  <c r="BK371" i="27"/>
  <c r="BS371" i="27"/>
  <c r="BS372" i="27" s="1"/>
  <c r="BS374" i="27" s="1"/>
  <c r="CA371" i="27"/>
  <c r="CI371" i="27"/>
  <c r="CI372" i="27" s="1"/>
  <c r="CI374" i="27" s="1"/>
  <c r="P371" i="27"/>
  <c r="AN371" i="27"/>
  <c r="BD371" i="27"/>
  <c r="BT371" i="27"/>
  <c r="BT372" i="27" s="1"/>
  <c r="BT374" i="27" s="1"/>
  <c r="CB371" i="27"/>
  <c r="CB372" i="27" s="1"/>
  <c r="CB374" i="27" s="1"/>
  <c r="I128" i="27"/>
  <c r="I131" i="27" s="1"/>
  <c r="I76" i="15" s="1"/>
  <c r="Q31" i="27"/>
  <c r="Q128" i="27" s="1"/>
  <c r="Q131" i="27" s="1"/>
  <c r="Q76" i="15" s="1"/>
  <c r="Y31" i="27"/>
  <c r="Y128" i="27" s="1"/>
  <c r="Y131" i="27" s="1"/>
  <c r="Y76" i="15" s="1"/>
  <c r="AG31" i="27"/>
  <c r="AG128" i="27" s="1"/>
  <c r="AG131" i="27" s="1"/>
  <c r="AG76" i="15" s="1"/>
  <c r="AO31" i="27"/>
  <c r="AO128" i="27" s="1"/>
  <c r="AO131" i="27" s="1"/>
  <c r="AO76" i="15" s="1"/>
  <c r="AW31" i="27"/>
  <c r="AW128" i="27" s="1"/>
  <c r="AW131" i="27" s="1"/>
  <c r="AW76" i="15" s="1"/>
  <c r="BE31" i="27"/>
  <c r="BE128" i="27" s="1"/>
  <c r="BE131" i="27" s="1"/>
  <c r="BE76" i="15" s="1"/>
  <c r="BM31" i="27"/>
  <c r="BM128" i="27" s="1"/>
  <c r="BM131" i="27" s="1"/>
  <c r="BM76" i="15" s="1"/>
  <c r="BU31" i="27"/>
  <c r="BU128" i="27" s="1"/>
  <c r="BU131" i="27" s="1"/>
  <c r="BU76" i="15" s="1"/>
  <c r="CC31" i="27"/>
  <c r="CC128" i="27" s="1"/>
  <c r="CC131" i="27" s="1"/>
  <c r="CC76" i="15" s="1"/>
  <c r="V42" i="27"/>
  <c r="V64" i="15" s="1"/>
  <c r="BB42" i="27"/>
  <c r="BR42" i="27"/>
  <c r="J371" i="27"/>
  <c r="R371" i="27"/>
  <c r="Z371" i="27"/>
  <c r="AH371" i="27"/>
  <c r="AP371" i="27"/>
  <c r="AX371" i="27"/>
  <c r="BF371" i="27"/>
  <c r="BN371" i="27"/>
  <c r="BV371" i="27"/>
  <c r="CD371" i="27"/>
  <c r="CD372" i="27" s="1"/>
  <c r="H371" i="27"/>
  <c r="X371" i="27"/>
  <c r="AV371" i="27"/>
  <c r="K31" i="27"/>
  <c r="K128" i="27" s="1"/>
  <c r="K131" i="27" s="1"/>
  <c r="K76" i="15" s="1"/>
  <c r="S31" i="27"/>
  <c r="S128" i="27" s="1"/>
  <c r="S131" i="27" s="1"/>
  <c r="S76" i="15" s="1"/>
  <c r="AA31" i="27"/>
  <c r="AA128" i="27" s="1"/>
  <c r="AA131" i="27" s="1"/>
  <c r="AA76" i="15" s="1"/>
  <c r="AI31" i="27"/>
  <c r="AI128" i="27" s="1"/>
  <c r="AI131" i="27" s="1"/>
  <c r="AI76" i="15" s="1"/>
  <c r="AQ31" i="27"/>
  <c r="AQ128" i="27" s="1"/>
  <c r="AQ131" i="27" s="1"/>
  <c r="AQ76" i="15" s="1"/>
  <c r="AY31" i="27"/>
  <c r="AY128" i="27" s="1"/>
  <c r="AY131" i="27" s="1"/>
  <c r="AY76" i="15" s="1"/>
  <c r="BG31" i="27"/>
  <c r="BG128" i="27" s="1"/>
  <c r="BG131" i="27" s="1"/>
  <c r="BG76" i="15" s="1"/>
  <c r="BO31" i="27"/>
  <c r="BO128" i="27" s="1"/>
  <c r="BO131" i="27" s="1"/>
  <c r="BO76" i="15" s="1"/>
  <c r="BW31" i="27"/>
  <c r="BW128" i="27" s="1"/>
  <c r="BW131" i="27" s="1"/>
  <c r="BW76" i="15" s="1"/>
  <c r="CE31" i="27"/>
  <c r="CE128" i="27" s="1"/>
  <c r="CE131" i="27" s="1"/>
  <c r="CE76" i="15" s="1"/>
  <c r="P42" i="27"/>
  <c r="X42" i="27"/>
  <c r="X64" i="15" s="1"/>
  <c r="AF42" i="27"/>
  <c r="AN42" i="27"/>
  <c r="AV42" i="27"/>
  <c r="BD42" i="27"/>
  <c r="BL42" i="27"/>
  <c r="BT42" i="27"/>
  <c r="CB42" i="27"/>
  <c r="K371" i="27"/>
  <c r="S371" i="27"/>
  <c r="AA371" i="27"/>
  <c r="AI371" i="27"/>
  <c r="AQ371" i="27"/>
  <c r="AY371" i="27"/>
  <c r="BG371" i="27"/>
  <c r="BO371" i="27"/>
  <c r="L371" i="27"/>
  <c r="T371" i="27"/>
  <c r="AB371" i="27"/>
  <c r="AJ371" i="27"/>
  <c r="AR371" i="27"/>
  <c r="AZ371" i="27"/>
  <c r="BH371" i="27"/>
  <c r="BP371" i="27"/>
  <c r="BP372" i="27" s="1"/>
  <c r="BP374" i="27" s="1"/>
  <c r="BX371" i="27"/>
  <c r="BX372" i="27" s="1"/>
  <c r="CF371" i="27"/>
  <c r="CF372" i="27" s="1"/>
  <c r="CF374" i="27" s="1"/>
  <c r="AF371" i="27"/>
  <c r="BL371" i="27"/>
  <c r="J42" i="27"/>
  <c r="J64" i="15" s="1"/>
  <c r="R42" i="27"/>
  <c r="R64" i="15" s="1"/>
  <c r="Z42" i="27"/>
  <c r="Z64" i="15" s="1"/>
  <c r="AH42" i="27"/>
  <c r="AP42" i="27"/>
  <c r="AX42" i="27"/>
  <c r="BF42" i="27"/>
  <c r="BN42" i="27"/>
  <c r="BV42" i="27"/>
  <c r="CD42" i="27"/>
  <c r="M371" i="27"/>
  <c r="U371" i="27"/>
  <c r="AC371" i="27"/>
  <c r="AK371" i="27"/>
  <c r="AS371" i="27"/>
  <c r="BA371" i="27"/>
  <c r="BI371" i="27"/>
  <c r="BQ371" i="27"/>
  <c r="BQ372" i="27" s="1"/>
  <c r="BQ374" i="27" s="1"/>
  <c r="BY371" i="27"/>
  <c r="BY372" i="27" s="1"/>
  <c r="BY374" i="27" s="1"/>
  <c r="CG371" i="27"/>
  <c r="CG372" i="27" s="1"/>
  <c r="I371" i="27"/>
  <c r="Q371" i="27"/>
  <c r="Y371" i="27"/>
  <c r="AG371" i="27"/>
  <c r="AO371" i="27"/>
  <c r="AW371" i="27"/>
  <c r="BE371" i="27"/>
  <c r="BM371" i="27"/>
  <c r="BU371" i="27"/>
  <c r="BU372" i="27" s="1"/>
  <c r="BU374" i="27" s="1"/>
  <c r="CC371" i="27"/>
  <c r="CC372" i="27" s="1"/>
  <c r="BW139" i="27"/>
  <c r="CE139" i="27"/>
  <c r="BP139" i="27"/>
  <c r="BX139" i="27"/>
  <c r="CF139" i="27"/>
  <c r="BW371" i="27"/>
  <c r="BW372" i="27" s="1"/>
  <c r="BW374" i="27" s="1"/>
  <c r="CE371" i="27"/>
  <c r="CE372" i="27" s="1"/>
  <c r="CE374" i="27" s="1"/>
  <c r="I62" i="27"/>
  <c r="R391" i="27"/>
  <c r="R270" i="27"/>
  <c r="R272" i="27" s="1"/>
  <c r="I82" i="27"/>
  <c r="CH372" i="27"/>
  <c r="CH374" i="27" s="1"/>
  <c r="I142" i="27"/>
  <c r="BU142" i="27"/>
  <c r="I83" i="27"/>
  <c r="BP379" i="27"/>
  <c r="BX379" i="27"/>
  <c r="CF379" i="27"/>
  <c r="J377" i="27"/>
  <c r="J142" i="27"/>
  <c r="J140" i="27"/>
  <c r="BV377" i="27"/>
  <c r="BV142" i="27"/>
  <c r="BV140" i="27"/>
  <c r="CD377" i="27"/>
  <c r="CD142" i="27"/>
  <c r="CD140" i="27"/>
  <c r="I378" i="27"/>
  <c r="I141" i="27"/>
  <c r="BU378" i="27"/>
  <c r="BU141" i="27"/>
  <c r="I84" i="27"/>
  <c r="BU139" i="27"/>
  <c r="BV139" i="27"/>
  <c r="CD139" i="27"/>
  <c r="BR379" i="27"/>
  <c r="BZ379" i="27"/>
  <c r="L377" i="27"/>
  <c r="BP377" i="27"/>
  <c r="BX377" i="27"/>
  <c r="CF377" i="27"/>
  <c r="BT140" i="27"/>
  <c r="CB140" i="27"/>
  <c r="BS141" i="27"/>
  <c r="CA141" i="27"/>
  <c r="CI141" i="27"/>
  <c r="CH142" i="27"/>
  <c r="H391" i="27"/>
  <c r="P391" i="27"/>
  <c r="P270" i="27"/>
  <c r="P272" i="27" s="1"/>
  <c r="X391" i="27"/>
  <c r="X270" i="27"/>
  <c r="X272" i="27" s="1"/>
  <c r="AF391" i="27"/>
  <c r="AF270" i="27"/>
  <c r="AF272" i="27" s="1"/>
  <c r="AN391" i="27"/>
  <c r="AN270" i="27"/>
  <c r="AN272" i="27" s="1"/>
  <c r="AV391" i="27"/>
  <c r="AV270" i="27"/>
  <c r="AV272" i="27" s="1"/>
  <c r="BD391" i="27"/>
  <c r="BD270" i="27"/>
  <c r="BD272" i="27" s="1"/>
  <c r="BL391" i="27"/>
  <c r="BL270" i="27"/>
  <c r="BL272" i="27" s="1"/>
  <c r="BT391" i="27"/>
  <c r="BT270" i="27"/>
  <c r="BT272" i="27" s="1"/>
  <c r="CB391" i="27"/>
  <c r="CB270" i="27"/>
  <c r="CB272" i="27" s="1"/>
  <c r="G391" i="27"/>
  <c r="AC391" i="27"/>
  <c r="AC270" i="27"/>
  <c r="AC272" i="27" s="1"/>
  <c r="BS391" i="27"/>
  <c r="BS270" i="27"/>
  <c r="BS272" i="27" s="1"/>
  <c r="G379" i="27"/>
  <c r="BS379" i="27"/>
  <c r="CA379" i="27"/>
  <c r="BQ377" i="27"/>
  <c r="BY377" i="27"/>
  <c r="CG377" i="27"/>
  <c r="I140" i="27"/>
  <c r="BU140" i="27"/>
  <c r="CC140" i="27"/>
  <c r="BT141" i="27"/>
  <c r="CB141" i="27"/>
  <c r="I391" i="27"/>
  <c r="I270" i="27"/>
  <c r="I272" i="27" s="1"/>
  <c r="Q391" i="27"/>
  <c r="Q270" i="27"/>
  <c r="Q272" i="27" s="1"/>
  <c r="Y391" i="27"/>
  <c r="Y270" i="27"/>
  <c r="Y272" i="27" s="1"/>
  <c r="AG391" i="27"/>
  <c r="AG270" i="27"/>
  <c r="AG272" i="27" s="1"/>
  <c r="AO391" i="27"/>
  <c r="AO270" i="27"/>
  <c r="AO272" i="27" s="1"/>
  <c r="AW391" i="27"/>
  <c r="AW270" i="27"/>
  <c r="AW272" i="27" s="1"/>
  <c r="BE391" i="27"/>
  <c r="BE270" i="27"/>
  <c r="BE272" i="27" s="1"/>
  <c r="BM391" i="27"/>
  <c r="BM270" i="27"/>
  <c r="BM272" i="27" s="1"/>
  <c r="BU391" i="27"/>
  <c r="BU270" i="27"/>
  <c r="BU272" i="27" s="1"/>
  <c r="CC391" i="27"/>
  <c r="CC270" i="27"/>
  <c r="CC272" i="27" s="1"/>
  <c r="AE391" i="27"/>
  <c r="AE270" i="27"/>
  <c r="AE272" i="27" s="1"/>
  <c r="BA391" i="27"/>
  <c r="BA270" i="27"/>
  <c r="BA272" i="27" s="1"/>
  <c r="H379" i="27"/>
  <c r="BT379" i="27"/>
  <c r="CB379" i="27"/>
  <c r="BR377" i="27"/>
  <c r="BZ377" i="27"/>
  <c r="CC141" i="27"/>
  <c r="I172" i="27"/>
  <c r="Z391" i="27"/>
  <c r="Z270" i="27"/>
  <c r="Z272" i="27" s="1"/>
  <c r="AH391" i="27"/>
  <c r="AH270" i="27"/>
  <c r="AH272" i="27" s="1"/>
  <c r="AP391" i="27"/>
  <c r="AP270" i="27"/>
  <c r="AP272" i="27" s="1"/>
  <c r="AX391" i="27"/>
  <c r="AX270" i="27"/>
  <c r="AX272" i="27" s="1"/>
  <c r="BF391" i="27"/>
  <c r="BF270" i="27"/>
  <c r="BF272" i="27" s="1"/>
  <c r="BN391" i="27"/>
  <c r="BN270" i="27"/>
  <c r="BN272" i="27" s="1"/>
  <c r="BV391" i="27"/>
  <c r="BV270" i="27"/>
  <c r="BV272" i="27" s="1"/>
  <c r="CD391" i="27"/>
  <c r="CD270" i="27"/>
  <c r="CD272" i="27" s="1"/>
  <c r="M391" i="27"/>
  <c r="M270" i="27"/>
  <c r="M272" i="27" s="1"/>
  <c r="BC391" i="27"/>
  <c r="BC270" i="27"/>
  <c r="BC272" i="27" s="1"/>
  <c r="BY391" i="27"/>
  <c r="BY270" i="27"/>
  <c r="BY272" i="27" s="1"/>
  <c r="BU379" i="27"/>
  <c r="CC379" i="27"/>
  <c r="G377" i="27"/>
  <c r="BS377" i="27"/>
  <c r="CA377" i="27"/>
  <c r="CI377" i="27"/>
  <c r="BR378" i="27"/>
  <c r="BZ378" i="27"/>
  <c r="CH378" i="27"/>
  <c r="BW140" i="27"/>
  <c r="CE140" i="27"/>
  <c r="J141" i="27"/>
  <c r="BV141" i="27"/>
  <c r="CD141" i="27"/>
  <c r="CA391" i="27"/>
  <c r="CA270" i="27"/>
  <c r="CA272" i="27" s="1"/>
  <c r="BV379" i="27"/>
  <c r="CD379" i="27"/>
  <c r="H377" i="27"/>
  <c r="BT377" i="27"/>
  <c r="CB377" i="27"/>
  <c r="L140" i="27"/>
  <c r="BP140" i="27"/>
  <c r="BX140" i="27"/>
  <c r="CF140" i="27"/>
  <c r="K141" i="27"/>
  <c r="BW141" i="27"/>
  <c r="CE141" i="27"/>
  <c r="M29" i="19"/>
  <c r="L212" i="27"/>
  <c r="L309" i="27" s="1"/>
  <c r="L312" i="27" s="1"/>
  <c r="L313" i="27" s="1"/>
  <c r="L222" i="27"/>
  <c r="L223" i="27" s="1"/>
  <c r="T212" i="27"/>
  <c r="T309" i="27" s="1"/>
  <c r="T312" i="27" s="1"/>
  <c r="T313" i="27" s="1"/>
  <c r="T222" i="27"/>
  <c r="T223" i="27" s="1"/>
  <c r="AB212" i="27"/>
  <c r="AB309" i="27" s="1"/>
  <c r="AB312" i="27" s="1"/>
  <c r="AB313" i="27" s="1"/>
  <c r="AB222" i="27"/>
  <c r="AB223" i="27" s="1"/>
  <c r="AJ212" i="27"/>
  <c r="AJ309" i="27" s="1"/>
  <c r="AJ312" i="27" s="1"/>
  <c r="AJ313" i="27" s="1"/>
  <c r="AJ222" i="27"/>
  <c r="AJ223" i="27" s="1"/>
  <c r="AR212" i="27"/>
  <c r="AR309" i="27" s="1"/>
  <c r="AR312" i="27" s="1"/>
  <c r="AR313" i="27" s="1"/>
  <c r="AR222" i="27"/>
  <c r="AR223" i="27" s="1"/>
  <c r="AZ212" i="27"/>
  <c r="AZ309" i="27" s="1"/>
  <c r="AZ312" i="27" s="1"/>
  <c r="AZ313" i="27" s="1"/>
  <c r="AZ222" i="27"/>
  <c r="AZ223" i="27" s="1"/>
  <c r="BH212" i="27"/>
  <c r="BH309" i="27" s="1"/>
  <c r="BH312" i="27" s="1"/>
  <c r="BH313" i="27" s="1"/>
  <c r="BH222" i="27"/>
  <c r="BH223" i="27" s="1"/>
  <c r="BP212" i="27"/>
  <c r="BP309" i="27" s="1"/>
  <c r="BP312" i="27" s="1"/>
  <c r="BP313" i="27" s="1"/>
  <c r="BP222" i="27"/>
  <c r="BP223" i="27" s="1"/>
  <c r="BX212" i="27"/>
  <c r="BX309" i="27" s="1"/>
  <c r="BX312" i="27" s="1"/>
  <c r="BX313" i="27" s="1"/>
  <c r="BX222" i="27"/>
  <c r="BX223" i="27" s="1"/>
  <c r="CF212" i="27"/>
  <c r="CF309" i="27" s="1"/>
  <c r="CF312" i="27" s="1"/>
  <c r="CF313" i="27" s="1"/>
  <c r="CF222" i="27"/>
  <c r="CF223" i="27" s="1"/>
  <c r="AM391" i="27"/>
  <c r="AM270" i="27"/>
  <c r="AM272" i="27" s="1"/>
  <c r="BI391" i="27"/>
  <c r="BI270" i="27"/>
  <c r="BI272" i="27" s="1"/>
  <c r="BW379" i="27"/>
  <c r="CE379" i="27"/>
  <c r="I377" i="27"/>
  <c r="BU377" i="27"/>
  <c r="CC377" i="27"/>
  <c r="BQ140" i="27"/>
  <c r="BY140" i="27"/>
  <c r="CG140" i="27"/>
  <c r="L141" i="27"/>
  <c r="BP141" i="27"/>
  <c r="BX141" i="27"/>
  <c r="CF141" i="27"/>
  <c r="U391" i="27"/>
  <c r="U270" i="27"/>
  <c r="U272" i="27" s="1"/>
  <c r="AQ391" i="27"/>
  <c r="AQ270" i="27"/>
  <c r="AQ272" i="27" s="1"/>
  <c r="BK391" i="27"/>
  <c r="BK270" i="27"/>
  <c r="BK272" i="27" s="1"/>
  <c r="CG391" i="27"/>
  <c r="CG270" i="27"/>
  <c r="CG272" i="27" s="1"/>
  <c r="N391" i="27"/>
  <c r="N270" i="27"/>
  <c r="N272" i="27" s="1"/>
  <c r="V391" i="27"/>
  <c r="V270" i="27"/>
  <c r="V272" i="27" s="1"/>
  <c r="AD391" i="27"/>
  <c r="AD270" i="27"/>
  <c r="AD272" i="27" s="1"/>
  <c r="AL391" i="27"/>
  <c r="AL270" i="27"/>
  <c r="AL272" i="27" s="1"/>
  <c r="AT391" i="27"/>
  <c r="AT270" i="27"/>
  <c r="AT272" i="27" s="1"/>
  <c r="BB391" i="27"/>
  <c r="BB270" i="27"/>
  <c r="BB272" i="27" s="1"/>
  <c r="BJ391" i="27"/>
  <c r="BJ270" i="27"/>
  <c r="BJ272" i="27" s="1"/>
  <c r="BR391" i="27"/>
  <c r="BR270" i="27"/>
  <c r="BR272" i="27" s="1"/>
  <c r="BZ391" i="27"/>
  <c r="BZ270" i="27"/>
  <c r="BZ272" i="27" s="1"/>
  <c r="CH391" i="27"/>
  <c r="CH270" i="27"/>
  <c r="CH272" i="27" s="1"/>
  <c r="W391" i="27"/>
  <c r="W270" i="27"/>
  <c r="W272" i="27" s="1"/>
  <c r="AS391" i="27"/>
  <c r="AS270" i="27"/>
  <c r="AS272" i="27" s="1"/>
  <c r="CI391" i="27"/>
  <c r="CI270" i="27"/>
  <c r="CI272" i="27" s="1"/>
  <c r="BQ379" i="27"/>
  <c r="BY379" i="27"/>
  <c r="CG379" i="27"/>
  <c r="K377" i="27"/>
  <c r="BW377" i="27"/>
  <c r="CE377" i="27"/>
  <c r="AU391" i="27"/>
  <c r="AU270" i="27"/>
  <c r="AU272" i="27" s="1"/>
  <c r="BQ391" i="27"/>
  <c r="BQ270" i="27"/>
  <c r="BQ272" i="27" s="1"/>
  <c r="J391" i="27"/>
  <c r="J270" i="27"/>
  <c r="J272" i="27" s="1"/>
  <c r="N29" i="19"/>
  <c r="N212" i="27"/>
  <c r="N309" i="27" s="1"/>
  <c r="N312" i="27" s="1"/>
  <c r="N313" i="27" s="1"/>
  <c r="V212" i="27"/>
  <c r="V309" i="27" s="1"/>
  <c r="V312" i="27" s="1"/>
  <c r="V313" i="27" s="1"/>
  <c r="AD212" i="27"/>
  <c r="AD309" i="27" s="1"/>
  <c r="AD312" i="27" s="1"/>
  <c r="AD313" i="27" s="1"/>
  <c r="AL212" i="27"/>
  <c r="AL309" i="27" s="1"/>
  <c r="AL312" i="27" s="1"/>
  <c r="AL313" i="27" s="1"/>
  <c r="AT212" i="27"/>
  <c r="AT309" i="27" s="1"/>
  <c r="AT312" i="27" s="1"/>
  <c r="AT313" i="27" s="1"/>
  <c r="BB212" i="27"/>
  <c r="BB309" i="27" s="1"/>
  <c r="BB312" i="27" s="1"/>
  <c r="BB313" i="27" s="1"/>
  <c r="BJ212" i="27"/>
  <c r="BJ309" i="27" s="1"/>
  <c r="BJ312" i="27" s="1"/>
  <c r="BJ313" i="27" s="1"/>
  <c r="BR212" i="27"/>
  <c r="BR309" i="27" s="1"/>
  <c r="BR312" i="27" s="1"/>
  <c r="BR313" i="27" s="1"/>
  <c r="BZ212" i="27"/>
  <c r="BZ309" i="27" s="1"/>
  <c r="BZ312" i="27" s="1"/>
  <c r="BZ313" i="27" s="1"/>
  <c r="CH212" i="27"/>
  <c r="CH309" i="27" s="1"/>
  <c r="CH312" i="27" s="1"/>
  <c r="CH313" i="27" s="1"/>
  <c r="K29" i="19"/>
  <c r="G389" i="27"/>
  <c r="G390" i="27" s="1"/>
  <c r="G392" i="27" s="1"/>
  <c r="O389" i="27"/>
  <c r="W389" i="27"/>
  <c r="AE389" i="27"/>
  <c r="AM389" i="27"/>
  <c r="AM390" i="27" s="1"/>
  <c r="AM392" i="27" s="1"/>
  <c r="AU389" i="27"/>
  <c r="AU390" i="27" s="1"/>
  <c r="BC389" i="27"/>
  <c r="BC390" i="27" s="1"/>
  <c r="BC392" i="27" s="1"/>
  <c r="BK389" i="27"/>
  <c r="BS389" i="27"/>
  <c r="BS390" i="27" s="1"/>
  <c r="BS392" i="27" s="1"/>
  <c r="CA389" i="27"/>
  <c r="CI389" i="27"/>
  <c r="P29" i="19"/>
  <c r="P212" i="27"/>
  <c r="P309" i="27" s="1"/>
  <c r="P312" i="27" s="1"/>
  <c r="P313" i="27" s="1"/>
  <c r="X212" i="27"/>
  <c r="X309" i="27" s="1"/>
  <c r="X312" i="27" s="1"/>
  <c r="X313" i="27" s="1"/>
  <c r="AF212" i="27"/>
  <c r="AF309" i="27" s="1"/>
  <c r="AF312" i="27" s="1"/>
  <c r="AF313" i="27" s="1"/>
  <c r="AN212" i="27"/>
  <c r="AN309" i="27" s="1"/>
  <c r="AN312" i="27" s="1"/>
  <c r="AN313" i="27" s="1"/>
  <c r="AV212" i="27"/>
  <c r="AV309" i="27" s="1"/>
  <c r="AV312" i="27" s="1"/>
  <c r="AV313" i="27" s="1"/>
  <c r="BD212" i="27"/>
  <c r="BD309" i="27" s="1"/>
  <c r="BD312" i="27" s="1"/>
  <c r="BD313" i="27" s="1"/>
  <c r="BL212" i="27"/>
  <c r="BL309" i="27" s="1"/>
  <c r="BL312" i="27" s="1"/>
  <c r="BL313" i="27" s="1"/>
  <c r="BT212" i="27"/>
  <c r="BT309" i="27" s="1"/>
  <c r="BT312" i="27" s="1"/>
  <c r="BT313" i="27" s="1"/>
  <c r="CB212" i="27"/>
  <c r="CB309" i="27" s="1"/>
  <c r="CB312" i="27" s="1"/>
  <c r="CB313" i="27" s="1"/>
  <c r="P389" i="27"/>
  <c r="P390" i="27" s="1"/>
  <c r="P392" i="27" s="1"/>
  <c r="X389" i="27"/>
  <c r="X390" i="27" s="1"/>
  <c r="AF389" i="27"/>
  <c r="AF390" i="27" s="1"/>
  <c r="AF392" i="27" s="1"/>
  <c r="AN389" i="27"/>
  <c r="AN390" i="27" s="1"/>
  <c r="AV389" i="27"/>
  <c r="AV390" i="27" s="1"/>
  <c r="AV392" i="27" s="1"/>
  <c r="BD389" i="27"/>
  <c r="BL389" i="27"/>
  <c r="BL390" i="27" s="1"/>
  <c r="BL392" i="27" s="1"/>
  <c r="BT389" i="27"/>
  <c r="BT390" i="27" s="1"/>
  <c r="H390" i="27"/>
  <c r="H392" i="27" s="1"/>
  <c r="I389" i="27"/>
  <c r="I390" i="27" s="1"/>
  <c r="I392" i="27" s="1"/>
  <c r="Q389" i="27"/>
  <c r="Q390" i="27" s="1"/>
  <c r="Q392" i="27" s="1"/>
  <c r="Y389" i="27"/>
  <c r="Y390" i="27" s="1"/>
  <c r="Y392" i="27" s="1"/>
  <c r="AG389" i="27"/>
  <c r="AG390" i="27" s="1"/>
  <c r="AG392" i="27" s="1"/>
  <c r="AO389" i="27"/>
  <c r="AO390" i="27" s="1"/>
  <c r="AO392" i="27" s="1"/>
  <c r="AW389" i="27"/>
  <c r="AW390" i="27" s="1"/>
  <c r="AW392" i="27" s="1"/>
  <c r="BE389" i="27"/>
  <c r="BE390" i="27" s="1"/>
  <c r="BE392" i="27" s="1"/>
  <c r="BM389" i="27"/>
  <c r="BM390" i="27" s="1"/>
  <c r="BM392" i="27" s="1"/>
  <c r="BU389" i="27"/>
  <c r="BU390" i="27" s="1"/>
  <c r="BU392" i="27" s="1"/>
  <c r="CC389" i="27"/>
  <c r="CC390" i="27" s="1"/>
  <c r="CC392" i="27" s="1"/>
  <c r="J389" i="27"/>
  <c r="J390" i="27" s="1"/>
  <c r="J392" i="27" s="1"/>
  <c r="R389" i="27"/>
  <c r="R390" i="27" s="1"/>
  <c r="R392" i="27" s="1"/>
  <c r="Z389" i="27"/>
  <c r="AH389" i="27"/>
  <c r="AH390" i="27" s="1"/>
  <c r="AH392" i="27" s="1"/>
  <c r="AP389" i="27"/>
  <c r="AP390" i="27" s="1"/>
  <c r="AP392" i="27" s="1"/>
  <c r="AX389" i="27"/>
  <c r="AX390" i="27" s="1"/>
  <c r="AX392" i="27" s="1"/>
  <c r="BF389" i="27"/>
  <c r="BF390" i="27" s="1"/>
  <c r="BF392" i="27" s="1"/>
  <c r="BN389" i="27"/>
  <c r="BN390" i="27" s="1"/>
  <c r="BN392" i="27" s="1"/>
  <c r="BV389" i="27"/>
  <c r="BV390" i="27" s="1"/>
  <c r="BV392" i="27" s="1"/>
  <c r="CD389" i="27"/>
  <c r="CD390" i="27" s="1"/>
  <c r="CD392" i="27" s="1"/>
  <c r="O29" i="19"/>
  <c r="K389" i="27"/>
  <c r="K390" i="27" s="1"/>
  <c r="K392" i="27" s="1"/>
  <c r="S389" i="27"/>
  <c r="S390" i="27" s="1"/>
  <c r="AA389" i="27"/>
  <c r="AA390" i="27" s="1"/>
  <c r="AA392" i="27" s="1"/>
  <c r="AI389" i="27"/>
  <c r="AI390" i="27" s="1"/>
  <c r="AI392" i="27" s="1"/>
  <c r="AQ389" i="27"/>
  <c r="AQ390" i="27" s="1"/>
  <c r="AQ392" i="27" s="1"/>
  <c r="AY389" i="27"/>
  <c r="AY390" i="27" s="1"/>
  <c r="AY392" i="27" s="1"/>
  <c r="BG389" i="27"/>
  <c r="BG390" i="27" s="1"/>
  <c r="BG392" i="27" s="1"/>
  <c r="BO389" i="27"/>
  <c r="BO390" i="27" s="1"/>
  <c r="BW389" i="27"/>
  <c r="BW390" i="27" s="1"/>
  <c r="BW392" i="27" s="1"/>
  <c r="L29" i="19"/>
  <c r="L389" i="27"/>
  <c r="L390" i="27" s="1"/>
  <c r="L392" i="27" s="1"/>
  <c r="T389" i="27"/>
  <c r="T390" i="27" s="1"/>
  <c r="T392" i="27" s="1"/>
  <c r="AB389" i="27"/>
  <c r="AB390" i="27" s="1"/>
  <c r="AB392" i="27" s="1"/>
  <c r="AJ389" i="27"/>
  <c r="AJ390" i="27" s="1"/>
  <c r="AJ392" i="27" s="1"/>
  <c r="AR389" i="27"/>
  <c r="AR390" i="27" s="1"/>
  <c r="AR392" i="27" s="1"/>
  <c r="AZ389" i="27"/>
  <c r="AZ390" i="27" s="1"/>
  <c r="AZ392" i="27" s="1"/>
  <c r="BH389" i="27"/>
  <c r="BH390" i="27" s="1"/>
  <c r="BP389" i="27"/>
  <c r="BP390" i="27" s="1"/>
  <c r="BX389" i="27"/>
  <c r="BX390" i="27" s="1"/>
  <c r="BX392" i="27" s="1"/>
  <c r="G397" i="27"/>
  <c r="O397" i="27"/>
  <c r="W397" i="27"/>
  <c r="AE397" i="27"/>
  <c r="AM397" i="27"/>
  <c r="AU397" i="27"/>
  <c r="BC397" i="27"/>
  <c r="BK397" i="27"/>
  <c r="BS397" i="27"/>
  <c r="CA397" i="27"/>
  <c r="CI397" i="27"/>
  <c r="M395" i="27"/>
  <c r="M321" i="27"/>
  <c r="M323" i="27"/>
  <c r="U395" i="27"/>
  <c r="U321" i="27"/>
  <c r="U323" i="27"/>
  <c r="AC395" i="27"/>
  <c r="AC321" i="27"/>
  <c r="AC323" i="27"/>
  <c r="AK395" i="27"/>
  <c r="AK321" i="27"/>
  <c r="AK323" i="27"/>
  <c r="AS395" i="27"/>
  <c r="AS321" i="27"/>
  <c r="AS323" i="27"/>
  <c r="BA395" i="27"/>
  <c r="BA321" i="27"/>
  <c r="BA323" i="27"/>
  <c r="BI395" i="27"/>
  <c r="BI321" i="27"/>
  <c r="BI323" i="27"/>
  <c r="BQ395" i="27"/>
  <c r="BQ321" i="27"/>
  <c r="BQ323" i="27"/>
  <c r="BY395" i="27"/>
  <c r="BY321" i="27"/>
  <c r="BY323" i="27"/>
  <c r="CG395" i="27"/>
  <c r="CG323" i="27"/>
  <c r="CG321" i="27"/>
  <c r="L396" i="27"/>
  <c r="L322" i="27"/>
  <c r="T396" i="27"/>
  <c r="T322" i="27"/>
  <c r="AB396" i="27"/>
  <c r="AB322" i="27"/>
  <c r="AJ396" i="27"/>
  <c r="AJ322" i="27"/>
  <c r="AR396" i="27"/>
  <c r="AR322" i="27"/>
  <c r="AZ396" i="27"/>
  <c r="AZ322" i="27"/>
  <c r="BH396" i="27"/>
  <c r="BH322" i="27"/>
  <c r="BP396" i="27"/>
  <c r="BP322" i="27"/>
  <c r="BX396" i="27"/>
  <c r="BX322" i="27"/>
  <c r="CF396" i="27"/>
  <c r="CF322" i="27"/>
  <c r="O320" i="27"/>
  <c r="CA320" i="27"/>
  <c r="R321" i="27"/>
  <c r="U322" i="27"/>
  <c r="BP323" i="27"/>
  <c r="V395" i="27"/>
  <c r="V323" i="27"/>
  <c r="AD395" i="27"/>
  <c r="AD321" i="27"/>
  <c r="AL395" i="27"/>
  <c r="AL323" i="27"/>
  <c r="AT395" i="27"/>
  <c r="AT321" i="27"/>
  <c r="BB395" i="27"/>
  <c r="BB323" i="27"/>
  <c r="BJ395" i="27"/>
  <c r="BJ321" i="27"/>
  <c r="BR395" i="27"/>
  <c r="BR323" i="27"/>
  <c r="BZ395" i="27"/>
  <c r="BZ321" i="27"/>
  <c r="CH395" i="27"/>
  <c r="CH323" i="27"/>
  <c r="M396" i="27"/>
  <c r="M322" i="27"/>
  <c r="AC396" i="27"/>
  <c r="AC322" i="27"/>
  <c r="AS396" i="27"/>
  <c r="AS322" i="27"/>
  <c r="BI396" i="27"/>
  <c r="BI322" i="27"/>
  <c r="BY396" i="27"/>
  <c r="BY322" i="27"/>
  <c r="L320" i="27"/>
  <c r="T320" i="27"/>
  <c r="AB320" i="27"/>
  <c r="AJ320" i="27"/>
  <c r="AR320" i="27"/>
  <c r="AZ320" i="27"/>
  <c r="BH320" i="27"/>
  <c r="BP320" i="27"/>
  <c r="BX320" i="27"/>
  <c r="CF320" i="27"/>
  <c r="AM320" i="27"/>
  <c r="V321" i="27"/>
  <c r="BA322" i="27"/>
  <c r="AJ323" i="27"/>
  <c r="I247" i="27"/>
  <c r="CE390" i="27"/>
  <c r="CE392" i="27" s="1"/>
  <c r="M320" i="27"/>
  <c r="U320" i="27"/>
  <c r="AC320" i="27"/>
  <c r="AK320" i="27"/>
  <c r="AS320" i="27"/>
  <c r="BA320" i="27"/>
  <c r="BI320" i="27"/>
  <c r="BQ320" i="27"/>
  <c r="BY320" i="27"/>
  <c r="CG320" i="27"/>
  <c r="BK320" i="27"/>
  <c r="BB321" i="27"/>
  <c r="CG322" i="27"/>
  <c r="BZ323" i="27"/>
  <c r="K332" i="27"/>
  <c r="S332" i="27"/>
  <c r="AA332" i="27"/>
  <c r="AI332" i="27"/>
  <c r="AQ332" i="27"/>
  <c r="AY332" i="27"/>
  <c r="BG332" i="27"/>
  <c r="BO332" i="27"/>
  <c r="BW332" i="27"/>
  <c r="CE332" i="27"/>
  <c r="CF390" i="27"/>
  <c r="CF392" i="27" s="1"/>
  <c r="N320" i="27"/>
  <c r="V320" i="27"/>
  <c r="AD320" i="27"/>
  <c r="AL320" i="27"/>
  <c r="AT320" i="27"/>
  <c r="BB320" i="27"/>
  <c r="BJ320" i="27"/>
  <c r="BR320" i="27"/>
  <c r="BZ320" i="27"/>
  <c r="CH320" i="27"/>
  <c r="W320" i="27"/>
  <c r="CI320" i="27"/>
  <c r="CH321" i="27"/>
  <c r="AT323" i="27"/>
  <c r="CF323" i="27"/>
  <c r="M390" i="27"/>
  <c r="M392" i="27" s="1"/>
  <c r="U390" i="27"/>
  <c r="U392" i="27" s="1"/>
  <c r="AC390" i="27"/>
  <c r="AC392" i="27" s="1"/>
  <c r="AK390" i="27"/>
  <c r="AK392" i="27" s="1"/>
  <c r="AS390" i="27"/>
  <c r="AS392" i="27" s="1"/>
  <c r="BA390" i="27"/>
  <c r="BA392" i="27" s="1"/>
  <c r="BI390" i="27"/>
  <c r="BI392" i="27" s="1"/>
  <c r="BQ390" i="27"/>
  <c r="BQ392" i="27" s="1"/>
  <c r="BY390" i="27"/>
  <c r="BY392" i="27" s="1"/>
  <c r="CG390" i="27"/>
  <c r="CG392" i="27" s="1"/>
  <c r="AU320" i="27"/>
  <c r="AK322" i="27"/>
  <c r="N323" i="27"/>
  <c r="AZ323" i="27"/>
  <c r="N390" i="27"/>
  <c r="N392" i="27" s="1"/>
  <c r="V390" i="27"/>
  <c r="V392" i="27" s="1"/>
  <c r="AD390" i="27"/>
  <c r="AD392" i="27" s="1"/>
  <c r="AL390" i="27"/>
  <c r="AL392" i="27" s="1"/>
  <c r="AT390" i="27"/>
  <c r="AT392" i="27" s="1"/>
  <c r="BB390" i="27"/>
  <c r="BB392" i="27" s="1"/>
  <c r="BJ390" i="27"/>
  <c r="BJ392" i="27" s="1"/>
  <c r="BR390" i="27"/>
  <c r="BR392" i="27" s="1"/>
  <c r="BZ390" i="27"/>
  <c r="BZ392" i="27" s="1"/>
  <c r="CH390" i="27"/>
  <c r="CH392" i="27" s="1"/>
  <c r="J395" i="27"/>
  <c r="J323" i="27"/>
  <c r="R395" i="27"/>
  <c r="R323" i="27"/>
  <c r="Z395" i="27"/>
  <c r="Z321" i="27"/>
  <c r="Z323" i="27"/>
  <c r="AH395" i="27"/>
  <c r="AH321" i="27"/>
  <c r="AH323" i="27"/>
  <c r="AP395" i="27"/>
  <c r="AP321" i="27"/>
  <c r="AP323" i="27"/>
  <c r="AX395" i="27"/>
  <c r="AX321" i="27"/>
  <c r="AX323" i="27"/>
  <c r="BF395" i="27"/>
  <c r="BF321" i="27"/>
  <c r="BF323" i="27"/>
  <c r="BN395" i="27"/>
  <c r="BN321" i="27"/>
  <c r="BN323" i="27"/>
  <c r="BV395" i="27"/>
  <c r="BV321" i="27"/>
  <c r="BV323" i="27"/>
  <c r="CD395" i="27"/>
  <c r="CD321" i="27"/>
  <c r="CD323" i="27"/>
  <c r="I396" i="27"/>
  <c r="I322" i="27"/>
  <c r="Q396" i="27"/>
  <c r="Q322" i="27"/>
  <c r="Y396" i="27"/>
  <c r="Y322" i="27"/>
  <c r="AG396" i="27"/>
  <c r="AG322" i="27"/>
  <c r="AO396" i="27"/>
  <c r="AO322" i="27"/>
  <c r="AW396" i="27"/>
  <c r="AW322" i="27"/>
  <c r="BE396" i="27"/>
  <c r="BE322" i="27"/>
  <c r="BM396" i="27"/>
  <c r="BM322" i="27"/>
  <c r="BU396" i="27"/>
  <c r="BU322" i="27"/>
  <c r="CC396" i="27"/>
  <c r="CC322" i="27"/>
  <c r="P320" i="27"/>
  <c r="X320" i="27"/>
  <c r="AF320" i="27"/>
  <c r="AN320" i="27"/>
  <c r="AV320" i="27"/>
  <c r="BD320" i="27"/>
  <c r="BL320" i="27"/>
  <c r="BT320" i="27"/>
  <c r="CB320" i="27"/>
  <c r="AX320" i="27"/>
  <c r="BS320" i="27"/>
  <c r="J321" i="27"/>
  <c r="BQ322" i="27"/>
  <c r="T323" i="27"/>
  <c r="BC320" i="27"/>
  <c r="K395" i="27"/>
  <c r="K323" i="27"/>
  <c r="S395" i="27"/>
  <c r="S323" i="27"/>
  <c r="AA395" i="27"/>
  <c r="AA323" i="27"/>
  <c r="AI395" i="27"/>
  <c r="AI323" i="27"/>
  <c r="AQ395" i="27"/>
  <c r="AQ323" i="27"/>
  <c r="AY395" i="27"/>
  <c r="AY323" i="27"/>
  <c r="BG395" i="27"/>
  <c r="BG323" i="27"/>
  <c r="BO395" i="27"/>
  <c r="BO323" i="27"/>
  <c r="BW395" i="27"/>
  <c r="BW323" i="27"/>
  <c r="CE395" i="27"/>
  <c r="CE323" i="27"/>
  <c r="O321" i="27"/>
  <c r="W321" i="27"/>
  <c r="AG321" i="27"/>
  <c r="AR321" i="27"/>
  <c r="BC321" i="27"/>
  <c r="BM321" i="27"/>
  <c r="BX321" i="27"/>
  <c r="CI321" i="27"/>
  <c r="P322" i="27"/>
  <c r="AA322" i="27"/>
  <c r="AL322" i="27"/>
  <c r="AV322" i="27"/>
  <c r="BG322" i="27"/>
  <c r="BR322" i="27"/>
  <c r="CB322" i="27"/>
  <c r="AE323" i="27"/>
  <c r="BK323" i="27"/>
  <c r="CI323" i="27"/>
  <c r="L332" i="27"/>
  <c r="T332" i="27"/>
  <c r="AB332" i="27"/>
  <c r="AJ332" i="27"/>
  <c r="AR332" i="27"/>
  <c r="AZ332" i="27"/>
  <c r="BH332" i="27"/>
  <c r="BP332" i="27"/>
  <c r="BX332" i="27"/>
  <c r="CF332" i="27"/>
  <c r="N397" i="27"/>
  <c r="V397" i="27"/>
  <c r="AD397" i="27"/>
  <c r="AL397" i="27"/>
  <c r="AT397" i="27"/>
  <c r="BB397" i="27"/>
  <c r="BJ397" i="27"/>
  <c r="BR397" i="27"/>
  <c r="BZ397" i="27"/>
  <c r="CH397" i="27"/>
  <c r="AI321" i="27"/>
  <c r="BO321" i="27"/>
  <c r="R322" i="27"/>
  <c r="AM322" i="27"/>
  <c r="AX322" i="27"/>
  <c r="BS322" i="27"/>
  <c r="CD322" i="27"/>
  <c r="L323" i="27"/>
  <c r="AG323" i="27"/>
  <c r="AR323" i="27"/>
  <c r="BM323" i="27"/>
  <c r="BX323" i="27"/>
  <c r="M332" i="27"/>
  <c r="U332" i="27"/>
  <c r="AC332" i="27"/>
  <c r="AK332" i="27"/>
  <c r="AS332" i="27"/>
  <c r="BA332" i="27"/>
  <c r="BI332" i="27"/>
  <c r="BQ332" i="27"/>
  <c r="BY332" i="27"/>
  <c r="CG332" i="27"/>
  <c r="N332" i="27"/>
  <c r="V332" i="27"/>
  <c r="AD332" i="27"/>
  <c r="AL332" i="27"/>
  <c r="AT332" i="27"/>
  <c r="BB332" i="27"/>
  <c r="BJ332" i="27"/>
  <c r="BR332" i="27"/>
  <c r="BZ332" i="27"/>
  <c r="CH332" i="27"/>
  <c r="I332" i="27"/>
  <c r="AO332" i="27"/>
  <c r="BU332" i="27"/>
  <c r="I337" i="27"/>
  <c r="K321" i="27"/>
  <c r="S321" i="27"/>
  <c r="AB321" i="27"/>
  <c r="AM321" i="27"/>
  <c r="AW321" i="27"/>
  <c r="BH321" i="27"/>
  <c r="BS321" i="27"/>
  <c r="CC321" i="27"/>
  <c r="K322" i="27"/>
  <c r="V322" i="27"/>
  <c r="AF322" i="27"/>
  <c r="AQ322" i="27"/>
  <c r="BB322" i="27"/>
  <c r="BL322" i="27"/>
  <c r="BW322" i="27"/>
  <c r="CH322" i="27"/>
  <c r="O323" i="27"/>
  <c r="AU323" i="27"/>
  <c r="CA323" i="27"/>
  <c r="Q332" i="27"/>
  <c r="AW332" i="27"/>
  <c r="CC332" i="27"/>
  <c r="H395" i="27"/>
  <c r="P395" i="27"/>
  <c r="P323" i="27"/>
  <c r="X395" i="27"/>
  <c r="X323" i="27"/>
  <c r="AF395" i="27"/>
  <c r="AF323" i="27"/>
  <c r="AN395" i="27"/>
  <c r="AN323" i="27"/>
  <c r="AV395" i="27"/>
  <c r="AV323" i="27"/>
  <c r="BD395" i="27"/>
  <c r="BD323" i="27"/>
  <c r="BL395" i="27"/>
  <c r="BL323" i="27"/>
  <c r="BT395" i="27"/>
  <c r="BT323" i="27"/>
  <c r="CB395" i="27"/>
  <c r="CB323" i="27"/>
  <c r="L321" i="27"/>
  <c r="T321" i="27"/>
  <c r="AN321" i="27"/>
  <c r="AY321" i="27"/>
  <c r="BT321" i="27"/>
  <c r="CE321" i="27"/>
  <c r="W322" i="27"/>
  <c r="AH322" i="27"/>
  <c r="BC322" i="27"/>
  <c r="BN322" i="27"/>
  <c r="CI322" i="27"/>
  <c r="Q323" i="27"/>
  <c r="AB323" i="27"/>
  <c r="AW323" i="27"/>
  <c r="BH323" i="27"/>
  <c r="CC323" i="27"/>
  <c r="K397" i="27"/>
  <c r="S397" i="27"/>
  <c r="AA397" i="27"/>
  <c r="AI397" i="27"/>
  <c r="AQ397" i="27"/>
  <c r="AY397" i="27"/>
  <c r="BG397" i="27"/>
  <c r="BO397" i="27"/>
  <c r="BW397" i="27"/>
  <c r="CE397" i="27"/>
  <c r="AE321" i="27"/>
  <c r="AO321" i="27"/>
  <c r="AZ321" i="27"/>
  <c r="BK321" i="27"/>
  <c r="BU321" i="27"/>
  <c r="CF321" i="27"/>
  <c r="N322" i="27"/>
  <c r="X322" i="27"/>
  <c r="AI322" i="27"/>
  <c r="AT322" i="27"/>
  <c r="BD322" i="27"/>
  <c r="BO322" i="27"/>
  <c r="BZ322" i="27"/>
  <c r="AM323" i="27"/>
  <c r="BS323" i="27"/>
  <c r="J332" i="27"/>
  <c r="R332" i="27"/>
  <c r="Z332" i="27"/>
  <c r="AH332" i="27"/>
  <c r="AP332" i="27"/>
  <c r="AX332" i="27"/>
  <c r="BF332" i="27"/>
  <c r="BN332" i="27"/>
  <c r="BV332" i="27"/>
  <c r="CD332" i="27"/>
  <c r="Y332" i="27"/>
  <c r="BE332" i="27"/>
  <c r="E74" i="26"/>
  <c r="D66" i="26"/>
  <c r="D62" i="26"/>
  <c r="H70" i="26" s="1"/>
  <c r="C3" i="26"/>
  <c r="C58"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AO14" i="26"/>
  <c r="AP14" i="26"/>
  <c r="AQ14" i="26"/>
  <c r="AR14" i="26"/>
  <c r="AS14" i="26"/>
  <c r="AT14" i="26"/>
  <c r="AU14" i="26"/>
  <c r="AV14" i="26"/>
  <c r="AW14" i="26"/>
  <c r="AX14" i="26"/>
  <c r="AY14" i="26"/>
  <c r="AZ14" i="26"/>
  <c r="BA14" i="26"/>
  <c r="BB14" i="26"/>
  <c r="BC14" i="26"/>
  <c r="BD14" i="26"/>
  <c r="BE14" i="26"/>
  <c r="BF14" i="26"/>
  <c r="BG14" i="26"/>
  <c r="BH14" i="26"/>
  <c r="BI14" i="26"/>
  <c r="BJ14" i="26"/>
  <c r="BK14" i="26"/>
  <c r="BL14" i="26"/>
  <c r="BM14" i="26"/>
  <c r="BN14" i="26"/>
  <c r="BO14" i="26"/>
  <c r="BP14" i="26"/>
  <c r="BQ14" i="26"/>
  <c r="BR14" i="26"/>
  <c r="BS14" i="26"/>
  <c r="BT14" i="26"/>
  <c r="BU14" i="26"/>
  <c r="BV14" i="26"/>
  <c r="BW14" i="26"/>
  <c r="BX14" i="26"/>
  <c r="BY14" i="26"/>
  <c r="BZ14" i="26"/>
  <c r="CA14" i="26"/>
  <c r="CB14" i="26"/>
  <c r="CC14" i="26"/>
  <c r="CD14" i="26"/>
  <c r="CE14" i="26"/>
  <c r="CF14" i="26"/>
  <c r="CG14" i="26"/>
  <c r="CH14" i="26"/>
  <c r="CI14" i="26"/>
  <c r="CJ14" i="26"/>
  <c r="CK14" i="26"/>
  <c r="CL14" i="26"/>
  <c r="CM14" i="26"/>
  <c r="CN14" i="26"/>
  <c r="CO14" i="26"/>
  <c r="CP14" i="26"/>
  <c r="AQ380" i="27" l="1"/>
  <c r="AQ73" i="15"/>
  <c r="AS132" i="27"/>
  <c r="AS77" i="15" s="1"/>
  <c r="AS76" i="15"/>
  <c r="BW380" i="27"/>
  <c r="BW73" i="15"/>
  <c r="M42" i="27"/>
  <c r="M63" i="15"/>
  <c r="AK132" i="27"/>
  <c r="AK77" i="15" s="1"/>
  <c r="AK76" i="15"/>
  <c r="BY380" i="27"/>
  <c r="BY73" i="15"/>
  <c r="AC132" i="27"/>
  <c r="AC77" i="15" s="1"/>
  <c r="AC76" i="15"/>
  <c r="BV380" i="27"/>
  <c r="BV73" i="15"/>
  <c r="BU380" i="27"/>
  <c r="BU73" i="15"/>
  <c r="BZ132" i="27"/>
  <c r="BZ77" i="15" s="1"/>
  <c r="BZ76" i="15"/>
  <c r="N132" i="27"/>
  <c r="N76" i="15"/>
  <c r="K11" i="16"/>
  <c r="K44" i="16" s="1"/>
  <c r="P64" i="15"/>
  <c r="N380" i="27"/>
  <c r="N73" i="15"/>
  <c r="BQ380" i="27"/>
  <c r="BQ73" i="15"/>
  <c r="BN380" i="27"/>
  <c r="BN73" i="15"/>
  <c r="AF380" i="27"/>
  <c r="AF73" i="15"/>
  <c r="BH380" i="27"/>
  <c r="BH73" i="15"/>
  <c r="J11" i="16"/>
  <c r="J44" i="16" s="1"/>
  <c r="O64" i="15"/>
  <c r="BF380" i="27"/>
  <c r="BF73" i="15"/>
  <c r="L11" i="16"/>
  <c r="L44" i="16" s="1"/>
  <c r="Q64" i="15"/>
  <c r="W380" i="27"/>
  <c r="W73" i="15"/>
  <c r="CE380" i="27"/>
  <c r="CE73" i="15"/>
  <c r="BP132" i="27"/>
  <c r="BP77" i="15" s="1"/>
  <c r="BP76" i="15"/>
  <c r="P380" i="27"/>
  <c r="P73" i="15"/>
  <c r="BF132" i="27"/>
  <c r="BF77" i="15" s="1"/>
  <c r="BF76" i="15"/>
  <c r="BR380" i="27"/>
  <c r="BR73" i="15"/>
  <c r="AO380" i="27"/>
  <c r="AO73" i="15"/>
  <c r="AJ380" i="27"/>
  <c r="AJ73" i="15"/>
  <c r="J132" i="27"/>
  <c r="J77" i="15" s="1"/>
  <c r="J76" i="15"/>
  <c r="AK380" i="27"/>
  <c r="AK73" i="15"/>
  <c r="BA132" i="27"/>
  <c r="BA77" i="15" s="1"/>
  <c r="BA76" i="15"/>
  <c r="N11" i="16"/>
  <c r="N44" i="16" s="1"/>
  <c r="S11" i="16"/>
  <c r="S44" i="16" s="1"/>
  <c r="AX132" i="27"/>
  <c r="S360" i="27"/>
  <c r="S362" i="27" s="1"/>
  <c r="BG391" i="27"/>
  <c r="BH132" i="27"/>
  <c r="BH77" i="15" s="1"/>
  <c r="AP132" i="27"/>
  <c r="AP77" i="15" s="1"/>
  <c r="AD132" i="27"/>
  <c r="H380" i="27"/>
  <c r="H381" i="27" s="1"/>
  <c r="H383" i="27" s="1"/>
  <c r="BV132" i="27"/>
  <c r="AA270" i="27"/>
  <c r="AA272" i="27" s="1"/>
  <c r="P26" i="19"/>
  <c r="P28" i="19" s="1"/>
  <c r="K270" i="27"/>
  <c r="K272" i="27" s="1"/>
  <c r="BZ380" i="27"/>
  <c r="BZ381" i="27" s="1"/>
  <c r="BZ383" i="27" s="1"/>
  <c r="BD132" i="27"/>
  <c r="S270" i="27"/>
  <c r="S272" i="27" s="1"/>
  <c r="BX132" i="27"/>
  <c r="BE360" i="27"/>
  <c r="BE362" i="27" s="1"/>
  <c r="K26" i="19"/>
  <c r="K28" i="19" s="1"/>
  <c r="BW270" i="27"/>
  <c r="BW272" i="27" s="1"/>
  <c r="AK360" i="27"/>
  <c r="AK362" i="27" s="1"/>
  <c r="AN132" i="27"/>
  <c r="AN77" i="15" s="1"/>
  <c r="AD380" i="27"/>
  <c r="AP360" i="27"/>
  <c r="AP362" i="27" s="1"/>
  <c r="BS380" i="27"/>
  <c r="BS381" i="27" s="1"/>
  <c r="BS383" i="27" s="1"/>
  <c r="L42" i="27"/>
  <c r="AE399" i="27"/>
  <c r="AE401" i="27" s="1"/>
  <c r="L132" i="27"/>
  <c r="L77" i="15" s="1"/>
  <c r="AZ380" i="27"/>
  <c r="CD132" i="27"/>
  <c r="CD77" i="15" s="1"/>
  <c r="CA380" i="27"/>
  <c r="CA381" i="27" s="1"/>
  <c r="CA383" i="27" s="1"/>
  <c r="CD380" i="27"/>
  <c r="CD381" i="27" s="1"/>
  <c r="CD383" i="27" s="1"/>
  <c r="AT132" i="27"/>
  <c r="AE380" i="27"/>
  <c r="V132" i="27"/>
  <c r="V77" i="15" s="1"/>
  <c r="M26" i="19"/>
  <c r="M28" i="19" s="1"/>
  <c r="G75" i="26"/>
  <c r="BN132" i="27"/>
  <c r="BX380" i="27"/>
  <c r="BX381" i="27" s="1"/>
  <c r="BX383" i="27" s="1"/>
  <c r="Z360" i="27"/>
  <c r="Z362" i="27" s="1"/>
  <c r="AI380" i="27"/>
  <c r="T380" i="27"/>
  <c r="BT132" i="27"/>
  <c r="BT77" i="15" s="1"/>
  <c r="CG360" i="27"/>
  <c r="CG362" i="27" s="1"/>
  <c r="J380" i="27"/>
  <c r="AZ132" i="27"/>
  <c r="AZ77" i="15" s="1"/>
  <c r="AU380" i="27"/>
  <c r="AQ360" i="27"/>
  <c r="AQ362" i="27" s="1"/>
  <c r="AS380" i="27"/>
  <c r="AM380" i="27"/>
  <c r="T132" i="27"/>
  <c r="T77" i="15" s="1"/>
  <c r="BA360" i="27"/>
  <c r="BA362" i="27" s="1"/>
  <c r="AI270" i="27"/>
  <c r="AI272" i="27" s="1"/>
  <c r="K380" i="27"/>
  <c r="BJ380" i="27"/>
  <c r="Z380" i="27"/>
  <c r="M360" i="27"/>
  <c r="M362" i="27" s="1"/>
  <c r="BO270" i="27"/>
  <c r="BO272" i="27" s="1"/>
  <c r="AY270" i="27"/>
  <c r="AY272" i="27" s="1"/>
  <c r="AI360" i="27"/>
  <c r="AI362" i="27" s="1"/>
  <c r="X132" i="27"/>
  <c r="X77" i="15" s="1"/>
  <c r="BJ132" i="27"/>
  <c r="BJ77" i="15" s="1"/>
  <c r="I380" i="27"/>
  <c r="Z132" i="27"/>
  <c r="Z77" i="15" s="1"/>
  <c r="BW360" i="27"/>
  <c r="BW362" i="27" s="1"/>
  <c r="AN399" i="27"/>
  <c r="AN401" i="27" s="1"/>
  <c r="X380" i="27"/>
  <c r="BP380" i="27"/>
  <c r="BP381" i="27" s="1"/>
  <c r="BP383" i="27" s="1"/>
  <c r="AW380" i="27"/>
  <c r="L380" i="27"/>
  <c r="AG380" i="27"/>
  <c r="BD380" i="27"/>
  <c r="X399" i="27"/>
  <c r="X401" i="27" s="1"/>
  <c r="AO360" i="27"/>
  <c r="AO362" i="27" s="1"/>
  <c r="O360" i="27"/>
  <c r="O362" i="27" s="1"/>
  <c r="BY360" i="27"/>
  <c r="BY362" i="27" s="1"/>
  <c r="M132" i="27"/>
  <c r="M77" i="15" s="1"/>
  <c r="Y380" i="27"/>
  <c r="AK270" i="27"/>
  <c r="AK272" i="27" s="1"/>
  <c r="BK380" i="27"/>
  <c r="AV380" i="27"/>
  <c r="BO392" i="27"/>
  <c r="CC380" i="27"/>
  <c r="CC381" i="27" s="1"/>
  <c r="CC383" i="27" s="1"/>
  <c r="AH132" i="27"/>
  <c r="AH77" i="15" s="1"/>
  <c r="CE270" i="27"/>
  <c r="CE272" i="27" s="1"/>
  <c r="AP380" i="27"/>
  <c r="AH380" i="27"/>
  <c r="CB132" i="27"/>
  <c r="BL132" i="27"/>
  <c r="BL77" i="15" s="1"/>
  <c r="BN360" i="27"/>
  <c r="BN362" i="27" s="1"/>
  <c r="U380" i="27"/>
  <c r="BP42" i="27"/>
  <c r="BP373" i="27" s="1"/>
  <c r="AY360" i="27"/>
  <c r="AY362" i="27" s="1"/>
  <c r="G398" i="27"/>
  <c r="G399" i="27" s="1"/>
  <c r="G401" i="27" s="1"/>
  <c r="H372" i="27"/>
  <c r="H374" i="27" s="1"/>
  <c r="AL42" i="27"/>
  <c r="G381" i="27"/>
  <c r="G383" i="27" s="1"/>
  <c r="CG132" i="27"/>
  <c r="Q360" i="27"/>
  <c r="Q362" i="27" s="1"/>
  <c r="O391" i="27"/>
  <c r="V380" i="27"/>
  <c r="R132" i="27"/>
  <c r="R77" i="15" s="1"/>
  <c r="BR132" i="27"/>
  <c r="BR77" i="15" s="1"/>
  <c r="BY132" i="27"/>
  <c r="BY77" i="15" s="1"/>
  <c r="BV360" i="27"/>
  <c r="BV362" i="27" s="1"/>
  <c r="BK399" i="27"/>
  <c r="BK401" i="27" s="1"/>
  <c r="I174" i="27"/>
  <c r="BU360" i="27"/>
  <c r="BU362" i="27" s="1"/>
  <c r="AU399" i="27"/>
  <c r="AU401" i="27" s="1"/>
  <c r="AB380" i="27"/>
  <c r="CG380" i="27"/>
  <c r="CG381" i="27" s="1"/>
  <c r="CG383" i="27" s="1"/>
  <c r="CB380" i="27"/>
  <c r="CB381" i="27" s="1"/>
  <c r="CB383" i="27" s="1"/>
  <c r="BZ42" i="27"/>
  <c r="BZ89" i="27" s="1"/>
  <c r="BZ91" i="27" s="1"/>
  <c r="AH360" i="27"/>
  <c r="AH362" i="27" s="1"/>
  <c r="BM360" i="27"/>
  <c r="BM362" i="27" s="1"/>
  <c r="AM399" i="27"/>
  <c r="AM401" i="27" s="1"/>
  <c r="BG360" i="27"/>
  <c r="BG362" i="27" s="1"/>
  <c r="AC360" i="27"/>
  <c r="AC362" i="27" s="1"/>
  <c r="AN380" i="27"/>
  <c r="Q380" i="27"/>
  <c r="M380" i="27"/>
  <c r="AA380" i="27"/>
  <c r="R380" i="27"/>
  <c r="BC380" i="27"/>
  <c r="AC380" i="27"/>
  <c r="S380" i="27"/>
  <c r="AB132" i="27"/>
  <c r="AB77" i="15" s="1"/>
  <c r="AR132" i="27"/>
  <c r="AR77" i="15" s="1"/>
  <c r="BJ42" i="27"/>
  <c r="AL132" i="27"/>
  <c r="AL77" i="15" s="1"/>
  <c r="AF132" i="27"/>
  <c r="O26" i="19"/>
  <c r="O28" i="19" s="1"/>
  <c r="P132" i="27"/>
  <c r="P77" i="15" s="1"/>
  <c r="N42" i="27"/>
  <c r="I70" i="26"/>
  <c r="AJ132" i="27"/>
  <c r="AJ77" i="15" s="1"/>
  <c r="AV399" i="27"/>
  <c r="AV401" i="27" s="1"/>
  <c r="CE360" i="27"/>
  <c r="CE362" i="27" s="1"/>
  <c r="BC399" i="27"/>
  <c r="BC401" i="27" s="1"/>
  <c r="AT380" i="27"/>
  <c r="BL380" i="27"/>
  <c r="BI380" i="27"/>
  <c r="CF132" i="27"/>
  <c r="BL399" i="27"/>
  <c r="BL401" i="27" s="1"/>
  <c r="AF399" i="27"/>
  <c r="AF401" i="27" s="1"/>
  <c r="BO380" i="27"/>
  <c r="BE380" i="27"/>
  <c r="R360" i="27"/>
  <c r="R362" i="27" s="1"/>
  <c r="CI399" i="27"/>
  <c r="CI401" i="27" s="1"/>
  <c r="W399" i="27"/>
  <c r="W401" i="27" s="1"/>
  <c r="U360" i="27"/>
  <c r="U362" i="27" s="1"/>
  <c r="AY380" i="27"/>
  <c r="BQ132" i="27"/>
  <c r="BQ77" i="15" s="1"/>
  <c r="BX374" i="27"/>
  <c r="J360" i="27"/>
  <c r="J362" i="27" s="1"/>
  <c r="S392" i="27"/>
  <c r="CF380" i="27"/>
  <c r="CF381" i="27" s="1"/>
  <c r="CF383" i="27" s="1"/>
  <c r="CI381" i="27"/>
  <c r="CI383" i="27" s="1"/>
  <c r="BA380" i="27"/>
  <c r="BG380" i="27"/>
  <c r="BM380" i="27"/>
  <c r="AL380" i="27"/>
  <c r="BV372" i="27"/>
  <c r="BV374" i="27" s="1"/>
  <c r="AR380" i="27"/>
  <c r="AX380" i="27"/>
  <c r="O380" i="27"/>
  <c r="BB380" i="27"/>
  <c r="BT380" i="27"/>
  <c r="BT381" i="27" s="1"/>
  <c r="BT383" i="27" s="1"/>
  <c r="AT42" i="27"/>
  <c r="U132" i="27"/>
  <c r="U77" i="15" s="1"/>
  <c r="AV132" i="27"/>
  <c r="AV77" i="15" s="1"/>
  <c r="AD42" i="27"/>
  <c r="CG374" i="27"/>
  <c r="BI132" i="27"/>
  <c r="BI77" i="15" s="1"/>
  <c r="F75" i="26"/>
  <c r="AG399" i="27"/>
  <c r="AG401" i="27" s="1"/>
  <c r="BS399" i="27"/>
  <c r="BS401" i="27" s="1"/>
  <c r="Z390" i="27"/>
  <c r="Z392" i="27" s="1"/>
  <c r="BB132" i="27"/>
  <c r="CI390" i="27"/>
  <c r="CI392" i="27" s="1"/>
  <c r="CD374" i="27"/>
  <c r="BP392" i="27"/>
  <c r="BM399" i="27"/>
  <c r="BM401" i="27" s="1"/>
  <c r="W390" i="27"/>
  <c r="W392" i="27" s="1"/>
  <c r="BF398" i="27"/>
  <c r="BF399" i="27" s="1"/>
  <c r="BG398" i="27"/>
  <c r="BG399" i="27" s="1"/>
  <c r="AO398" i="27"/>
  <c r="AO399" i="27" s="1"/>
  <c r="BB398" i="27"/>
  <c r="BB399" i="27" s="1"/>
  <c r="BB401" i="27" s="1"/>
  <c r="AC398" i="27"/>
  <c r="AC399" i="27" s="1"/>
  <c r="AZ398" i="27"/>
  <c r="AZ399" i="27" s="1"/>
  <c r="CB399" i="27"/>
  <c r="CB401" i="27" s="1"/>
  <c r="P399" i="27"/>
  <c r="P401" i="27" s="1"/>
  <c r="BW398" i="27"/>
  <c r="BW399" i="27" s="1"/>
  <c r="K398" i="27"/>
  <c r="K399" i="27" s="1"/>
  <c r="AA360" i="27"/>
  <c r="AA362" i="27" s="1"/>
  <c r="X400" i="27"/>
  <c r="X360" i="27"/>
  <c r="X362" i="27" s="1"/>
  <c r="CH400" i="27"/>
  <c r="CH360" i="27"/>
  <c r="CH362" i="27" s="1"/>
  <c r="V400" i="27"/>
  <c r="V360" i="27"/>
  <c r="V362" i="27" s="1"/>
  <c r="BU381" i="27"/>
  <c r="BU383" i="27" s="1"/>
  <c r="CF400" i="27"/>
  <c r="CF360" i="27"/>
  <c r="CF362" i="27" s="1"/>
  <c r="AZ400" i="27"/>
  <c r="AZ360" i="27"/>
  <c r="AZ362" i="27" s="1"/>
  <c r="T400" i="27"/>
  <c r="T360" i="27"/>
  <c r="T362" i="27" s="1"/>
  <c r="CH381" i="27"/>
  <c r="CH383" i="27" s="1"/>
  <c r="BZ374" i="27"/>
  <c r="CE381" i="27"/>
  <c r="CE383" i="27" s="1"/>
  <c r="BV373" i="27"/>
  <c r="BV89" i="27"/>
  <c r="BV91" i="27" s="1"/>
  <c r="J373" i="27"/>
  <c r="AV373" i="27"/>
  <c r="BO132" i="27"/>
  <c r="BO77" i="15" s="1"/>
  <c r="J382" i="27"/>
  <c r="V373" i="27"/>
  <c r="AG132" i="27"/>
  <c r="AG77" i="15" s="1"/>
  <c r="CG42" i="27"/>
  <c r="U42" i="27"/>
  <c r="AM132" i="27"/>
  <c r="AM77" i="15" s="1"/>
  <c r="BK373" i="27"/>
  <c r="BA382" i="27"/>
  <c r="AM373" i="27"/>
  <c r="BG373" i="27"/>
  <c r="I355" i="27"/>
  <c r="I354" i="27"/>
  <c r="I353" i="27"/>
  <c r="I347" i="27"/>
  <c r="I333" i="27" s="1"/>
  <c r="J337" i="27"/>
  <c r="M398" i="27"/>
  <c r="AJ398" i="27"/>
  <c r="AJ399" i="27" s="1"/>
  <c r="BR400" i="27"/>
  <c r="BR360" i="27"/>
  <c r="BR362" i="27" s="1"/>
  <c r="AU373" i="27"/>
  <c r="BV398" i="27"/>
  <c r="BV399" i="27" s="1"/>
  <c r="J398" i="27"/>
  <c r="J399" i="27" s="1"/>
  <c r="BN398" i="27"/>
  <c r="I398" i="27"/>
  <c r="I399" i="27" s="1"/>
  <c r="AT398" i="27"/>
  <c r="CG398" i="27"/>
  <c r="CG399" i="27" s="1"/>
  <c r="U398" i="27"/>
  <c r="U399" i="27" s="1"/>
  <c r="AR398" i="27"/>
  <c r="AR399" i="27" s="1"/>
  <c r="BT399" i="27"/>
  <c r="BT401" i="27" s="1"/>
  <c r="H399" i="27"/>
  <c r="H401" i="27" s="1"/>
  <c r="BO398" i="27"/>
  <c r="BO399" i="27" s="1"/>
  <c r="AN392" i="27"/>
  <c r="AU392" i="27"/>
  <c r="BD390" i="27"/>
  <c r="BD392" i="27" s="1"/>
  <c r="CB400" i="27"/>
  <c r="CB360" i="27"/>
  <c r="CB362" i="27" s="1"/>
  <c r="P400" i="27"/>
  <c r="P360" i="27"/>
  <c r="P362" i="27" s="1"/>
  <c r="AE390" i="27"/>
  <c r="AE392" i="27" s="1"/>
  <c r="BS360" i="27"/>
  <c r="BS362" i="27" s="1"/>
  <c r="AE360" i="27"/>
  <c r="AE362" i="27" s="1"/>
  <c r="BZ400" i="27"/>
  <c r="BZ360" i="27"/>
  <c r="BZ362" i="27" s="1"/>
  <c r="N400" i="27"/>
  <c r="N360" i="27"/>
  <c r="N362" i="27" s="1"/>
  <c r="BX391" i="27"/>
  <c r="BX270" i="27"/>
  <c r="BX272" i="27" s="1"/>
  <c r="AR391" i="27"/>
  <c r="AR270" i="27"/>
  <c r="AR272" i="27" s="1"/>
  <c r="L391" i="27"/>
  <c r="L270" i="27"/>
  <c r="L272" i="27" s="1"/>
  <c r="BW381" i="27"/>
  <c r="BW383" i="27" s="1"/>
  <c r="BN373" i="27"/>
  <c r="AN373" i="27"/>
  <c r="BG132" i="27"/>
  <c r="BG77" i="15" s="1"/>
  <c r="Y132" i="27"/>
  <c r="Y77" i="15" s="1"/>
  <c r="BH373" i="27"/>
  <c r="BY42" i="27"/>
  <c r="AE132" i="27"/>
  <c r="AE77" i="15" s="1"/>
  <c r="BE373" i="27"/>
  <c r="Y373" i="27"/>
  <c r="BY398" i="27"/>
  <c r="BY399" i="27" s="1"/>
  <c r="BT400" i="27"/>
  <c r="BT360" i="27"/>
  <c r="BT362" i="27" s="1"/>
  <c r="BR381" i="27"/>
  <c r="BR383" i="27" s="1"/>
  <c r="BF382" i="27"/>
  <c r="CC132" i="27"/>
  <c r="CC77" i="15" s="1"/>
  <c r="CI382" i="27"/>
  <c r="CI179" i="27"/>
  <c r="CI181" i="27" s="1"/>
  <c r="AX398" i="27"/>
  <c r="CC398" i="27"/>
  <c r="CC399" i="27" s="1"/>
  <c r="AD398" i="27"/>
  <c r="AD399" i="27" s="1"/>
  <c r="BQ398" i="27"/>
  <c r="BQ399" i="27" s="1"/>
  <c r="AB398" i="27"/>
  <c r="AB399" i="27" s="1"/>
  <c r="BD399" i="27"/>
  <c r="BD401" i="27" s="1"/>
  <c r="AY398" i="27"/>
  <c r="AY399" i="27" s="1"/>
  <c r="X392" i="27"/>
  <c r="BL400" i="27"/>
  <c r="BL360" i="27"/>
  <c r="BL362" i="27" s="1"/>
  <c r="CA390" i="27"/>
  <c r="CA392" i="27" s="1"/>
  <c r="O390" i="27"/>
  <c r="O392" i="27" s="1"/>
  <c r="BK360" i="27"/>
  <c r="BK362" i="27" s="1"/>
  <c r="W360" i="27"/>
  <c r="W362" i="27" s="1"/>
  <c r="BJ400" i="27"/>
  <c r="BJ360" i="27"/>
  <c r="BJ362" i="27" s="1"/>
  <c r="Y360" i="27"/>
  <c r="Y362" i="27" s="1"/>
  <c r="BV381" i="27"/>
  <c r="BV383" i="27" s="1"/>
  <c r="BP391" i="27"/>
  <c r="BP270" i="27"/>
  <c r="BP272" i="27" s="1"/>
  <c r="AJ391" i="27"/>
  <c r="AJ270" i="27"/>
  <c r="AJ272" i="27" s="1"/>
  <c r="BF360" i="27"/>
  <c r="BF362" i="27" s="1"/>
  <c r="CA372" i="27"/>
  <c r="CA374" i="27" s="1"/>
  <c r="AX373" i="27"/>
  <c r="BP382" i="27"/>
  <c r="BP179" i="27"/>
  <c r="BP181" i="27" s="1"/>
  <c r="BP78" i="15" s="1"/>
  <c r="X373" i="27"/>
  <c r="AQ132" i="27"/>
  <c r="AQ77" i="15" s="1"/>
  <c r="BU132" i="27"/>
  <c r="BU77" i="15" s="1"/>
  <c r="I132" i="27"/>
  <c r="I77" i="15" s="1"/>
  <c r="AR373" i="27"/>
  <c r="BI42" i="27"/>
  <c r="CA132" i="27"/>
  <c r="CA77" i="15" s="1"/>
  <c r="O132" i="27"/>
  <c r="CC373" i="27"/>
  <c r="CC89" i="27"/>
  <c r="CC91" i="27" s="1"/>
  <c r="AW373" i="27"/>
  <c r="Q373" i="27"/>
  <c r="BX400" i="27"/>
  <c r="BX360" i="27"/>
  <c r="BX362" i="27" s="1"/>
  <c r="BF373" i="27"/>
  <c r="W132" i="27"/>
  <c r="W77" i="15" s="1"/>
  <c r="BW373" i="27"/>
  <c r="BW89" i="27"/>
  <c r="BW91" i="27" s="1"/>
  <c r="AA373" i="27"/>
  <c r="AP398" i="27"/>
  <c r="AP399" i="27" s="1"/>
  <c r="CH398" i="27"/>
  <c r="CH399" i="27" s="1"/>
  <c r="CH401" i="27" s="1"/>
  <c r="BI398" i="27"/>
  <c r="CF398" i="27"/>
  <c r="T398" i="27"/>
  <c r="T399" i="27" s="1"/>
  <c r="AQ398" i="27"/>
  <c r="AQ399" i="27" s="1"/>
  <c r="K360" i="27"/>
  <c r="K362" i="27" s="1"/>
  <c r="BD400" i="27"/>
  <c r="BD360" i="27"/>
  <c r="BD362" i="27" s="1"/>
  <c r="BB400" i="27"/>
  <c r="BB360" i="27"/>
  <c r="BB362" i="27" s="1"/>
  <c r="I360" i="27"/>
  <c r="I362" i="27" s="1"/>
  <c r="BP400" i="27"/>
  <c r="BP360" i="27"/>
  <c r="BP362" i="27" s="1"/>
  <c r="AJ400" i="27"/>
  <c r="AJ360" i="27"/>
  <c r="AJ362" i="27" s="1"/>
  <c r="AP373" i="27"/>
  <c r="CB373" i="27"/>
  <c r="CB89" i="27"/>
  <c r="CB91" i="27" s="1"/>
  <c r="P373" i="27"/>
  <c r="AI132" i="27"/>
  <c r="AI77" i="15" s="1"/>
  <c r="BB373" i="27"/>
  <c r="BM132" i="27"/>
  <c r="BM77" i="15" s="1"/>
  <c r="AJ373" i="27"/>
  <c r="BA42" i="27"/>
  <c r="T11" i="16" s="1"/>
  <c r="T44" i="16" s="1"/>
  <c r="BS132" i="27"/>
  <c r="BS77" i="15" s="1"/>
  <c r="CH179" i="27"/>
  <c r="CH181" i="27" s="1"/>
  <c r="N382" i="27"/>
  <c r="AI373" i="27"/>
  <c r="AE373" i="27"/>
  <c r="BO373" i="27"/>
  <c r="BS373" i="27"/>
  <c r="BS89" i="27"/>
  <c r="BS91" i="27" s="1"/>
  <c r="G373" i="27"/>
  <c r="K373" i="27"/>
  <c r="AQ373" i="27"/>
  <c r="L400" i="27"/>
  <c r="L360" i="27"/>
  <c r="L362" i="27" s="1"/>
  <c r="AF373" i="27"/>
  <c r="BR373" i="27"/>
  <c r="BR89" i="27"/>
  <c r="BR91" i="27" s="1"/>
  <c r="BQ42" i="27"/>
  <c r="CE373" i="27"/>
  <c r="CE89" i="27"/>
  <c r="CE91" i="27" s="1"/>
  <c r="AW398" i="27"/>
  <c r="AW399" i="27" s="1"/>
  <c r="V398" i="27"/>
  <c r="BE398" i="27"/>
  <c r="BE399" i="27" s="1"/>
  <c r="AH398" i="27"/>
  <c r="AH399" i="27" s="1"/>
  <c r="Q398" i="27"/>
  <c r="Q399" i="27" s="1"/>
  <c r="BZ398" i="27"/>
  <c r="N398" i="27"/>
  <c r="N399" i="27" s="1"/>
  <c r="BA398" i="27"/>
  <c r="BA399" i="27" s="1"/>
  <c r="BX398" i="27"/>
  <c r="L398" i="27"/>
  <c r="AI398" i="27"/>
  <c r="AI399" i="27" s="1"/>
  <c r="BT392" i="27"/>
  <c r="AV400" i="27"/>
  <c r="AV360" i="27"/>
  <c r="AV362" i="27" s="1"/>
  <c r="BK390" i="27"/>
  <c r="BK392" i="27" s="1"/>
  <c r="CI360" i="27"/>
  <c r="CI362" i="27" s="1"/>
  <c r="BC360" i="27"/>
  <c r="BC362" i="27" s="1"/>
  <c r="AT400" i="27"/>
  <c r="AT360" i="27"/>
  <c r="AT362" i="27" s="1"/>
  <c r="BI360" i="27"/>
  <c r="BI362" i="27" s="1"/>
  <c r="CC374" i="27"/>
  <c r="BH391" i="27"/>
  <c r="BH270" i="27"/>
  <c r="BH272" i="27" s="1"/>
  <c r="AB391" i="27"/>
  <c r="AB270" i="27"/>
  <c r="AB272" i="27" s="1"/>
  <c r="AS360" i="27"/>
  <c r="AS362" i="27" s="1"/>
  <c r="CD360" i="27"/>
  <c r="CD362" i="27" s="1"/>
  <c r="BY381" i="27"/>
  <c r="BY383" i="27" s="1"/>
  <c r="AH373" i="27"/>
  <c r="BT373" i="27"/>
  <c r="BT89" i="27"/>
  <c r="BT91" i="27" s="1"/>
  <c r="H373" i="27"/>
  <c r="N26" i="19"/>
  <c r="N28" i="19" s="1"/>
  <c r="AA132" i="27"/>
  <c r="AA77" i="15" s="1"/>
  <c r="BE132" i="27"/>
  <c r="BE77" i="15" s="1"/>
  <c r="AB373" i="27"/>
  <c r="AS42" i="27"/>
  <c r="BK132" i="27"/>
  <c r="BK77" i="15" s="1"/>
  <c r="BZ382" i="27"/>
  <c r="BZ179" i="27"/>
  <c r="BZ181" i="27" s="1"/>
  <c r="BZ78" i="15" s="1"/>
  <c r="BU373" i="27"/>
  <c r="BU89" i="27"/>
  <c r="BU91" i="27" s="1"/>
  <c r="AO373" i="27"/>
  <c r="I373" i="27"/>
  <c r="H400" i="27"/>
  <c r="AY132" i="27"/>
  <c r="AY77" i="15" s="1"/>
  <c r="AZ373" i="27"/>
  <c r="W373" i="27"/>
  <c r="BR398" i="27"/>
  <c r="BR399" i="27" s="1"/>
  <c r="AS398" i="27"/>
  <c r="AS399" i="27" s="1"/>
  <c r="BP398" i="27"/>
  <c r="BH392" i="27"/>
  <c r="AA398" i="27"/>
  <c r="I263" i="27"/>
  <c r="I257" i="27"/>
  <c r="I243" i="27" s="1"/>
  <c r="J247" i="27"/>
  <c r="I265" i="27"/>
  <c r="I264" i="27"/>
  <c r="BO360" i="27"/>
  <c r="BO362" i="27" s="1"/>
  <c r="CC360" i="27"/>
  <c r="CC362" i="27" s="1"/>
  <c r="AN400" i="27"/>
  <c r="AN360" i="27"/>
  <c r="AN362" i="27" s="1"/>
  <c r="AL400" i="27"/>
  <c r="AL360" i="27"/>
  <c r="AL362" i="27" s="1"/>
  <c r="AU360" i="27"/>
  <c r="AU362" i="27" s="1"/>
  <c r="BH400" i="27"/>
  <c r="BH360" i="27"/>
  <c r="BH362" i="27" s="1"/>
  <c r="AB400" i="27"/>
  <c r="AB360" i="27"/>
  <c r="AB362" i="27" s="1"/>
  <c r="BQ381" i="27"/>
  <c r="BQ383" i="27" s="1"/>
  <c r="Z373" i="27"/>
  <c r="BL373" i="27"/>
  <c r="CE132" i="27"/>
  <c r="CE77" i="15" s="1"/>
  <c r="S132" i="27"/>
  <c r="S77" i="15" s="1"/>
  <c r="AW132" i="27"/>
  <c r="AW77" i="15" s="1"/>
  <c r="CF373" i="27"/>
  <c r="CF89" i="27"/>
  <c r="CF91" i="27" s="1"/>
  <c r="T373" i="27"/>
  <c r="AK42" i="27"/>
  <c r="P11" i="16" s="1"/>
  <c r="P44" i="16" s="1"/>
  <c r="BC132" i="27"/>
  <c r="BC77" i="15" s="1"/>
  <c r="CA373" i="27"/>
  <c r="CA89" i="27"/>
  <c r="CA91" i="27" s="1"/>
  <c r="O373" i="27"/>
  <c r="S373" i="27"/>
  <c r="BC373" i="27"/>
  <c r="AS382" i="27"/>
  <c r="AY373" i="27"/>
  <c r="AL398" i="27"/>
  <c r="AR400" i="27"/>
  <c r="AR360" i="27"/>
  <c r="AR362" i="27" s="1"/>
  <c r="L26" i="19"/>
  <c r="L28" i="19" s="1"/>
  <c r="Q132" i="27"/>
  <c r="Y398" i="27"/>
  <c r="Y399" i="27" s="1"/>
  <c r="Z398" i="27"/>
  <c r="CD398" i="27"/>
  <c r="R398" i="27"/>
  <c r="R399" i="27" s="1"/>
  <c r="BU398" i="27"/>
  <c r="BJ398" i="27"/>
  <c r="BJ399" i="27" s="1"/>
  <c r="CA399" i="27"/>
  <c r="CA401" i="27" s="1"/>
  <c r="O399" i="27"/>
  <c r="O401" i="27" s="1"/>
  <c r="AK398" i="27"/>
  <c r="BH398" i="27"/>
  <c r="BH399" i="27" s="1"/>
  <c r="CE398" i="27"/>
  <c r="S398" i="27"/>
  <c r="AF400" i="27"/>
  <c r="AF360" i="27"/>
  <c r="AF362" i="27" s="1"/>
  <c r="CA360" i="27"/>
  <c r="CA362" i="27" s="1"/>
  <c r="AM360" i="27"/>
  <c r="AM362" i="27" s="1"/>
  <c r="AD400" i="27"/>
  <c r="AD360" i="27"/>
  <c r="AD362" i="27" s="1"/>
  <c r="AX360" i="27"/>
  <c r="AX362" i="27" s="1"/>
  <c r="AW360" i="27"/>
  <c r="AW362" i="27" s="1"/>
  <c r="CF391" i="27"/>
  <c r="CF270" i="27"/>
  <c r="CF272" i="27" s="1"/>
  <c r="AZ391" i="27"/>
  <c r="AZ270" i="27"/>
  <c r="AZ272" i="27" s="1"/>
  <c r="T391" i="27"/>
  <c r="T270" i="27"/>
  <c r="T272" i="27" s="1"/>
  <c r="AG360" i="27"/>
  <c r="AG362" i="27" s="1"/>
  <c r="BQ360" i="27"/>
  <c r="BQ362" i="27" s="1"/>
  <c r="CD373" i="27"/>
  <c r="CD89" i="27"/>
  <c r="CD91" i="27" s="1"/>
  <c r="R373" i="27"/>
  <c r="BD373" i="27"/>
  <c r="BW132" i="27"/>
  <c r="BW77" i="15" s="1"/>
  <c r="K132" i="27"/>
  <c r="K77" i="15" s="1"/>
  <c r="AO132" i="27"/>
  <c r="AO77" i="15" s="1"/>
  <c r="BX373" i="27"/>
  <c r="BX89" i="27"/>
  <c r="BX91" i="27" s="1"/>
  <c r="AC42" i="27"/>
  <c r="AC64" i="15" s="1"/>
  <c r="AU132" i="27"/>
  <c r="AU77" i="15" s="1"/>
  <c r="BM373" i="27"/>
  <c r="AG373" i="27"/>
  <c r="AK382" i="27"/>
  <c r="E70" i="26"/>
  <c r="F70" i="26"/>
  <c r="G70" i="26"/>
  <c r="E75" i="26"/>
  <c r="E76" i="26" s="1"/>
  <c r="H75" i="26"/>
  <c r="I75" i="26"/>
  <c r="I15" i="26"/>
  <c r="CG382" i="27" l="1"/>
  <c r="CG77" i="15"/>
  <c r="G11" i="16"/>
  <c r="G44" i="16" s="1"/>
  <c r="L64" i="15"/>
  <c r="BV382" i="27"/>
  <c r="BV77" i="15"/>
  <c r="J18" i="16"/>
  <c r="J51" i="16" s="1"/>
  <c r="O77" i="15"/>
  <c r="AT382" i="27"/>
  <c r="AT77" i="15"/>
  <c r="BX179" i="27"/>
  <c r="BX181" i="27" s="1"/>
  <c r="BX78" i="15" s="1"/>
  <c r="BX77" i="15"/>
  <c r="H11" i="16"/>
  <c r="H44" i="16" s="1"/>
  <c r="M64" i="15"/>
  <c r="CB382" i="27"/>
  <c r="CB77" i="15"/>
  <c r="AD382" i="27"/>
  <c r="AD77" i="15"/>
  <c r="CF382" i="27"/>
  <c r="CF77" i="15"/>
  <c r="BD382" i="27"/>
  <c r="BD77" i="15"/>
  <c r="I18" i="16"/>
  <c r="I51" i="16" s="1"/>
  <c r="N77" i="15"/>
  <c r="I11" i="16"/>
  <c r="I44" i="16" s="1"/>
  <c r="N64" i="15"/>
  <c r="BN382" i="27"/>
  <c r="BN77" i="15"/>
  <c r="M11" i="16"/>
  <c r="M44" i="16" s="1"/>
  <c r="U64" i="15"/>
  <c r="L18" i="16"/>
  <c r="L51" i="16" s="1"/>
  <c r="Q77" i="15"/>
  <c r="AD373" i="27"/>
  <c r="AD64" i="15"/>
  <c r="AC382" i="27"/>
  <c r="BB382" i="27"/>
  <c r="BB77" i="15"/>
  <c r="AF382" i="27"/>
  <c r="AF77" i="15"/>
  <c r="AX382" i="27"/>
  <c r="AX77" i="15"/>
  <c r="R11" i="16"/>
  <c r="R44" i="16" s="1"/>
  <c r="U11" i="16"/>
  <c r="U44" i="16" s="1"/>
  <c r="O11" i="16"/>
  <c r="O44" i="16" s="1"/>
  <c r="P18" i="16"/>
  <c r="P51" i="16" s="1"/>
  <c r="U18" i="16"/>
  <c r="U51" i="16" s="1"/>
  <c r="AV382" i="27"/>
  <c r="S18" i="16"/>
  <c r="S51" i="16" s="1"/>
  <c r="V18" i="16"/>
  <c r="V51" i="16" s="1"/>
  <c r="Q18" i="16"/>
  <c r="Q51" i="16" s="1"/>
  <c r="N18" i="16"/>
  <c r="N51" i="16" s="1"/>
  <c r="O18" i="16"/>
  <c r="O51" i="16" s="1"/>
  <c r="R18" i="16"/>
  <c r="R51" i="16" s="1"/>
  <c r="R382" i="27"/>
  <c r="M18" i="16"/>
  <c r="M51" i="16" s="1"/>
  <c r="T18" i="16"/>
  <c r="T51" i="16" s="1"/>
  <c r="V11" i="16"/>
  <c r="V44" i="16" s="1"/>
  <c r="H18" i="16"/>
  <c r="H51" i="16" s="1"/>
  <c r="K18" i="16"/>
  <c r="K51" i="16" s="1"/>
  <c r="Q11" i="16"/>
  <c r="Q44" i="16" s="1"/>
  <c r="G18" i="16"/>
  <c r="G51" i="16" s="1"/>
  <c r="BX382" i="27"/>
  <c r="BH382" i="27"/>
  <c r="AP382" i="27"/>
  <c r="Z382" i="27"/>
  <c r="BV179" i="27"/>
  <c r="BV181" i="27" s="1"/>
  <c r="BV78" i="15" s="1"/>
  <c r="AN382" i="27"/>
  <c r="AZ382" i="27"/>
  <c r="AB382" i="27"/>
  <c r="L373" i="27"/>
  <c r="CG179" i="27"/>
  <c r="CG181" i="27" s="1"/>
  <c r="CG78" i="15" s="1"/>
  <c r="AT373" i="27"/>
  <c r="BJ373" i="27"/>
  <c r="X382" i="27"/>
  <c r="H382" i="27"/>
  <c r="AH382" i="27"/>
  <c r="T382" i="27"/>
  <c r="M382" i="27"/>
  <c r="BT382" i="27"/>
  <c r="L382" i="27"/>
  <c r="AL373" i="27"/>
  <c r="CD179" i="27"/>
  <c r="CD181" i="27" s="1"/>
  <c r="CD78" i="15" s="1"/>
  <c r="CD382" i="27"/>
  <c r="V382" i="27"/>
  <c r="AL382" i="27"/>
  <c r="BP89" i="27"/>
  <c r="BP91" i="27" s="1"/>
  <c r="BT179" i="27"/>
  <c r="BT181" i="27" s="1"/>
  <c r="BT78" i="15" s="1"/>
  <c r="CB179" i="27"/>
  <c r="CB181" i="27" s="1"/>
  <c r="CB78" i="15" s="1"/>
  <c r="BL382" i="27"/>
  <c r="AR382" i="27"/>
  <c r="BJ382" i="27"/>
  <c r="I152" i="27"/>
  <c r="BR179" i="27"/>
  <c r="BR181" i="27" s="1"/>
  <c r="BR78" i="15" s="1"/>
  <c r="BZ373" i="27"/>
  <c r="BR382" i="27"/>
  <c r="BQ179" i="27"/>
  <c r="BQ181" i="27" s="1"/>
  <c r="BQ78" i="15" s="1"/>
  <c r="BQ382" i="27"/>
  <c r="BY179" i="27"/>
  <c r="BY181" i="27" s="1"/>
  <c r="BY78" i="15" s="1"/>
  <c r="AJ382" i="27"/>
  <c r="BY382" i="27"/>
  <c r="N373" i="27"/>
  <c r="BI382" i="27"/>
  <c r="P382" i="27"/>
  <c r="U382" i="27"/>
  <c r="CF179" i="27"/>
  <c r="CF181" i="27" s="1"/>
  <c r="CF78" i="15" s="1"/>
  <c r="AQ401" i="27"/>
  <c r="AR401" i="27"/>
  <c r="BG401" i="27"/>
  <c r="K401" i="27"/>
  <c r="BW401" i="27"/>
  <c r="J257" i="27"/>
  <c r="J243" i="27" s="1"/>
  <c r="K247" i="27"/>
  <c r="J265" i="27"/>
  <c r="J263" i="27"/>
  <c r="J264" i="27"/>
  <c r="M373" i="27"/>
  <c r="BC382" i="27"/>
  <c r="AP401" i="27"/>
  <c r="L399" i="27"/>
  <c r="L401" i="27" s="1"/>
  <c r="CA382" i="27"/>
  <c r="CA179" i="27"/>
  <c r="CA181" i="27" s="1"/>
  <c r="CA78" i="15" s="1"/>
  <c r="AD401" i="27"/>
  <c r="J354" i="27"/>
  <c r="J353" i="27"/>
  <c r="J347" i="27"/>
  <c r="J333" i="27" s="1"/>
  <c r="K337" i="27"/>
  <c r="J355" i="27"/>
  <c r="AG382" i="27"/>
  <c r="AO401" i="27"/>
  <c r="K382" i="27"/>
  <c r="BE401" i="27"/>
  <c r="BZ399" i="27"/>
  <c r="BZ401" i="27" s="1"/>
  <c r="BY373" i="27"/>
  <c r="BY89" i="27"/>
  <c r="BY91" i="27" s="1"/>
  <c r="CF399" i="27"/>
  <c r="CF401" i="27" s="1"/>
  <c r="AL399" i="27"/>
  <c r="AL401" i="27" s="1"/>
  <c r="U373" i="27"/>
  <c r="BO382" i="27"/>
  <c r="AZ401" i="27"/>
  <c r="AA399" i="27"/>
  <c r="AA401" i="27" s="1"/>
  <c r="CE382" i="27"/>
  <c r="CE179" i="27"/>
  <c r="CE181" i="27" s="1"/>
  <c r="CE78" i="15" s="1"/>
  <c r="AS373" i="27"/>
  <c r="CC382" i="27"/>
  <c r="CC179" i="27"/>
  <c r="CC181" i="27" s="1"/>
  <c r="CC78" i="15" s="1"/>
  <c r="AM382" i="27"/>
  <c r="AU382" i="27"/>
  <c r="BN399" i="27"/>
  <c r="BN401" i="27" s="1"/>
  <c r="AK373" i="27"/>
  <c r="AW382" i="27"/>
  <c r="Q401" i="27"/>
  <c r="BQ373" i="27"/>
  <c r="BQ89" i="27"/>
  <c r="BQ91" i="27" s="1"/>
  <c r="AI382" i="27"/>
  <c r="W382" i="27"/>
  <c r="BI373" i="27"/>
  <c r="I382" i="27"/>
  <c r="AB401" i="27"/>
  <c r="BU399" i="27"/>
  <c r="BU401" i="27" s="1"/>
  <c r="I401" i="27"/>
  <c r="AT399" i="27"/>
  <c r="AT401" i="27" s="1"/>
  <c r="Y401" i="27"/>
  <c r="AI401" i="27"/>
  <c r="BA401" i="27"/>
  <c r="G382" i="27"/>
  <c r="AK399" i="27"/>
  <c r="AK401" i="27" s="1"/>
  <c r="V399" i="27"/>
  <c r="V401" i="27" s="1"/>
  <c r="BY401" i="27"/>
  <c r="BO401" i="27"/>
  <c r="U401" i="27"/>
  <c r="AX399" i="27"/>
  <c r="AX401" i="27" s="1"/>
  <c r="J401" i="27"/>
  <c r="BX399" i="27"/>
  <c r="BX401" i="27" s="1"/>
  <c r="CG373" i="27"/>
  <c r="CG89" i="27"/>
  <c r="CG91" i="27" s="1"/>
  <c r="BH401" i="27"/>
  <c r="AO382" i="27"/>
  <c r="M399" i="27"/>
  <c r="M401" i="27" s="1"/>
  <c r="Q382" i="27"/>
  <c r="AS401" i="27"/>
  <c r="AY382" i="27"/>
  <c r="BE382" i="27"/>
  <c r="CD399" i="27"/>
  <c r="CD401" i="27" s="1"/>
  <c r="BM382" i="27"/>
  <c r="BU382" i="27"/>
  <c r="BU179" i="27"/>
  <c r="BU181" i="27" s="1"/>
  <c r="BU78" i="15" s="1"/>
  <c r="AQ382" i="27"/>
  <c r="BP399" i="27"/>
  <c r="BP401" i="27" s="1"/>
  <c r="CC401" i="27"/>
  <c r="S399" i="27"/>
  <c r="S401" i="27" s="1"/>
  <c r="AC401" i="27"/>
  <c r="BF401" i="27"/>
  <c r="AH401" i="27"/>
  <c r="BW382" i="27"/>
  <c r="BW179" i="27"/>
  <c r="BW181" i="27" s="1"/>
  <c r="BW78" i="15" s="1"/>
  <c r="AC373" i="27"/>
  <c r="R401" i="27"/>
  <c r="S382" i="27"/>
  <c r="BK382" i="27"/>
  <c r="AA382" i="27"/>
  <c r="N401" i="27"/>
  <c r="AW401" i="27"/>
  <c r="BS382" i="27"/>
  <c r="BS179" i="27"/>
  <c r="BS181" i="27" s="1"/>
  <c r="BS78" i="15" s="1"/>
  <c r="T401" i="27"/>
  <c r="AE382" i="27"/>
  <c r="CG401" i="27"/>
  <c r="CE399" i="27"/>
  <c r="CE401" i="27" s="1"/>
  <c r="BV401" i="27"/>
  <c r="AJ401" i="27"/>
  <c r="BA373" i="27"/>
  <c r="BJ401" i="27"/>
  <c r="BR401" i="27"/>
  <c r="Z399" i="27"/>
  <c r="Z401" i="27" s="1"/>
  <c r="O382" i="27"/>
  <c r="AY401" i="27"/>
  <c r="BQ401" i="27"/>
  <c r="Y382" i="27"/>
  <c r="BG382" i="27"/>
  <c r="BI399" i="27"/>
  <c r="BI401" i="27" s="1"/>
  <c r="F74" i="26"/>
  <c r="E77" i="26"/>
  <c r="E78" i="26" s="1"/>
  <c r="E79" i="26" s="1"/>
  <c r="B8" i="16"/>
  <c r="C68" i="16"/>
  <c r="B127" i="16"/>
  <c r="B121" i="16"/>
  <c r="B114" i="16"/>
  <c r="B107" i="16"/>
  <c r="C101" i="16"/>
  <c r="B94" i="16"/>
  <c r="B88" i="16"/>
  <c r="B81" i="16"/>
  <c r="B74" i="16"/>
  <c r="B61" i="16"/>
  <c r="B55" i="16"/>
  <c r="B48" i="16"/>
  <c r="B41" i="16"/>
  <c r="C35" i="16"/>
  <c r="F21" i="17"/>
  <c r="F22" i="17"/>
  <c r="F23" i="17"/>
  <c r="F24" i="17"/>
  <c r="F25" i="17"/>
  <c r="F27" i="17"/>
  <c r="F28" i="17"/>
  <c r="F30" i="17"/>
  <c r="F29" i="17"/>
  <c r="B23" i="18" l="1"/>
  <c r="B28" i="18"/>
  <c r="B22" i="18"/>
  <c r="B27" i="18"/>
  <c r="B25" i="18"/>
  <c r="B30" i="18"/>
  <c r="B24" i="18"/>
  <c r="B29" i="18"/>
  <c r="B21" i="17"/>
  <c r="B29" i="17"/>
  <c r="B28" i="17"/>
  <c r="B27" i="17"/>
  <c r="B25" i="17"/>
  <c r="B24" i="17"/>
  <c r="B23" i="17"/>
  <c r="B22" i="17"/>
  <c r="B30" i="17"/>
  <c r="K257" i="27"/>
  <c r="K243" i="27" s="1"/>
  <c r="L247" i="27"/>
  <c r="K265" i="27"/>
  <c r="K264" i="27"/>
  <c r="K263" i="27"/>
  <c r="K355" i="27"/>
  <c r="K353" i="27"/>
  <c r="K347" i="27"/>
  <c r="K333" i="27" s="1"/>
  <c r="L337" i="27"/>
  <c r="K354" i="27"/>
  <c r="F76" i="26"/>
  <c r="G74" i="26" s="1"/>
  <c r="H44" i="3"/>
  <c r="H58" i="3"/>
  <c r="H51" i="3"/>
  <c r="B15" i="16"/>
  <c r="B28" i="16"/>
  <c r="B22" i="16"/>
  <c r="F77" i="26" l="1"/>
  <c r="F78" i="26" s="1"/>
  <c r="F79" i="26" s="1"/>
  <c r="L347" i="27"/>
  <c r="L333" i="27" s="1"/>
  <c r="M337" i="27"/>
  <c r="L355" i="27"/>
  <c r="L353" i="27"/>
  <c r="L354" i="27"/>
  <c r="L265" i="27"/>
  <c r="L264" i="27"/>
  <c r="L263" i="27"/>
  <c r="L257" i="27"/>
  <c r="L243" i="27" s="1"/>
  <c r="M247" i="27"/>
  <c r="G76" i="26"/>
  <c r="H74" i="26" s="1"/>
  <c r="G77" i="26" l="1"/>
  <c r="G78" i="26" s="1"/>
  <c r="G79" i="26" s="1"/>
  <c r="M265" i="27"/>
  <c r="M264" i="27"/>
  <c r="M263" i="27"/>
  <c r="M257" i="27"/>
  <c r="M243" i="27" s="1"/>
  <c r="N247" i="27"/>
  <c r="M347" i="27"/>
  <c r="M333" i="27" s="1"/>
  <c r="N337" i="27"/>
  <c r="M355" i="27"/>
  <c r="M354" i="27"/>
  <c r="M353" i="27"/>
  <c r="H76" i="26"/>
  <c r="I74" i="26" s="1"/>
  <c r="N355" i="27" l="1"/>
  <c r="N354" i="27"/>
  <c r="N353" i="27"/>
  <c r="O337" i="27"/>
  <c r="N347" i="27"/>
  <c r="N333" i="27" s="1"/>
  <c r="N265" i="27"/>
  <c r="N264" i="27"/>
  <c r="N263" i="27"/>
  <c r="N257" i="27"/>
  <c r="N243" i="27" s="1"/>
  <c r="O247" i="27"/>
  <c r="I76" i="26"/>
  <c r="I77" i="26" s="1"/>
  <c r="I78" i="26" s="1"/>
  <c r="I79" i="26" s="1"/>
  <c r="H77" i="26"/>
  <c r="H78" i="26" s="1"/>
  <c r="H79" i="26" s="1"/>
  <c r="I51" i="3"/>
  <c r="J51" i="3"/>
  <c r="F7" i="17"/>
  <c r="B7" i="18" s="1"/>
  <c r="B7" i="17" l="1"/>
  <c r="E81" i="26"/>
  <c r="O355" i="27"/>
  <c r="O354" i="27"/>
  <c r="O353" i="27"/>
  <c r="P337" i="27"/>
  <c r="O347" i="27"/>
  <c r="O333" i="27" s="1"/>
  <c r="O265" i="27"/>
  <c r="O264" i="27"/>
  <c r="O263" i="27"/>
  <c r="O257" i="27"/>
  <c r="O243" i="27" s="1"/>
  <c r="P247" i="27"/>
  <c r="P264" i="27" l="1"/>
  <c r="P263" i="27"/>
  <c r="P257" i="27"/>
  <c r="P243" i="27" s="1"/>
  <c r="Q247" i="27"/>
  <c r="P265" i="27"/>
  <c r="P355" i="27"/>
  <c r="P354" i="27"/>
  <c r="P353" i="27"/>
  <c r="P347" i="27"/>
  <c r="P333" i="27" s="1"/>
  <c r="Q337" i="27"/>
  <c r="I58" i="3"/>
  <c r="I44" i="3"/>
  <c r="I34" i="3"/>
  <c r="I33" i="3"/>
  <c r="I10" i="3"/>
  <c r="Q263" i="27" l="1"/>
  <c r="Q257" i="27"/>
  <c r="Q243" i="27" s="1"/>
  <c r="R247" i="27"/>
  <c r="Q264" i="27"/>
  <c r="Q265" i="27"/>
  <c r="Q355" i="27"/>
  <c r="Q354" i="27"/>
  <c r="Q353" i="27"/>
  <c r="Q347" i="27"/>
  <c r="Q333" i="27" s="1"/>
  <c r="R337" i="27"/>
  <c r="F6" i="17"/>
  <c r="F8" i="17"/>
  <c r="F9" i="17"/>
  <c r="F10" i="17"/>
  <c r="F11" i="17"/>
  <c r="F13" i="17"/>
  <c r="F14" i="17"/>
  <c r="F15" i="17"/>
  <c r="F16" i="17"/>
  <c r="B16" i="18" s="1"/>
  <c r="F17" i="17"/>
  <c r="F18" i="17"/>
  <c r="B18" i="18" s="1"/>
  <c r="F19" i="17"/>
  <c r="F20" i="17"/>
  <c r="B20" i="18" s="1"/>
  <c r="F26" i="17"/>
  <c r="B21" i="18" l="1"/>
  <c r="B26" i="18"/>
  <c r="B17" i="18"/>
  <c r="B19" i="18"/>
  <c r="B19" i="17"/>
  <c r="B9" i="17"/>
  <c r="B9" i="18"/>
  <c r="B13" i="17"/>
  <c r="B13" i="18"/>
  <c r="B11" i="17"/>
  <c r="B11" i="18"/>
  <c r="B8" i="17"/>
  <c r="B8" i="18"/>
  <c r="B10" i="17"/>
  <c r="B10" i="18"/>
  <c r="B18" i="17"/>
  <c r="B17" i="17"/>
  <c r="B16" i="17"/>
  <c r="B6" i="17"/>
  <c r="B6" i="18"/>
  <c r="B15" i="17"/>
  <c r="B15" i="18"/>
  <c r="B14" i="17"/>
  <c r="B14" i="18"/>
  <c r="B26" i="17"/>
  <c r="B20" i="17"/>
  <c r="R257" i="27"/>
  <c r="R243" i="27" s="1"/>
  <c r="S247" i="27"/>
  <c r="R265" i="27"/>
  <c r="R263" i="27"/>
  <c r="R264" i="27"/>
  <c r="R354" i="27"/>
  <c r="R353" i="27"/>
  <c r="R347" i="27"/>
  <c r="R333" i="27" s="1"/>
  <c r="S337" i="27"/>
  <c r="R355" i="27"/>
  <c r="S355" i="27" l="1"/>
  <c r="S353" i="27"/>
  <c r="S347" i="27"/>
  <c r="S333" i="27" s="1"/>
  <c r="T337" i="27"/>
  <c r="S354" i="27"/>
  <c r="S257" i="27"/>
  <c r="S243" i="27" s="1"/>
  <c r="T247" i="27"/>
  <c r="S265" i="27"/>
  <c r="S264" i="27"/>
  <c r="S263" i="27"/>
  <c r="T265" i="27" l="1"/>
  <c r="T264" i="27"/>
  <c r="T263" i="27"/>
  <c r="T257" i="27"/>
  <c r="T243" i="27" s="1"/>
  <c r="U247" i="27"/>
  <c r="T347" i="27"/>
  <c r="T333" i="27" s="1"/>
  <c r="U337" i="27"/>
  <c r="T355" i="27"/>
  <c r="T354" i="27"/>
  <c r="T353" i="27"/>
  <c r="C2" i="17"/>
  <c r="C2" i="18"/>
  <c r="C2" i="16"/>
  <c r="C6" i="3"/>
  <c r="U265" i="27" l="1"/>
  <c r="U264" i="27"/>
  <c r="U263" i="27"/>
  <c r="V247" i="27"/>
  <c r="U257" i="27"/>
  <c r="U243" i="27" s="1"/>
  <c r="U347" i="27"/>
  <c r="U333" i="27" s="1"/>
  <c r="V337" i="27"/>
  <c r="U355" i="27"/>
  <c r="U354" i="27"/>
  <c r="U353" i="27"/>
  <c r="V265" i="27" l="1"/>
  <c r="V264" i="27"/>
  <c r="V263" i="27"/>
  <c r="V257" i="27"/>
  <c r="V243" i="27" s="1"/>
  <c r="W247" i="27"/>
  <c r="V355" i="27"/>
  <c r="V354" i="27"/>
  <c r="V353" i="27"/>
  <c r="W337" i="27"/>
  <c r="V347" i="27"/>
  <c r="V333" i="27" s="1"/>
  <c r="W355" i="27" l="1"/>
  <c r="W354" i="27"/>
  <c r="W353" i="27"/>
  <c r="X337" i="27"/>
  <c r="W347" i="27"/>
  <c r="W333" i="27" s="1"/>
  <c r="W265" i="27"/>
  <c r="W264" i="27"/>
  <c r="W263" i="27"/>
  <c r="W257" i="27"/>
  <c r="W243" i="27" s="1"/>
  <c r="X247" i="27"/>
  <c r="X355" i="27" l="1"/>
  <c r="X354" i="27"/>
  <c r="X353" i="27"/>
  <c r="X347" i="27"/>
  <c r="X333" i="27" s="1"/>
  <c r="Y337" i="27"/>
  <c r="X264" i="27"/>
  <c r="X263" i="27"/>
  <c r="X257" i="27"/>
  <c r="X243" i="27" s="1"/>
  <c r="Y247" i="27"/>
  <c r="X265" i="27"/>
  <c r="J58" i="3"/>
  <c r="J44" i="3"/>
  <c r="Y263" i="27" l="1"/>
  <c r="Y257" i="27"/>
  <c r="Y243" i="27" s="1"/>
  <c r="Z247" i="27"/>
  <c r="Y264" i="27"/>
  <c r="Y265" i="27"/>
  <c r="Y355" i="27"/>
  <c r="Y354" i="27"/>
  <c r="Y353" i="27"/>
  <c r="Y347" i="27"/>
  <c r="Y333" i="27" s="1"/>
  <c r="Z337" i="27"/>
  <c r="Z354" i="27" l="1"/>
  <c r="Z353" i="27"/>
  <c r="Z347" i="27"/>
  <c r="Z333" i="27" s="1"/>
  <c r="AA337" i="27"/>
  <c r="Z355" i="27"/>
  <c r="Z257" i="27"/>
  <c r="Z243" i="27" s="1"/>
  <c r="AA247" i="27"/>
  <c r="Z265" i="27"/>
  <c r="Z263" i="27"/>
  <c r="Z264" i="27"/>
  <c r="AA257" i="27" l="1"/>
  <c r="AA243" i="27" s="1"/>
  <c r="AB247" i="27"/>
  <c r="AA265" i="27"/>
  <c r="AA264" i="27"/>
  <c r="AA263" i="27"/>
  <c r="AA355" i="27"/>
  <c r="AA353" i="27"/>
  <c r="AA347" i="27"/>
  <c r="AA333" i="27" s="1"/>
  <c r="AB337" i="27"/>
  <c r="AA354" i="27"/>
  <c r="AB347" i="27" l="1"/>
  <c r="AB333" i="27" s="1"/>
  <c r="AC337" i="27"/>
  <c r="AB355" i="27"/>
  <c r="AB353" i="27"/>
  <c r="AB354" i="27"/>
  <c r="AB265" i="27"/>
  <c r="AB264" i="27"/>
  <c r="AB263" i="27"/>
  <c r="AC247" i="27"/>
  <c r="AB257" i="27"/>
  <c r="AB243" i="27" s="1"/>
  <c r="AC265" i="27" l="1"/>
  <c r="AC264" i="27"/>
  <c r="AC263" i="27"/>
  <c r="AD247" i="27"/>
  <c r="AC257" i="27"/>
  <c r="AC243" i="27" s="1"/>
  <c r="AC347" i="27"/>
  <c r="AC333" i="27" s="1"/>
  <c r="AD337" i="27"/>
  <c r="AC355" i="27"/>
  <c r="AC354" i="27"/>
  <c r="AC353" i="27"/>
  <c r="AD355" i="27" l="1"/>
  <c r="AD354" i="27"/>
  <c r="AD353" i="27"/>
  <c r="AE337" i="27"/>
  <c r="AD347" i="27"/>
  <c r="AD333" i="27" s="1"/>
  <c r="AD265" i="27"/>
  <c r="AD264" i="27"/>
  <c r="AD263" i="27"/>
  <c r="AD257" i="27"/>
  <c r="AD243" i="27" s="1"/>
  <c r="AE247" i="27"/>
  <c r="AE355" i="27" l="1"/>
  <c r="AE354" i="27"/>
  <c r="AE353" i="27"/>
  <c r="AE347" i="27"/>
  <c r="AE333" i="27" s="1"/>
  <c r="AF337" i="27"/>
  <c r="AE265" i="27"/>
  <c r="AE264" i="27"/>
  <c r="AE263" i="27"/>
  <c r="AE257" i="27"/>
  <c r="AE243" i="27" s="1"/>
  <c r="AF247" i="27"/>
  <c r="AF355" i="27" l="1"/>
  <c r="AF354" i="27"/>
  <c r="AF353" i="27"/>
  <c r="AF347" i="27"/>
  <c r="AF333" i="27" s="1"/>
  <c r="AG337" i="27"/>
  <c r="AF264" i="27"/>
  <c r="AF263" i="27"/>
  <c r="AF257" i="27"/>
  <c r="AF243" i="27" s="1"/>
  <c r="AG247" i="27"/>
  <c r="AF265" i="27"/>
  <c r="AG355" i="27" l="1"/>
  <c r="AG354" i="27"/>
  <c r="AG353" i="27"/>
  <c r="AG347" i="27"/>
  <c r="AG333" i="27" s="1"/>
  <c r="AH337" i="27"/>
  <c r="AG263" i="27"/>
  <c r="AG257" i="27"/>
  <c r="AG243" i="27" s="1"/>
  <c r="AH247" i="27"/>
  <c r="AG264" i="27"/>
  <c r="AG265" i="27"/>
  <c r="AH257" i="27" l="1"/>
  <c r="AH243" i="27" s="1"/>
  <c r="AI247" i="27"/>
  <c r="AH265" i="27"/>
  <c r="AH264" i="27"/>
  <c r="AH263" i="27"/>
  <c r="AH355" i="27"/>
  <c r="AH354" i="27"/>
  <c r="AH353" i="27"/>
  <c r="AH347" i="27"/>
  <c r="AH333" i="27" s="1"/>
  <c r="AI337" i="27"/>
  <c r="AI355" i="27" l="1"/>
  <c r="AI353" i="27"/>
  <c r="AI347" i="27"/>
  <c r="AI333" i="27" s="1"/>
  <c r="AJ337" i="27"/>
  <c r="AI354" i="27"/>
  <c r="AI257" i="27"/>
  <c r="AI243" i="27" s="1"/>
  <c r="AJ247" i="27"/>
  <c r="AI265" i="27"/>
  <c r="AI264" i="27"/>
  <c r="AI263" i="27"/>
  <c r="AJ347" i="27" l="1"/>
  <c r="AJ333" i="27" s="1"/>
  <c r="AK337" i="27"/>
  <c r="AJ355" i="27"/>
  <c r="AJ354" i="27"/>
  <c r="AJ353" i="27"/>
  <c r="AJ265" i="27"/>
  <c r="AJ264" i="27"/>
  <c r="AJ263" i="27"/>
  <c r="AK247" i="27"/>
  <c r="AJ257" i="27"/>
  <c r="AJ243" i="27" s="1"/>
  <c r="AK265" i="27" l="1"/>
  <c r="AK264" i="27"/>
  <c r="AK263" i="27"/>
  <c r="AL247" i="27"/>
  <c r="AK257" i="27"/>
  <c r="AK243" i="27" s="1"/>
  <c r="AK347" i="27"/>
  <c r="AK333" i="27" s="1"/>
  <c r="AL337" i="27"/>
  <c r="AK355" i="27"/>
  <c r="AK354" i="27"/>
  <c r="AK353" i="27"/>
  <c r="AL265" i="27" l="1"/>
  <c r="AL264" i="27"/>
  <c r="AL263" i="27"/>
  <c r="AL257" i="27"/>
  <c r="AL243" i="27" s="1"/>
  <c r="AM247" i="27"/>
  <c r="AL355" i="27"/>
  <c r="AL354" i="27"/>
  <c r="AL353" i="27"/>
  <c r="AL347" i="27"/>
  <c r="AL333" i="27" s="1"/>
  <c r="AM337" i="27"/>
  <c r="AM355" i="27" l="1"/>
  <c r="AM354" i="27"/>
  <c r="AM353" i="27"/>
  <c r="AM347" i="27"/>
  <c r="AM333" i="27" s="1"/>
  <c r="AN337" i="27"/>
  <c r="AM265" i="27"/>
  <c r="AM264" i="27"/>
  <c r="AM263" i="27"/>
  <c r="AM257" i="27"/>
  <c r="AM243" i="27" s="1"/>
  <c r="AN247" i="27"/>
  <c r="AN264" i="27" l="1"/>
  <c r="AN263" i="27"/>
  <c r="AN257" i="27"/>
  <c r="AN243" i="27" s="1"/>
  <c r="AO247" i="27"/>
  <c r="AN265" i="27"/>
  <c r="AN355" i="27"/>
  <c r="AN354" i="27"/>
  <c r="AN353" i="27"/>
  <c r="AN347" i="27"/>
  <c r="AN333" i="27" s="1"/>
  <c r="AO337" i="27"/>
  <c r="AO263" i="27" l="1"/>
  <c r="AO257" i="27"/>
  <c r="AO243" i="27" s="1"/>
  <c r="AP247" i="27"/>
  <c r="AO265" i="27"/>
  <c r="AO264" i="27"/>
  <c r="AO355" i="27"/>
  <c r="AO354" i="27"/>
  <c r="AO353" i="27"/>
  <c r="AO347" i="27"/>
  <c r="AO333" i="27" s="1"/>
  <c r="AP337" i="27"/>
  <c r="AP257" i="27" l="1"/>
  <c r="AP243" i="27" s="1"/>
  <c r="AQ247" i="27"/>
  <c r="AP265" i="27"/>
  <c r="AP263" i="27"/>
  <c r="AP264" i="27"/>
  <c r="AP355" i="27"/>
  <c r="AP354" i="27"/>
  <c r="AP353" i="27"/>
  <c r="AP347" i="27"/>
  <c r="AP333" i="27" s="1"/>
  <c r="AQ337" i="27"/>
  <c r="AQ355" i="27" l="1"/>
  <c r="AQ353" i="27"/>
  <c r="AQ347" i="27"/>
  <c r="AQ333" i="27" s="1"/>
  <c r="AR337" i="27"/>
  <c r="AQ354" i="27"/>
  <c r="AQ257" i="27"/>
  <c r="AQ243" i="27" s="1"/>
  <c r="AR247" i="27"/>
  <c r="AQ265" i="27"/>
  <c r="AQ264" i="27"/>
  <c r="AQ263" i="27"/>
  <c r="AR265" i="27" l="1"/>
  <c r="AR264" i="27"/>
  <c r="AR263" i="27"/>
  <c r="AR257" i="27"/>
  <c r="AR243" i="27" s="1"/>
  <c r="AS247" i="27"/>
  <c r="AR347" i="27"/>
  <c r="AR333" i="27" s="1"/>
  <c r="AS337" i="27"/>
  <c r="AR355" i="27"/>
  <c r="AR353" i="27"/>
  <c r="AR354" i="27"/>
  <c r="AS265" i="27" l="1"/>
  <c r="AS264" i="27"/>
  <c r="AS263" i="27"/>
  <c r="AS257" i="27"/>
  <c r="AS243" i="27" s="1"/>
  <c r="AT247" i="27"/>
  <c r="AS347" i="27"/>
  <c r="AS333" i="27" s="1"/>
  <c r="AT337" i="27"/>
  <c r="AS355" i="27"/>
  <c r="AS354" i="27"/>
  <c r="AS353" i="27"/>
  <c r="AT355" i="27" l="1"/>
  <c r="AT354" i="27"/>
  <c r="AT353" i="27"/>
  <c r="AU337" i="27"/>
  <c r="AT347" i="27"/>
  <c r="AT333" i="27" s="1"/>
  <c r="AT265" i="27"/>
  <c r="AT264" i="27"/>
  <c r="AT263" i="27"/>
  <c r="AT257" i="27"/>
  <c r="AT243" i="27" s="1"/>
  <c r="AU247" i="27"/>
  <c r="AU355" i="27" l="1"/>
  <c r="AU354" i="27"/>
  <c r="AU353" i="27"/>
  <c r="AV337" i="27"/>
  <c r="AU347" i="27"/>
  <c r="AU333" i="27" s="1"/>
  <c r="AU265" i="27"/>
  <c r="AU264" i="27"/>
  <c r="AU263" i="27"/>
  <c r="AU257" i="27"/>
  <c r="AU243" i="27" s="1"/>
  <c r="AV247" i="27"/>
  <c r="AV264" i="27" l="1"/>
  <c r="AV263" i="27"/>
  <c r="AV257" i="27"/>
  <c r="AV243" i="27" s="1"/>
  <c r="AW247" i="27"/>
  <c r="AV265" i="27"/>
  <c r="AV355" i="27"/>
  <c r="AV354" i="27"/>
  <c r="AV353" i="27"/>
  <c r="AV347" i="27"/>
  <c r="AV333" i="27" s="1"/>
  <c r="AW337" i="27"/>
  <c r="AW263" i="27" l="1"/>
  <c r="AW257" i="27"/>
  <c r="AW243" i="27" s="1"/>
  <c r="AX247" i="27"/>
  <c r="AW264" i="27"/>
  <c r="AW265" i="27"/>
  <c r="AW355" i="27"/>
  <c r="AW354" i="27"/>
  <c r="AW353" i="27"/>
  <c r="AW347" i="27"/>
  <c r="AW333" i="27" s="1"/>
  <c r="AX337" i="27"/>
  <c r="AX355" i="27" l="1"/>
  <c r="AX354" i="27"/>
  <c r="AX353" i="27"/>
  <c r="AX347" i="27"/>
  <c r="AX333" i="27" s="1"/>
  <c r="AY337" i="27"/>
  <c r="AX257" i="27"/>
  <c r="AX243" i="27" s="1"/>
  <c r="AY247" i="27"/>
  <c r="AX265" i="27"/>
  <c r="AX263" i="27"/>
  <c r="AX264" i="27"/>
  <c r="AY257" i="27" l="1"/>
  <c r="AY243" i="27" s="1"/>
  <c r="AZ247" i="27"/>
  <c r="AY265" i="27"/>
  <c r="AY264" i="27"/>
  <c r="AY263" i="27"/>
  <c r="AY355" i="27"/>
  <c r="AY353" i="27"/>
  <c r="AY347" i="27"/>
  <c r="AY333" i="27" s="1"/>
  <c r="AZ337" i="27"/>
  <c r="AY354" i="27"/>
  <c r="AZ265" i="27" l="1"/>
  <c r="AZ264" i="27"/>
  <c r="AZ263" i="27"/>
  <c r="AZ257" i="27"/>
  <c r="AZ243" i="27" s="1"/>
  <c r="BA247" i="27"/>
  <c r="AZ354" i="27"/>
  <c r="AZ347" i="27"/>
  <c r="AZ333" i="27" s="1"/>
  <c r="BA337" i="27"/>
  <c r="AZ355" i="27"/>
  <c r="AZ353" i="27"/>
  <c r="BA265" i="27" l="1"/>
  <c r="BA264" i="27"/>
  <c r="BA263" i="27"/>
  <c r="BB247" i="27"/>
  <c r="BA257" i="27"/>
  <c r="BA243" i="27" s="1"/>
  <c r="BA347" i="27"/>
  <c r="BA333" i="27" s="1"/>
  <c r="BB337" i="27"/>
  <c r="BA355" i="27"/>
  <c r="BA354" i="27"/>
  <c r="BA353" i="27"/>
  <c r="BB355" i="27" l="1"/>
  <c r="BB354" i="27"/>
  <c r="BB353" i="27"/>
  <c r="BC337" i="27"/>
  <c r="BB347" i="27"/>
  <c r="BB333" i="27" s="1"/>
  <c r="BB265" i="27"/>
  <c r="BB264" i="27"/>
  <c r="BB263" i="27"/>
  <c r="BB257" i="27"/>
  <c r="BB243" i="27" s="1"/>
  <c r="BC247" i="27"/>
  <c r="BC265" i="27" l="1"/>
  <c r="BC264" i="27"/>
  <c r="BC263" i="27"/>
  <c r="BC257" i="27"/>
  <c r="BC243" i="27" s="1"/>
  <c r="BD247" i="27"/>
  <c r="BC355" i="27"/>
  <c r="BC354" i="27"/>
  <c r="BC353" i="27"/>
  <c r="BD337" i="27"/>
  <c r="BC347" i="27"/>
  <c r="BC333" i="27" s="1"/>
  <c r="BD355" i="27" l="1"/>
  <c r="BD354" i="27"/>
  <c r="BD353" i="27"/>
  <c r="BD347" i="27"/>
  <c r="BD333" i="27" s="1"/>
  <c r="BE337" i="27"/>
  <c r="BD264" i="27"/>
  <c r="BD263" i="27"/>
  <c r="BD257" i="27"/>
  <c r="BD243" i="27" s="1"/>
  <c r="BE247" i="27"/>
  <c r="BD265" i="27"/>
  <c r="BE355" i="27" l="1"/>
  <c r="BE354" i="27"/>
  <c r="BE353" i="27"/>
  <c r="BE347" i="27"/>
  <c r="BE333" i="27" s="1"/>
  <c r="BF337" i="27"/>
  <c r="BE263" i="27"/>
  <c r="BE257" i="27"/>
  <c r="BE243" i="27" s="1"/>
  <c r="BF247" i="27"/>
  <c r="BE264" i="27"/>
  <c r="BE265" i="27"/>
  <c r="BF257" i="27" l="1"/>
  <c r="BF243" i="27" s="1"/>
  <c r="BG247" i="27"/>
  <c r="BF265" i="27"/>
  <c r="BF263" i="27"/>
  <c r="BF264" i="27"/>
  <c r="BF355" i="27"/>
  <c r="BF354" i="27"/>
  <c r="BF353" i="27"/>
  <c r="BF347" i="27"/>
  <c r="BF333" i="27" s="1"/>
  <c r="BG337" i="27"/>
  <c r="BG355" i="27" l="1"/>
  <c r="BG353" i="27"/>
  <c r="BG347" i="27"/>
  <c r="BG333" i="27" s="1"/>
  <c r="BH337" i="27"/>
  <c r="BG354" i="27"/>
  <c r="BG257" i="27"/>
  <c r="BG243" i="27" s="1"/>
  <c r="BH247" i="27"/>
  <c r="BG265" i="27"/>
  <c r="BG264" i="27"/>
  <c r="BG263" i="27"/>
  <c r="BH265" i="27" l="1"/>
  <c r="BH264" i="27"/>
  <c r="BH263" i="27"/>
  <c r="BI247" i="27"/>
  <c r="BH257" i="27"/>
  <c r="BH243" i="27" s="1"/>
  <c r="BH354" i="27"/>
  <c r="BH347" i="27"/>
  <c r="BH333" i="27" s="1"/>
  <c r="BI337" i="27"/>
  <c r="BH355" i="27"/>
  <c r="BH353" i="27"/>
  <c r="BI347" i="27" l="1"/>
  <c r="BI333" i="27" s="1"/>
  <c r="BJ337" i="27"/>
  <c r="BI355" i="27"/>
  <c r="BI354" i="27"/>
  <c r="BI353" i="27"/>
  <c r="BI265" i="27"/>
  <c r="BI264" i="27"/>
  <c r="BI263" i="27"/>
  <c r="BJ247" i="27"/>
  <c r="BI257" i="27"/>
  <c r="BI243" i="27" s="1"/>
  <c r="BJ355" i="27" l="1"/>
  <c r="BJ354" i="27"/>
  <c r="BJ353" i="27"/>
  <c r="BK337" i="27"/>
  <c r="BJ347" i="27"/>
  <c r="BJ333" i="27" s="1"/>
  <c r="BJ265" i="27"/>
  <c r="BJ264" i="27"/>
  <c r="BJ263" i="27"/>
  <c r="BJ257" i="27"/>
  <c r="BJ243" i="27" s="1"/>
  <c r="BK247" i="27"/>
  <c r="BK265" i="27" l="1"/>
  <c r="BK264" i="27"/>
  <c r="BK263" i="27"/>
  <c r="BK257" i="27"/>
  <c r="BK243" i="27" s="1"/>
  <c r="BL247" i="27"/>
  <c r="BK355" i="27"/>
  <c r="BK354" i="27"/>
  <c r="BK353" i="27"/>
  <c r="BK347" i="27"/>
  <c r="BK333" i="27" s="1"/>
  <c r="BL337" i="27"/>
  <c r="BL264" i="27" l="1"/>
  <c r="BL263" i="27"/>
  <c r="BL257" i="27"/>
  <c r="BL243" i="27" s="1"/>
  <c r="BM247" i="27"/>
  <c r="BL265" i="27"/>
  <c r="BL355" i="27"/>
  <c r="BL354" i="27"/>
  <c r="BL353" i="27"/>
  <c r="BL347" i="27"/>
  <c r="BL333" i="27" s="1"/>
  <c r="BM337" i="27"/>
  <c r="BM263" i="27" l="1"/>
  <c r="BM257" i="27"/>
  <c r="BM243" i="27" s="1"/>
  <c r="BN247" i="27"/>
  <c r="BM264" i="27"/>
  <c r="BM265" i="27"/>
  <c r="BM355" i="27"/>
  <c r="BM354" i="27"/>
  <c r="BM353" i="27"/>
  <c r="BM347" i="27"/>
  <c r="BM333" i="27" s="1"/>
  <c r="BN337" i="27"/>
  <c r="BN257" i="27" l="1"/>
  <c r="BN243" i="27" s="1"/>
  <c r="BO247" i="27"/>
  <c r="BN265" i="27"/>
  <c r="BN264" i="27"/>
  <c r="BN263" i="27"/>
  <c r="BN355" i="27"/>
  <c r="BN354" i="27"/>
  <c r="BN353" i="27"/>
  <c r="BN347" i="27"/>
  <c r="BN333" i="27" s="1"/>
  <c r="BO337" i="27"/>
  <c r="BO355" i="27" l="1"/>
  <c r="BO353" i="27"/>
  <c r="BO347" i="27"/>
  <c r="BO333" i="27" s="1"/>
  <c r="BP337" i="27"/>
  <c r="BO354" i="27"/>
  <c r="BO257" i="27"/>
  <c r="BO243" i="27" s="1"/>
  <c r="BP247" i="27"/>
  <c r="BO265" i="27"/>
  <c r="BO264" i="27"/>
  <c r="BO263" i="27"/>
  <c r="BP265" i="27" l="1"/>
  <c r="BP264" i="27"/>
  <c r="BP263" i="27"/>
  <c r="BQ247" i="27"/>
  <c r="BP257" i="27"/>
  <c r="BP243" i="27" s="1"/>
  <c r="BP354" i="27"/>
  <c r="BP347" i="27"/>
  <c r="BP333" i="27" s="1"/>
  <c r="BQ337" i="27"/>
  <c r="BP355" i="27"/>
  <c r="BP353" i="27"/>
  <c r="BQ347" i="27" l="1"/>
  <c r="BQ333" i="27" s="1"/>
  <c r="BR337" i="27"/>
  <c r="BQ355" i="27"/>
  <c r="BQ354" i="27"/>
  <c r="BQ353" i="27"/>
  <c r="BQ265" i="27"/>
  <c r="BQ264" i="27"/>
  <c r="BQ263" i="27"/>
  <c r="BR247" i="27"/>
  <c r="BQ257" i="27"/>
  <c r="BQ243" i="27" s="1"/>
  <c r="BR355" i="27" l="1"/>
  <c r="BR354" i="27"/>
  <c r="BR353" i="27"/>
  <c r="BR347" i="27"/>
  <c r="BR333" i="27" s="1"/>
  <c r="BS337" i="27"/>
  <c r="BR265" i="27"/>
  <c r="BR264" i="27"/>
  <c r="BR263" i="27"/>
  <c r="BR257" i="27"/>
  <c r="BR243" i="27" s="1"/>
  <c r="BS247" i="27"/>
  <c r="BS355" i="27" l="1"/>
  <c r="BS354" i="27"/>
  <c r="BS353" i="27"/>
  <c r="BS347" i="27"/>
  <c r="BS333" i="27" s="1"/>
  <c r="BT337" i="27"/>
  <c r="BS265" i="27"/>
  <c r="BS264" i="27"/>
  <c r="BS263" i="27"/>
  <c r="BS257" i="27"/>
  <c r="BS243" i="27" s="1"/>
  <c r="BT247" i="27"/>
  <c r="BT264" i="27" l="1"/>
  <c r="BT263" i="27"/>
  <c r="BT257" i="27"/>
  <c r="BT243" i="27" s="1"/>
  <c r="BU247" i="27"/>
  <c r="BT265" i="27"/>
  <c r="BT355" i="27"/>
  <c r="BT354" i="27"/>
  <c r="BT353" i="27"/>
  <c r="BT347" i="27"/>
  <c r="BT333" i="27" s="1"/>
  <c r="BU337" i="27"/>
  <c r="BU355" i="27" l="1"/>
  <c r="BU354" i="27"/>
  <c r="BU353" i="27"/>
  <c r="BU347" i="27"/>
  <c r="BU333" i="27" s="1"/>
  <c r="BV337" i="27"/>
  <c r="BU263" i="27"/>
  <c r="BU257" i="27"/>
  <c r="BU243" i="27" s="1"/>
  <c r="BV247" i="27"/>
  <c r="BU265" i="27"/>
  <c r="BU264" i="27"/>
  <c r="BV257" i="27" l="1"/>
  <c r="BV243" i="27" s="1"/>
  <c r="BW247" i="27"/>
  <c r="BV265" i="27"/>
  <c r="BV263" i="27"/>
  <c r="BV264" i="27"/>
  <c r="BV355" i="27"/>
  <c r="BV354" i="27"/>
  <c r="BV353" i="27"/>
  <c r="BV347" i="27"/>
  <c r="BV333" i="27" s="1"/>
  <c r="BW337" i="27"/>
  <c r="BW355" i="27" l="1"/>
  <c r="BW353" i="27"/>
  <c r="BW347" i="27"/>
  <c r="BW333" i="27" s="1"/>
  <c r="BX337" i="27"/>
  <c r="BW354" i="27"/>
  <c r="BW257" i="27"/>
  <c r="BW243" i="27" s="1"/>
  <c r="BX247" i="27"/>
  <c r="BW265" i="27"/>
  <c r="BW264" i="27"/>
  <c r="BW263" i="27"/>
  <c r="BX265" i="27" l="1"/>
  <c r="BX264" i="27"/>
  <c r="BX263" i="27"/>
  <c r="BX257" i="27"/>
  <c r="BX243" i="27" s="1"/>
  <c r="BY247" i="27"/>
  <c r="BX354" i="27"/>
  <c r="BX347" i="27"/>
  <c r="BX333" i="27" s="1"/>
  <c r="BY337" i="27"/>
  <c r="BX355" i="27"/>
  <c r="BX353" i="27"/>
  <c r="BY265" i="27" l="1"/>
  <c r="BY264" i="27"/>
  <c r="BY263" i="27"/>
  <c r="BY257" i="27"/>
  <c r="BY243" i="27" s="1"/>
  <c r="BZ247" i="27"/>
  <c r="BY347" i="27"/>
  <c r="BY333" i="27" s="1"/>
  <c r="BZ337" i="27"/>
  <c r="BY355" i="27"/>
  <c r="BY354" i="27"/>
  <c r="BY353" i="27"/>
  <c r="BZ355" i="27" l="1"/>
  <c r="BZ354" i="27"/>
  <c r="BZ353" i="27"/>
  <c r="BZ347" i="27"/>
  <c r="BZ333" i="27" s="1"/>
  <c r="CA337" i="27"/>
  <c r="BZ265" i="27"/>
  <c r="BZ264" i="27"/>
  <c r="BZ263" i="27"/>
  <c r="BZ257" i="27"/>
  <c r="BZ243" i="27" s="1"/>
  <c r="CA247" i="27"/>
  <c r="CA265" i="27" l="1"/>
  <c r="CA264" i="27"/>
  <c r="CA263" i="27"/>
  <c r="CA257" i="27"/>
  <c r="CA243" i="27" s="1"/>
  <c r="CB247" i="27"/>
  <c r="CA355" i="27"/>
  <c r="CA354" i="27"/>
  <c r="CA353" i="27"/>
  <c r="CB337" i="27"/>
  <c r="CA347" i="27"/>
  <c r="CA333" i="27" s="1"/>
  <c r="CB264" i="27" l="1"/>
  <c r="CB263" i="27"/>
  <c r="CB257" i="27"/>
  <c r="CB243" i="27" s="1"/>
  <c r="CC247" i="27"/>
  <c r="CB265" i="27"/>
  <c r="CB355" i="27"/>
  <c r="CB354" i="27"/>
  <c r="CB353" i="27"/>
  <c r="CB347" i="27"/>
  <c r="CB333" i="27" s="1"/>
  <c r="CC337" i="27"/>
  <c r="CC355" i="27" l="1"/>
  <c r="CC354" i="27"/>
  <c r="CC353" i="27"/>
  <c r="CC347" i="27"/>
  <c r="CC333" i="27" s="1"/>
  <c r="CD337" i="27"/>
  <c r="CC263" i="27"/>
  <c r="CC257" i="27"/>
  <c r="CC243" i="27" s="1"/>
  <c r="CD247" i="27"/>
  <c r="CC264" i="27"/>
  <c r="CC265" i="27"/>
  <c r="CD257" i="27" l="1"/>
  <c r="CD243" i="27" s="1"/>
  <c r="CE247" i="27"/>
  <c r="CD265" i="27"/>
  <c r="CD263" i="27"/>
  <c r="CD264" i="27"/>
  <c r="CD355" i="27"/>
  <c r="CD354" i="27"/>
  <c r="CD353" i="27"/>
  <c r="CD347" i="27"/>
  <c r="CD333" i="27" s="1"/>
  <c r="CE337" i="27"/>
  <c r="CE355" i="27" l="1"/>
  <c r="CE353" i="27"/>
  <c r="CE347" i="27"/>
  <c r="CE333" i="27" s="1"/>
  <c r="CF337" i="27"/>
  <c r="CE354" i="27"/>
  <c r="CE257" i="27"/>
  <c r="CE243" i="27" s="1"/>
  <c r="CF247" i="27"/>
  <c r="CE265" i="27"/>
  <c r="CE264" i="27"/>
  <c r="CE263" i="27"/>
  <c r="CF354" i="27" l="1"/>
  <c r="CF347" i="27"/>
  <c r="CF333" i="27" s="1"/>
  <c r="CG337" i="27"/>
  <c r="CF355" i="27"/>
  <c r="CF353" i="27"/>
  <c r="CF265" i="27"/>
  <c r="CF264" i="27"/>
  <c r="CF263" i="27"/>
  <c r="CF257" i="27"/>
  <c r="CF243" i="27" s="1"/>
  <c r="CG247" i="27"/>
  <c r="CG347" i="27" l="1"/>
  <c r="CG333" i="27" s="1"/>
  <c r="CH337" i="27"/>
  <c r="CG355" i="27"/>
  <c r="CG354" i="27"/>
  <c r="CG353" i="27"/>
  <c r="CG265" i="27"/>
  <c r="CG264" i="27"/>
  <c r="CG263" i="27"/>
  <c r="CH247" i="27"/>
  <c r="CG257" i="27"/>
  <c r="CG243" i="27" s="1"/>
  <c r="CH355" i="27" l="1"/>
  <c r="CH354" i="27"/>
  <c r="CH353" i="27"/>
  <c r="CI337" i="27"/>
  <c r="CH347" i="27"/>
  <c r="CH333" i="27" s="1"/>
  <c r="CH265" i="27"/>
  <c r="CH264" i="27"/>
  <c r="CH263" i="27"/>
  <c r="CH257" i="27"/>
  <c r="CH243" i="27" s="1"/>
  <c r="CI247" i="27"/>
  <c r="CI265" i="27" l="1"/>
  <c r="CI264" i="27"/>
  <c r="CI263" i="27"/>
  <c r="CI257" i="27"/>
  <c r="CI243" i="27" s="1"/>
  <c r="CI355" i="27"/>
  <c r="CI354" i="27"/>
  <c r="CI353" i="27"/>
  <c r="CI347" i="27"/>
  <c r="CI333" i="27" s="1"/>
  <c r="J156" i="27" l="1"/>
  <c r="J173" i="27" l="1"/>
  <c r="J80" i="15"/>
  <c r="J71" i="15"/>
  <c r="J174" i="27"/>
  <c r="J172" i="27"/>
  <c r="K156" i="27"/>
  <c r="K80" i="15" l="1"/>
  <c r="K71" i="15"/>
  <c r="K172" i="27"/>
  <c r="K173" i="27"/>
  <c r="K174" i="27"/>
  <c r="L156" i="27"/>
  <c r="L173" i="27" l="1"/>
  <c r="L80" i="15"/>
  <c r="L71" i="15"/>
  <c r="M156" i="27"/>
  <c r="L174" i="27"/>
  <c r="L172" i="27"/>
  <c r="M80" i="15" l="1"/>
  <c r="M71" i="15"/>
  <c r="M174" i="27"/>
  <c r="N156" i="27"/>
  <c r="M172" i="27"/>
  <c r="M173" i="27"/>
  <c r="N173" i="27" l="1"/>
  <c r="N71" i="15"/>
  <c r="N80" i="15"/>
  <c r="M109" i="27"/>
  <c r="M136" i="27" s="1"/>
  <c r="M70" i="15" s="1"/>
  <c r="M110" i="27"/>
  <c r="M137" i="27" s="1"/>
  <c r="M141" i="27" s="1"/>
  <c r="N110" i="27"/>
  <c r="N137" i="27" s="1"/>
  <c r="N109" i="27"/>
  <c r="N136" i="27" s="1"/>
  <c r="N70" i="15" s="1"/>
  <c r="O156" i="27"/>
  <c r="N174" i="27"/>
  <c r="N172" i="27"/>
  <c r="O174" i="27" l="1"/>
  <c r="O71" i="15"/>
  <c r="O80" i="15"/>
  <c r="O172" i="27"/>
  <c r="P156" i="27"/>
  <c r="O173" i="27"/>
  <c r="M377" i="27"/>
  <c r="M140" i="27"/>
  <c r="M142" i="27"/>
  <c r="M378" i="27"/>
  <c r="N141" i="27"/>
  <c r="N378" i="27"/>
  <c r="N377" i="27"/>
  <c r="N142" i="27"/>
  <c r="N140" i="27"/>
  <c r="Q156" i="27" l="1"/>
  <c r="P80" i="15"/>
  <c r="P71" i="15"/>
  <c r="O110" i="27"/>
  <c r="O137" i="27" s="1"/>
  <c r="O109" i="27"/>
  <c r="O136" i="27" s="1"/>
  <c r="P172" i="27"/>
  <c r="P173" i="27"/>
  <c r="P174" i="27"/>
  <c r="Q172" i="27"/>
  <c r="R156" i="27"/>
  <c r="Q173" i="27"/>
  <c r="Q174" i="27"/>
  <c r="O140" i="27" l="1"/>
  <c r="O70" i="15"/>
  <c r="R80" i="15"/>
  <c r="R71" i="15"/>
  <c r="Q80" i="15"/>
  <c r="Q71" i="15"/>
  <c r="Q110" i="27"/>
  <c r="Q137" i="27" s="1"/>
  <c r="Q109" i="27"/>
  <c r="Q136" i="27" s="1"/>
  <c r="Q70" i="15" s="1"/>
  <c r="P109" i="27"/>
  <c r="P136" i="27" s="1"/>
  <c r="P110" i="27"/>
  <c r="P137" i="27" s="1"/>
  <c r="P378" i="27" s="1"/>
  <c r="O141" i="27"/>
  <c r="O378" i="27"/>
  <c r="O142" i="27"/>
  <c r="O377" i="27"/>
  <c r="R172" i="27"/>
  <c r="S156" i="27"/>
  <c r="R174" i="27"/>
  <c r="R173" i="27"/>
  <c r="S80" i="15" l="1"/>
  <c r="S71" i="15"/>
  <c r="P70" i="15"/>
  <c r="R109" i="27"/>
  <c r="R136" i="27" s="1"/>
  <c r="R110" i="27"/>
  <c r="R137" i="27" s="1"/>
  <c r="P377" i="27"/>
  <c r="P140" i="27"/>
  <c r="P141" i="27"/>
  <c r="P142" i="27"/>
  <c r="Q377" i="27"/>
  <c r="Q140" i="27"/>
  <c r="Q142" i="27"/>
  <c r="Q378" i="27"/>
  <c r="Q141" i="27"/>
  <c r="S172" i="27"/>
  <c r="S174" i="27"/>
  <c r="S173" i="27"/>
  <c r="T156" i="27"/>
  <c r="R70" i="15" l="1"/>
  <c r="T80" i="15"/>
  <c r="T71" i="15"/>
  <c r="S110" i="27"/>
  <c r="S137" i="27" s="1"/>
  <c r="S109" i="27"/>
  <c r="S136" i="27" s="1"/>
  <c r="S70" i="15" s="1"/>
  <c r="R378" i="27"/>
  <c r="R141" i="27"/>
  <c r="U156" i="27"/>
  <c r="T174" i="27"/>
  <c r="T173" i="27"/>
  <c r="T172" i="27"/>
  <c r="R140" i="27"/>
  <c r="R142" i="27"/>
  <c r="R377" i="27"/>
  <c r="U80" i="15" l="1"/>
  <c r="U71" i="15"/>
  <c r="T109" i="27"/>
  <c r="T136" i="27" s="1"/>
  <c r="T110" i="27"/>
  <c r="T137" i="27" s="1"/>
  <c r="S141" i="27"/>
  <c r="S378" i="27"/>
  <c r="U172" i="27"/>
  <c r="U173" i="27"/>
  <c r="U174" i="27"/>
  <c r="V156" i="27"/>
  <c r="S140" i="27"/>
  <c r="S377" i="27"/>
  <c r="S142" i="27"/>
  <c r="T70" i="15" l="1"/>
  <c r="V71" i="15"/>
  <c r="V80" i="15"/>
  <c r="U110" i="27"/>
  <c r="U137" i="27" s="1"/>
  <c r="U109" i="27"/>
  <c r="U136" i="27" s="1"/>
  <c r="V173" i="27"/>
  <c r="V172" i="27"/>
  <c r="W156" i="27"/>
  <c r="V174" i="27"/>
  <c r="T141" i="27"/>
  <c r="T378" i="27"/>
  <c r="T142" i="27"/>
  <c r="T377" i="27"/>
  <c r="T140" i="27"/>
  <c r="U70" i="15" l="1"/>
  <c r="W71" i="15"/>
  <c r="W80" i="15"/>
  <c r="V110" i="27"/>
  <c r="V137" i="27" s="1"/>
  <c r="V109" i="27"/>
  <c r="V136" i="27" s="1"/>
  <c r="V70" i="15" s="1"/>
  <c r="W174" i="27"/>
  <c r="W172" i="27"/>
  <c r="W173" i="27"/>
  <c r="X156" i="27"/>
  <c r="U141" i="27"/>
  <c r="U378" i="27"/>
  <c r="U140" i="27"/>
  <c r="U377" i="27"/>
  <c r="U142" i="27"/>
  <c r="X80" i="15" l="1"/>
  <c r="X71" i="15"/>
  <c r="W109" i="27"/>
  <c r="W136" i="27" s="1"/>
  <c r="W110" i="27"/>
  <c r="W137" i="27" s="1"/>
  <c r="X174" i="27"/>
  <c r="X173" i="27"/>
  <c r="X172" i="27"/>
  <c r="Y156" i="27"/>
  <c r="V377" i="27"/>
  <c r="V140" i="27"/>
  <c r="V142" i="27"/>
  <c r="V378" i="27"/>
  <c r="V141" i="27"/>
  <c r="Y80" i="15" l="1"/>
  <c r="Y71" i="15"/>
  <c r="W70" i="15"/>
  <c r="X109" i="27"/>
  <c r="X136" i="27" s="1"/>
  <c r="X110" i="27"/>
  <c r="X137" i="27" s="1"/>
  <c r="Z156" i="27"/>
  <c r="Y174" i="27"/>
  <c r="Y172" i="27"/>
  <c r="Y173" i="27"/>
  <c r="W142" i="27"/>
  <c r="W140" i="27"/>
  <c r="W377" i="27"/>
  <c r="W141" i="27"/>
  <c r="W378" i="27"/>
  <c r="Z80" i="15" l="1"/>
  <c r="Z71" i="15"/>
  <c r="X70" i="15"/>
  <c r="Y110" i="27"/>
  <c r="Y137" i="27" s="1"/>
  <c r="Y109" i="27"/>
  <c r="Y136" i="27" s="1"/>
  <c r="Y70" i="15" s="1"/>
  <c r="X140" i="27"/>
  <c r="X142" i="27"/>
  <c r="X377" i="27"/>
  <c r="X141" i="27"/>
  <c r="X378" i="27"/>
  <c r="Z172" i="27"/>
  <c r="AA156" i="27"/>
  <c r="Z174" i="27"/>
  <c r="Z173" i="27"/>
  <c r="AA80" i="15" l="1"/>
  <c r="AA71" i="15"/>
  <c r="Z109" i="27"/>
  <c r="Z136" i="27" s="1"/>
  <c r="Z110" i="27"/>
  <c r="Z137" i="27" s="1"/>
  <c r="AA173" i="27"/>
  <c r="AA172" i="27"/>
  <c r="AA174" i="27"/>
  <c r="AB156" i="27"/>
  <c r="Y140" i="27"/>
  <c r="Y142" i="27"/>
  <c r="Y377" i="27"/>
  <c r="Y141" i="27"/>
  <c r="Y378" i="27"/>
  <c r="AB80" i="15" l="1"/>
  <c r="AB71" i="15"/>
  <c r="Z70" i="15"/>
  <c r="AA109" i="27"/>
  <c r="AA136" i="27" s="1"/>
  <c r="AA110" i="27"/>
  <c r="AA137" i="27" s="1"/>
  <c r="Z377" i="27"/>
  <c r="Z142" i="27"/>
  <c r="Z140" i="27"/>
  <c r="AC156" i="27"/>
  <c r="AB172" i="27"/>
  <c r="AB174" i="27"/>
  <c r="AB173" i="27"/>
  <c r="Z378" i="27"/>
  <c r="Z141" i="27"/>
  <c r="AC80" i="15" l="1"/>
  <c r="AC71" i="15"/>
  <c r="AA70" i="15"/>
  <c r="AB110" i="27"/>
  <c r="AB137" i="27" s="1"/>
  <c r="AB109" i="27"/>
  <c r="AB136" i="27" s="1"/>
  <c r="AB70" i="15" s="1"/>
  <c r="AA378" i="27"/>
  <c r="AA141" i="27"/>
  <c r="AD156" i="27"/>
  <c r="AC172" i="27"/>
  <c r="AC174" i="27"/>
  <c r="AC173" i="27"/>
  <c r="AA140" i="27"/>
  <c r="AA142" i="27"/>
  <c r="AA377" i="27"/>
  <c r="AD71" i="15" l="1"/>
  <c r="AD80" i="15"/>
  <c r="AC110" i="27"/>
  <c r="AC137" i="27" s="1"/>
  <c r="AC109" i="27"/>
  <c r="AC136" i="27" s="1"/>
  <c r="AC70" i="15" s="1"/>
  <c r="AD172" i="27"/>
  <c r="AD174" i="27"/>
  <c r="AD173" i="27"/>
  <c r="AE156" i="27"/>
  <c r="AB378" i="27"/>
  <c r="AB141" i="27"/>
  <c r="AB140" i="27"/>
  <c r="AB142" i="27"/>
  <c r="AB377" i="27"/>
  <c r="AE71" i="15" l="1"/>
  <c r="AE80" i="15"/>
  <c r="AD110" i="27"/>
  <c r="AD137" i="27" s="1"/>
  <c r="AD109" i="27"/>
  <c r="AD136" i="27" s="1"/>
  <c r="AD70" i="15" s="1"/>
  <c r="AC142" i="27"/>
  <c r="AC377" i="27"/>
  <c r="AC140" i="27"/>
  <c r="AE172" i="27"/>
  <c r="AE173" i="27"/>
  <c r="AF156" i="27"/>
  <c r="AE174" i="27"/>
  <c r="AC378" i="27"/>
  <c r="AC141" i="27"/>
  <c r="AF71" i="15" l="1"/>
  <c r="AF80" i="15"/>
  <c r="AE110" i="27"/>
  <c r="AE137" i="27" s="1"/>
  <c r="AE109" i="27"/>
  <c r="AE136" i="27" s="1"/>
  <c r="AE70" i="15" s="1"/>
  <c r="AD141" i="27"/>
  <c r="AD378" i="27"/>
  <c r="AD142" i="27"/>
  <c r="AD140" i="27"/>
  <c r="AD377" i="27"/>
  <c r="AG156" i="27"/>
  <c r="AF174" i="27"/>
  <c r="AF173" i="27"/>
  <c r="AF172" i="27"/>
  <c r="AG71" i="15" l="1"/>
  <c r="AG80" i="15"/>
  <c r="AF109" i="27"/>
  <c r="AF136" i="27" s="1"/>
  <c r="AF110" i="27"/>
  <c r="AF137" i="27" s="1"/>
  <c r="AE141" i="27"/>
  <c r="AE378" i="27"/>
  <c r="AH156" i="27"/>
  <c r="AG174" i="27"/>
  <c r="AG173" i="27"/>
  <c r="AG172" i="27"/>
  <c r="AE377" i="27"/>
  <c r="AE140" i="27"/>
  <c r="AE142" i="27"/>
  <c r="AH71" i="15" l="1"/>
  <c r="AH80" i="15"/>
  <c r="AF70" i="15"/>
  <c r="AG109" i="27"/>
  <c r="AG136" i="27" s="1"/>
  <c r="AG110" i="27"/>
  <c r="AG137" i="27" s="1"/>
  <c r="AH174" i="27"/>
  <c r="AH172" i="27"/>
  <c r="AI156" i="27"/>
  <c r="AH173" i="27"/>
  <c r="AF140" i="27"/>
  <c r="AF142" i="27"/>
  <c r="AF377" i="27"/>
  <c r="AF378" i="27"/>
  <c r="AF141" i="27"/>
  <c r="AG70" i="15" l="1"/>
  <c r="AI80" i="15"/>
  <c r="AI71" i="15"/>
  <c r="AH110" i="27"/>
  <c r="AH137" i="27" s="1"/>
  <c r="AH109" i="27"/>
  <c r="AH136" i="27" s="1"/>
  <c r="AJ156" i="27"/>
  <c r="AI173" i="27"/>
  <c r="AI172" i="27"/>
  <c r="AI174" i="27"/>
  <c r="AG377" i="27"/>
  <c r="AG142" i="27"/>
  <c r="AG140" i="27"/>
  <c r="AG141" i="27"/>
  <c r="AG378" i="27"/>
  <c r="AJ174" i="27" l="1"/>
  <c r="AJ80" i="15"/>
  <c r="AJ71" i="15"/>
  <c r="AH70" i="15"/>
  <c r="AI110" i="27"/>
  <c r="AI137" i="27" s="1"/>
  <c r="AI109" i="27"/>
  <c r="AI136" i="27" s="1"/>
  <c r="AI70" i="15" s="1"/>
  <c r="AJ173" i="27"/>
  <c r="AJ172" i="27"/>
  <c r="AK156" i="27"/>
  <c r="AH378" i="27"/>
  <c r="AH141" i="27"/>
  <c r="AH377" i="27"/>
  <c r="AH142" i="27"/>
  <c r="AH140" i="27"/>
  <c r="AK174" i="27" l="1"/>
  <c r="AK80" i="15"/>
  <c r="AK71" i="15"/>
  <c r="AJ110" i="27"/>
  <c r="AJ137" i="27" s="1"/>
  <c r="AJ109" i="27"/>
  <c r="AJ136" i="27" s="1"/>
  <c r="AJ70" i="15" s="1"/>
  <c r="AK172" i="27"/>
  <c r="AK173" i="27"/>
  <c r="AI378" i="27"/>
  <c r="AI141" i="27"/>
  <c r="AI140" i="27"/>
  <c r="AI142" i="27"/>
  <c r="AI377" i="27"/>
  <c r="AL156" i="27"/>
  <c r="AL80" i="15" l="1"/>
  <c r="AL71" i="15"/>
  <c r="AK109" i="27"/>
  <c r="AK136" i="27" s="1"/>
  <c r="AK110" i="27"/>
  <c r="AK137" i="27" s="1"/>
  <c r="AJ377" i="27"/>
  <c r="AJ140" i="27"/>
  <c r="AJ378" i="27"/>
  <c r="AJ142" i="27"/>
  <c r="AJ141" i="27"/>
  <c r="AL173" i="27"/>
  <c r="AM156" i="27"/>
  <c r="AL172" i="27"/>
  <c r="AL174" i="27"/>
  <c r="AM80" i="15" l="1"/>
  <c r="AM71" i="15"/>
  <c r="AK70" i="15"/>
  <c r="AL109" i="27"/>
  <c r="AL136" i="27" s="1"/>
  <c r="AL110" i="27"/>
  <c r="AL137" i="27" s="1"/>
  <c r="AK378" i="27"/>
  <c r="AK141" i="27"/>
  <c r="AK377" i="27"/>
  <c r="AK140" i="27"/>
  <c r="AK142" i="27"/>
  <c r="AM174" i="27"/>
  <c r="AM172" i="27"/>
  <c r="AN156" i="27"/>
  <c r="AM173" i="27"/>
  <c r="AL70" i="15" l="1"/>
  <c r="AN71" i="15"/>
  <c r="AN80" i="15"/>
  <c r="AM110" i="27"/>
  <c r="AM137" i="27" s="1"/>
  <c r="AM109" i="27"/>
  <c r="AM136" i="27" s="1"/>
  <c r="AM70" i="15" s="1"/>
  <c r="AL142" i="27"/>
  <c r="AL140" i="27"/>
  <c r="AL377" i="27"/>
  <c r="AO156" i="27"/>
  <c r="AN173" i="27"/>
  <c r="AN174" i="27"/>
  <c r="AN172" i="27"/>
  <c r="AL141" i="27"/>
  <c r="AL378" i="27"/>
  <c r="AO71" i="15" l="1"/>
  <c r="AO80" i="15"/>
  <c r="AN109" i="27"/>
  <c r="AN136" i="27" s="1"/>
  <c r="AN70" i="15" s="1"/>
  <c r="AN110" i="27"/>
  <c r="AN137" i="27" s="1"/>
  <c r="AO172" i="27"/>
  <c r="AO174" i="27"/>
  <c r="AP156" i="27"/>
  <c r="AO173" i="27"/>
  <c r="AM377" i="27"/>
  <c r="AM140" i="27"/>
  <c r="AM142" i="27"/>
  <c r="AM378" i="27"/>
  <c r="AM141" i="27"/>
  <c r="AP71" i="15" l="1"/>
  <c r="AP80" i="15"/>
  <c r="AO110" i="27"/>
  <c r="AO137" i="27" s="1"/>
  <c r="AO109" i="27"/>
  <c r="AO136" i="27" s="1"/>
  <c r="AN378" i="27"/>
  <c r="AN141" i="27"/>
  <c r="AQ156" i="27"/>
  <c r="AP174" i="27"/>
  <c r="AP173" i="27"/>
  <c r="AP172" i="27"/>
  <c r="AN140" i="27"/>
  <c r="AN377" i="27"/>
  <c r="AN142" i="27"/>
  <c r="AO70" i="15" l="1"/>
  <c r="AQ80" i="15"/>
  <c r="AQ71" i="15"/>
  <c r="AP110" i="27"/>
  <c r="AP137" i="27" s="1"/>
  <c r="AP109" i="27"/>
  <c r="AP136" i="27" s="1"/>
  <c r="AP70" i="15" s="1"/>
  <c r="AO377" i="27"/>
  <c r="AO142" i="27"/>
  <c r="AO140" i="27"/>
  <c r="AO378" i="27"/>
  <c r="AO141" i="27"/>
  <c r="AR156" i="27"/>
  <c r="AQ172" i="27"/>
  <c r="AQ174" i="27"/>
  <c r="AQ173" i="27"/>
  <c r="AR80" i="15" l="1"/>
  <c r="AR71" i="15"/>
  <c r="AQ109" i="27"/>
  <c r="AQ136" i="27" s="1"/>
  <c r="AQ110" i="27"/>
  <c r="AQ137" i="27" s="1"/>
  <c r="AP378" i="27"/>
  <c r="AP141" i="27"/>
  <c r="AR174" i="27"/>
  <c r="AR173" i="27"/>
  <c r="AS156" i="27"/>
  <c r="AR172" i="27"/>
  <c r="AP377" i="27"/>
  <c r="AP142" i="27"/>
  <c r="AP140" i="27"/>
  <c r="AQ70" i="15" l="1"/>
  <c r="AS80" i="15"/>
  <c r="AS71" i="15"/>
  <c r="AR110" i="27"/>
  <c r="AR137" i="27" s="1"/>
  <c r="AR109" i="27"/>
  <c r="AR136" i="27" s="1"/>
  <c r="AR70" i="15" s="1"/>
  <c r="AQ140" i="27"/>
  <c r="AQ377" i="27"/>
  <c r="AQ142" i="27"/>
  <c r="AQ141" i="27"/>
  <c r="AQ378" i="27"/>
  <c r="AT156" i="27"/>
  <c r="AS172" i="27"/>
  <c r="AS174" i="27"/>
  <c r="AS173" i="27"/>
  <c r="AT71" i="15" l="1"/>
  <c r="AT80" i="15"/>
  <c r="AS110" i="27"/>
  <c r="AS137" i="27" s="1"/>
  <c r="AS109" i="27"/>
  <c r="AS136" i="27" s="1"/>
  <c r="AS70" i="15" s="1"/>
  <c r="AR141" i="27"/>
  <c r="AR378" i="27"/>
  <c r="AU156" i="27"/>
  <c r="AT174" i="27"/>
  <c r="AT172" i="27"/>
  <c r="AT173" i="27"/>
  <c r="AR142" i="27"/>
  <c r="AR377" i="27"/>
  <c r="AR140" i="27"/>
  <c r="AU71" i="15" l="1"/>
  <c r="AU80" i="15"/>
  <c r="AT109" i="27"/>
  <c r="AT136" i="27" s="1"/>
  <c r="AT110" i="27"/>
  <c r="AT137" i="27" s="1"/>
  <c r="AU172" i="27"/>
  <c r="AV156" i="27"/>
  <c r="AU174" i="27"/>
  <c r="AU173" i="27"/>
  <c r="AS378" i="27"/>
  <c r="AS141" i="27"/>
  <c r="AS142" i="27"/>
  <c r="AS140" i="27"/>
  <c r="AS377" i="27"/>
  <c r="AT70" i="15" l="1"/>
  <c r="AV71" i="15"/>
  <c r="AV80" i="15"/>
  <c r="AU109" i="27"/>
  <c r="AU136" i="27" s="1"/>
  <c r="AU70" i="15" s="1"/>
  <c r="AU110" i="27"/>
  <c r="AU137" i="27" s="1"/>
  <c r="AT378" i="27"/>
  <c r="AT141" i="27"/>
  <c r="AT142" i="27"/>
  <c r="AT377" i="27"/>
  <c r="AT140" i="27"/>
  <c r="AV174" i="27"/>
  <c r="AW156" i="27"/>
  <c r="AV172" i="27"/>
  <c r="AV173" i="27"/>
  <c r="AW71" i="15" l="1"/>
  <c r="AW80" i="15"/>
  <c r="AV110" i="27"/>
  <c r="AV137" i="27" s="1"/>
  <c r="AV109" i="27"/>
  <c r="AV136" i="27" s="1"/>
  <c r="AV70" i="15" s="1"/>
  <c r="AW174" i="27"/>
  <c r="AW173" i="27"/>
  <c r="AW172" i="27"/>
  <c r="AX156" i="27"/>
  <c r="AU140" i="27"/>
  <c r="AU377" i="27"/>
  <c r="AU142" i="27"/>
  <c r="AU378" i="27"/>
  <c r="AU141" i="27"/>
  <c r="AX71" i="15" l="1"/>
  <c r="AX80" i="15"/>
  <c r="AW109" i="27"/>
  <c r="AW136" i="27" s="1"/>
  <c r="AW70" i="15" s="1"/>
  <c r="AW110" i="27"/>
  <c r="AW137" i="27" s="1"/>
  <c r="AX174" i="27"/>
  <c r="AY156" i="27"/>
  <c r="AX172" i="27"/>
  <c r="AX173" i="27"/>
  <c r="AV377" i="27"/>
  <c r="AV140" i="27"/>
  <c r="AV142" i="27"/>
  <c r="AV141" i="27"/>
  <c r="AV378" i="27"/>
  <c r="AY80" i="15" l="1"/>
  <c r="AY71" i="15"/>
  <c r="AX109" i="27"/>
  <c r="AX136" i="27" s="1"/>
  <c r="AX70" i="15" s="1"/>
  <c r="AX110" i="27"/>
  <c r="AX137" i="27" s="1"/>
  <c r="AY173" i="27"/>
  <c r="AY174" i="27"/>
  <c r="AZ156" i="27"/>
  <c r="AY172" i="27"/>
  <c r="AW142" i="27"/>
  <c r="AW377" i="27"/>
  <c r="AW140" i="27"/>
  <c r="AW378" i="27"/>
  <c r="AW141" i="27"/>
  <c r="AZ80" i="15" l="1"/>
  <c r="AZ71" i="15"/>
  <c r="AY109" i="27"/>
  <c r="AY136" i="27" s="1"/>
  <c r="AY110" i="27"/>
  <c r="AY137" i="27" s="1"/>
  <c r="BA156" i="27"/>
  <c r="AZ174" i="27"/>
  <c r="AZ173" i="27"/>
  <c r="AZ172" i="27"/>
  <c r="AX377" i="27"/>
  <c r="AX140" i="27"/>
  <c r="AX142" i="27"/>
  <c r="AX378" i="27"/>
  <c r="AX141" i="27"/>
  <c r="BA80" i="15" l="1"/>
  <c r="BA71" i="15"/>
  <c r="AY70" i="15"/>
  <c r="AZ109" i="27"/>
  <c r="AZ136" i="27" s="1"/>
  <c r="AZ110" i="27"/>
  <c r="AZ137" i="27" s="1"/>
  <c r="AY378" i="27"/>
  <c r="AY141" i="27"/>
  <c r="AY140" i="27"/>
  <c r="AY142" i="27"/>
  <c r="AY377" i="27"/>
  <c r="BA172" i="27"/>
  <c r="BA174" i="27"/>
  <c r="BB156" i="27"/>
  <c r="BA173" i="27"/>
  <c r="BB80" i="15" l="1"/>
  <c r="BB71" i="15"/>
  <c r="AZ70" i="15"/>
  <c r="BA109" i="27"/>
  <c r="BA136" i="27" s="1"/>
  <c r="BA110" i="27"/>
  <c r="BA137" i="27" s="1"/>
  <c r="AZ142" i="27"/>
  <c r="AZ140" i="27"/>
  <c r="AZ377" i="27"/>
  <c r="AZ141" i="27"/>
  <c r="AZ378" i="27"/>
  <c r="BB174" i="27"/>
  <c r="BB173" i="27"/>
  <c r="BC156" i="27"/>
  <c r="BB172" i="27"/>
  <c r="BC80" i="15" l="1"/>
  <c r="BC71" i="15"/>
  <c r="BA70" i="15"/>
  <c r="BB110" i="27"/>
  <c r="BB137" i="27" s="1"/>
  <c r="BB109" i="27"/>
  <c r="BB136" i="27" s="1"/>
  <c r="BB70" i="15" s="1"/>
  <c r="BA377" i="27"/>
  <c r="BA142" i="27"/>
  <c r="BA140" i="27"/>
  <c r="BC174" i="27"/>
  <c r="BC173" i="27"/>
  <c r="BD156" i="27"/>
  <c r="BC172" i="27"/>
  <c r="BA141" i="27"/>
  <c r="BA378" i="27"/>
  <c r="BD71" i="15" l="1"/>
  <c r="BD80" i="15"/>
  <c r="BC109" i="27"/>
  <c r="BC136" i="27" s="1"/>
  <c r="BC70" i="15" s="1"/>
  <c r="BC110" i="27"/>
  <c r="BC137" i="27" s="1"/>
  <c r="BB141" i="27"/>
  <c r="BB378" i="27"/>
  <c r="BB377" i="27"/>
  <c r="BB142" i="27"/>
  <c r="BB140" i="27"/>
  <c r="BD173" i="27"/>
  <c r="BD172" i="27"/>
  <c r="BE156" i="27"/>
  <c r="BD174" i="27"/>
  <c r="BE71" i="15" l="1"/>
  <c r="BE80" i="15"/>
  <c r="BD110" i="27"/>
  <c r="BD137" i="27" s="1"/>
  <c r="BD109" i="27"/>
  <c r="BD136" i="27" s="1"/>
  <c r="BE174" i="27"/>
  <c r="BE173" i="27"/>
  <c r="BE172" i="27"/>
  <c r="BF156" i="27"/>
  <c r="BC141" i="27"/>
  <c r="BC378" i="27"/>
  <c r="BC377" i="27"/>
  <c r="BC140" i="27"/>
  <c r="BC142" i="27"/>
  <c r="BF71" i="15" l="1"/>
  <c r="BF80" i="15"/>
  <c r="BD70" i="15"/>
  <c r="BE110" i="27"/>
  <c r="BE137" i="27" s="1"/>
  <c r="BE109" i="27"/>
  <c r="BE136" i="27" s="1"/>
  <c r="BG156" i="27"/>
  <c r="BF173" i="27"/>
  <c r="BF174" i="27"/>
  <c r="BF172" i="27"/>
  <c r="BD378" i="27"/>
  <c r="BD141" i="27"/>
  <c r="BD140" i="27"/>
  <c r="BD142" i="27"/>
  <c r="BD377" i="27"/>
  <c r="BG80" i="15" l="1"/>
  <c r="BG71" i="15"/>
  <c r="BE70" i="15"/>
  <c r="BF109" i="27"/>
  <c r="BF136" i="27" s="1"/>
  <c r="BF110" i="27"/>
  <c r="BF137" i="27" s="1"/>
  <c r="BE377" i="27"/>
  <c r="BE142" i="27"/>
  <c r="BE140" i="27"/>
  <c r="BE378" i="27"/>
  <c r="BE141" i="27"/>
  <c r="BH156" i="27"/>
  <c r="BG174" i="27"/>
  <c r="BG173" i="27"/>
  <c r="BG172" i="27"/>
  <c r="BF70" i="15" l="1"/>
  <c r="BH80" i="15"/>
  <c r="BH71" i="15"/>
  <c r="BG110" i="27"/>
  <c r="BG137" i="27" s="1"/>
  <c r="BG109" i="27"/>
  <c r="BG136" i="27" s="1"/>
  <c r="BG70" i="15" s="1"/>
  <c r="BF377" i="27"/>
  <c r="BF140" i="27"/>
  <c r="BF142" i="27"/>
  <c r="BI156" i="27"/>
  <c r="BH174" i="27"/>
  <c r="BH173" i="27"/>
  <c r="BH172" i="27"/>
  <c r="BF378" i="27"/>
  <c r="BF141" i="27"/>
  <c r="BI80" i="15" l="1"/>
  <c r="BI71" i="15"/>
  <c r="BH110" i="27"/>
  <c r="BH137" i="27" s="1"/>
  <c r="BH109" i="27"/>
  <c r="BH136" i="27" s="1"/>
  <c r="BJ156" i="27"/>
  <c r="BI172" i="27"/>
  <c r="BI174" i="27"/>
  <c r="BI173" i="27"/>
  <c r="BG141" i="27"/>
  <c r="BG378" i="27"/>
  <c r="BG142" i="27"/>
  <c r="BG140" i="27"/>
  <c r="BG377" i="27"/>
  <c r="BH70" i="15" l="1"/>
  <c r="BJ80" i="15"/>
  <c r="BJ71" i="15"/>
  <c r="BI109" i="27"/>
  <c r="BI136" i="27" s="1"/>
  <c r="BI110" i="27"/>
  <c r="BI137" i="27" s="1"/>
  <c r="BH141" i="27"/>
  <c r="BH378" i="27"/>
  <c r="BH142" i="27"/>
  <c r="BH377" i="27"/>
  <c r="BH140" i="27"/>
  <c r="BK156" i="27"/>
  <c r="BJ174" i="27"/>
  <c r="BJ172" i="27"/>
  <c r="BJ173" i="27"/>
  <c r="BI70" i="15" l="1"/>
  <c r="BK71" i="15"/>
  <c r="BK80" i="15"/>
  <c r="BJ109" i="27"/>
  <c r="BJ136" i="27" s="1"/>
  <c r="BJ110" i="27"/>
  <c r="BJ137" i="27" s="1"/>
  <c r="BI140" i="27"/>
  <c r="BI377" i="27"/>
  <c r="BI142" i="27"/>
  <c r="BI141" i="27"/>
  <c r="BI378" i="27"/>
  <c r="BK172" i="27"/>
  <c r="BK174" i="27"/>
  <c r="BK173" i="27"/>
  <c r="BL156" i="27"/>
  <c r="BJ70" i="15" l="1"/>
  <c r="BL71" i="15"/>
  <c r="BL80" i="15"/>
  <c r="BK110" i="27"/>
  <c r="BK137" i="27" s="1"/>
  <c r="BK109" i="27"/>
  <c r="BK136" i="27" s="1"/>
  <c r="BK70" i="15" s="1"/>
  <c r="BJ377" i="27"/>
  <c r="BJ142" i="27"/>
  <c r="BJ140" i="27"/>
  <c r="BJ378" i="27"/>
  <c r="BJ141" i="27"/>
  <c r="BL173" i="27"/>
  <c r="BL174" i="27"/>
  <c r="BM156" i="27"/>
  <c r="BL172" i="27"/>
  <c r="BM71" i="15" l="1"/>
  <c r="BM80" i="15"/>
  <c r="BL109" i="27"/>
  <c r="BL136" i="27" s="1"/>
  <c r="BL110" i="27"/>
  <c r="BL137" i="27" s="1"/>
  <c r="BK142" i="27"/>
  <c r="BK377" i="27"/>
  <c r="BK140" i="27"/>
  <c r="BK141" i="27"/>
  <c r="BK378" i="27"/>
  <c r="BM174" i="27"/>
  <c r="BM172" i="27"/>
  <c r="BN156" i="27"/>
  <c r="BM173" i="27"/>
  <c r="BN71" i="15" l="1"/>
  <c r="BN80" i="15"/>
  <c r="BL70" i="15"/>
  <c r="BM109" i="27"/>
  <c r="BM136" i="27" s="1"/>
  <c r="BM110" i="27"/>
  <c r="BM137" i="27" s="1"/>
  <c r="BL140" i="27"/>
  <c r="BL377" i="27"/>
  <c r="BL142" i="27"/>
  <c r="BN172" i="27"/>
  <c r="BN173" i="27"/>
  <c r="BO156" i="27"/>
  <c r="BN174" i="27"/>
  <c r="BL378" i="27"/>
  <c r="BL141" i="27"/>
  <c r="BM70" i="15" l="1"/>
  <c r="BO80" i="15"/>
  <c r="BO71" i="15"/>
  <c r="BN109" i="27"/>
  <c r="BN136" i="27" s="1"/>
  <c r="BN110" i="27"/>
  <c r="BN137" i="27" s="1"/>
  <c r="BO173" i="27"/>
  <c r="BO174" i="27"/>
  <c r="BP156" i="27"/>
  <c r="BO172" i="27"/>
  <c r="BM142" i="27"/>
  <c r="BM140" i="27"/>
  <c r="BM377" i="27"/>
  <c r="BM378" i="27"/>
  <c r="BM141" i="27"/>
  <c r="BN70" i="15" l="1"/>
  <c r="BP80" i="15"/>
  <c r="BP71" i="15"/>
  <c r="BO109" i="27"/>
  <c r="BO136" i="27" s="1"/>
  <c r="BO110" i="27"/>
  <c r="BO137" i="27" s="1"/>
  <c r="BP166" i="27"/>
  <c r="BP174" i="27"/>
  <c r="BP172" i="27"/>
  <c r="BP173" i="27"/>
  <c r="BQ156" i="27"/>
  <c r="BN140" i="27"/>
  <c r="BN142" i="27"/>
  <c r="BN377" i="27"/>
  <c r="BN141" i="27"/>
  <c r="BN378" i="27"/>
  <c r="BQ80" i="15" l="1"/>
  <c r="BQ71" i="15"/>
  <c r="BO70" i="15"/>
  <c r="BP152" i="27"/>
  <c r="BQ166" i="27"/>
  <c r="BQ174" i="27"/>
  <c r="BQ172" i="27"/>
  <c r="BR156" i="27"/>
  <c r="BQ173" i="27"/>
  <c r="BO378" i="27"/>
  <c r="BO141" i="27"/>
  <c r="BO140" i="27"/>
  <c r="BO377" i="27"/>
  <c r="BO142" i="27"/>
  <c r="BR71" i="15" l="1"/>
  <c r="BR80" i="15"/>
  <c r="BQ152" i="27"/>
  <c r="BR174" i="27"/>
  <c r="BR172" i="27"/>
  <c r="BR173" i="27"/>
  <c r="BS156" i="27"/>
  <c r="BR166" i="27"/>
  <c r="BS80" i="15" l="1"/>
  <c r="BS71" i="15"/>
  <c r="BR152" i="27"/>
  <c r="BT156" i="27"/>
  <c r="BS174" i="27"/>
  <c r="BS172" i="27"/>
  <c r="BS166" i="27"/>
  <c r="BS173" i="27"/>
  <c r="BT71" i="15" l="1"/>
  <c r="BT80" i="15"/>
  <c r="BS152" i="27"/>
  <c r="BT174" i="27"/>
  <c r="BT173" i="27"/>
  <c r="BT166" i="27"/>
  <c r="BT172" i="27"/>
  <c r="BU156" i="27"/>
  <c r="BU71" i="15" l="1"/>
  <c r="BU80" i="15"/>
  <c r="BT152" i="27"/>
  <c r="BU172" i="27"/>
  <c r="BU173" i="27"/>
  <c r="BU174" i="27"/>
  <c r="BU166" i="27"/>
  <c r="BV156" i="27"/>
  <c r="BV71" i="15" l="1"/>
  <c r="BV80" i="15"/>
  <c r="BU152" i="27"/>
  <c r="BV173" i="27"/>
  <c r="BV166" i="27"/>
  <c r="BW156" i="27"/>
  <c r="BV172" i="27"/>
  <c r="BV174" i="27"/>
  <c r="BW80" i="15" l="1"/>
  <c r="BW71" i="15"/>
  <c r="BV152" i="27"/>
  <c r="BW172" i="27"/>
  <c r="BX156" i="27"/>
  <c r="BW174" i="27"/>
  <c r="BW173" i="27"/>
  <c r="BW166" i="27"/>
  <c r="J66" i="27"/>
  <c r="J58" i="15" s="1"/>
  <c r="BX80" i="15" l="1"/>
  <c r="BX71" i="15"/>
  <c r="BW152" i="27"/>
  <c r="BJ133" i="27"/>
  <c r="N133" i="27"/>
  <c r="AS133" i="27"/>
  <c r="AS72" i="15" s="1"/>
  <c r="BH133" i="27"/>
  <c r="BH72" i="15" s="1"/>
  <c r="AZ133" i="27"/>
  <c r="AZ72" i="15" s="1"/>
  <c r="AR133" i="27"/>
  <c r="AJ133" i="27"/>
  <c r="AB133" i="27"/>
  <c r="T133" i="27"/>
  <c r="L133" i="27"/>
  <c r="AD133" i="27"/>
  <c r="BI133" i="27"/>
  <c r="M133" i="27"/>
  <c r="BO133" i="27"/>
  <c r="BG133" i="27"/>
  <c r="AY133" i="27"/>
  <c r="AQ133" i="27"/>
  <c r="AI133" i="27"/>
  <c r="AI72" i="15" s="1"/>
  <c r="AA133" i="27"/>
  <c r="AA72" i="15" s="1"/>
  <c r="S133" i="27"/>
  <c r="S72" i="15" s="1"/>
  <c r="K133" i="27"/>
  <c r="BB133" i="27"/>
  <c r="AK133" i="27"/>
  <c r="BN133" i="27"/>
  <c r="BF133" i="27"/>
  <c r="AX133" i="27"/>
  <c r="AP133" i="27"/>
  <c r="AP72" i="15" s="1"/>
  <c r="AH133" i="27"/>
  <c r="AH72" i="15" s="1"/>
  <c r="Z133" i="27"/>
  <c r="Z72" i="15" s="1"/>
  <c r="R133" i="27"/>
  <c r="J133" i="27"/>
  <c r="AL133" i="27"/>
  <c r="AC133" i="27"/>
  <c r="AC72" i="15" s="1"/>
  <c r="BM133" i="27"/>
  <c r="BE133" i="27"/>
  <c r="AW133" i="27"/>
  <c r="AO133" i="27"/>
  <c r="AG133" i="27"/>
  <c r="Y133" i="27"/>
  <c r="Q133" i="27"/>
  <c r="I133" i="27"/>
  <c r="BX173" i="27"/>
  <c r="BX174" i="27"/>
  <c r="BY156" i="27"/>
  <c r="BX166" i="27"/>
  <c r="BX172" i="27"/>
  <c r="V133" i="27"/>
  <c r="BA133" i="27"/>
  <c r="BL133" i="27"/>
  <c r="BD133" i="27"/>
  <c r="AV133" i="27"/>
  <c r="AN133" i="27"/>
  <c r="AF133" i="27"/>
  <c r="AF72" i="15" s="1"/>
  <c r="X133" i="27"/>
  <c r="P133" i="27"/>
  <c r="J84" i="27"/>
  <c r="J82" i="27"/>
  <c r="J83" i="27"/>
  <c r="K66" i="27"/>
  <c r="K58" i="15" s="1"/>
  <c r="AT133" i="27"/>
  <c r="U133" i="27"/>
  <c r="U72" i="15" s="1"/>
  <c r="BK133" i="27"/>
  <c r="BC133" i="27"/>
  <c r="AU133" i="27"/>
  <c r="AM133" i="27"/>
  <c r="AE133" i="27"/>
  <c r="AE72" i="15" s="1"/>
  <c r="W133" i="27"/>
  <c r="O133" i="27"/>
  <c r="AX135" i="27"/>
  <c r="AP135" i="27"/>
  <c r="AH135" i="27"/>
  <c r="Z135" i="27"/>
  <c r="AS135" i="27"/>
  <c r="U135" i="27"/>
  <c r="AZ135" i="27"/>
  <c r="T135" i="27"/>
  <c r="BG135" i="27"/>
  <c r="AY135" i="27"/>
  <c r="AI135" i="27"/>
  <c r="S135" i="27"/>
  <c r="AO135" i="27"/>
  <c r="BL135" i="27"/>
  <c r="BD135" i="27"/>
  <c r="AN135" i="27"/>
  <c r="AF135" i="27"/>
  <c r="X135" i="27"/>
  <c r="AC135" i="27"/>
  <c r="BH135" i="27"/>
  <c r="AJ135" i="27"/>
  <c r="BM135" i="27"/>
  <c r="BE135" i="27"/>
  <c r="AW135" i="27"/>
  <c r="AU135" i="27"/>
  <c r="AM135" i="27"/>
  <c r="AE135" i="27"/>
  <c r="AR135" i="27"/>
  <c r="BO135" i="27"/>
  <c r="AA135" i="27"/>
  <c r="Y135" i="27"/>
  <c r="BJ135" i="27"/>
  <c r="AT135" i="27"/>
  <c r="AD135" i="27"/>
  <c r="V135" i="27"/>
  <c r="BN135" i="27"/>
  <c r="BI135" i="27"/>
  <c r="BC135" i="27"/>
  <c r="AK135" i="27"/>
  <c r="BB135" i="27"/>
  <c r="AO72" i="15" l="1"/>
  <c r="BI72" i="15"/>
  <c r="AD72" i="15"/>
  <c r="BE72" i="15"/>
  <c r="BD72" i="15"/>
  <c r="BJ72" i="15"/>
  <c r="AT72" i="15"/>
  <c r="AN72" i="15"/>
  <c r="BY80" i="15"/>
  <c r="BY71" i="15"/>
  <c r="AW72" i="15"/>
  <c r="AX72" i="15"/>
  <c r="AM72" i="15"/>
  <c r="BL72" i="15"/>
  <c r="T72" i="15"/>
  <c r="AU72" i="15"/>
  <c r="BN72" i="15"/>
  <c r="AY72" i="15"/>
  <c r="BC72" i="15"/>
  <c r="V72" i="15"/>
  <c r="Y72" i="15"/>
  <c r="AK72" i="15"/>
  <c r="BG72" i="15"/>
  <c r="AJ72" i="15"/>
  <c r="BM72" i="15"/>
  <c r="X72" i="15"/>
  <c r="BB72" i="15"/>
  <c r="BO72" i="15"/>
  <c r="AR72" i="15"/>
  <c r="AI175" i="27"/>
  <c r="AI74" i="15" s="1"/>
  <c r="BI175" i="27"/>
  <c r="BI74" i="15" s="1"/>
  <c r="V175" i="27"/>
  <c r="V74" i="15" s="1"/>
  <c r="AC175" i="27"/>
  <c r="AC74" i="15" s="1"/>
  <c r="AS175" i="27"/>
  <c r="AS74" i="15" s="1"/>
  <c r="AZ175" i="27"/>
  <c r="AZ74" i="15" s="1"/>
  <c r="BJ175" i="27"/>
  <c r="BJ74" i="15" s="1"/>
  <c r="T175" i="27"/>
  <c r="T74" i="15" s="1"/>
  <c r="AU175" i="27"/>
  <c r="AU74" i="15" s="1"/>
  <c r="AX175" i="27"/>
  <c r="AX74" i="15" s="1"/>
  <c r="BX152" i="27"/>
  <c r="BE175" i="27"/>
  <c r="BE74" i="15" s="1"/>
  <c r="BD175" i="27"/>
  <c r="BD74" i="15" s="1"/>
  <c r="AW175" i="27"/>
  <c r="AW74" i="15" s="1"/>
  <c r="AA175" i="27"/>
  <c r="AA74" i="15" s="1"/>
  <c r="BL175" i="27"/>
  <c r="BL74" i="15" s="1"/>
  <c r="BC175" i="27"/>
  <c r="BC74" i="15" s="1"/>
  <c r="BM175" i="27"/>
  <c r="BM74" i="15" s="1"/>
  <c r="AT175" i="27"/>
  <c r="AT74" i="15" s="1"/>
  <c r="AF175" i="27"/>
  <c r="AF74" i="15" s="1"/>
  <c r="BG175" i="27"/>
  <c r="BG74" i="15" s="1"/>
  <c r="S175" i="27"/>
  <c r="S74" i="15" s="1"/>
  <c r="AO175" i="27"/>
  <c r="AO74" i="15" s="1"/>
  <c r="BH175" i="27"/>
  <c r="BH74" i="15" s="1"/>
  <c r="AH175" i="27"/>
  <c r="AH74" i="15" s="1"/>
  <c r="AD175" i="27"/>
  <c r="AD74" i="15" s="1"/>
  <c r="AP175" i="27"/>
  <c r="AP74" i="15" s="1"/>
  <c r="BB175" i="27"/>
  <c r="BB74" i="15" s="1"/>
  <c r="Z175" i="27"/>
  <c r="Z74" i="15" s="1"/>
  <c r="AE175" i="27"/>
  <c r="AE74" i="15" s="1"/>
  <c r="AM175" i="27"/>
  <c r="AM74" i="15" s="1"/>
  <c r="AJ175" i="27"/>
  <c r="AJ74" i="15" s="1"/>
  <c r="AK175" i="27"/>
  <c r="AK74" i="15" s="1"/>
  <c r="BN175" i="27"/>
  <c r="BN74" i="15" s="1"/>
  <c r="Y175" i="27"/>
  <c r="Y74" i="15" s="1"/>
  <c r="AY175" i="27"/>
  <c r="AY74" i="15" s="1"/>
  <c r="AN175" i="27"/>
  <c r="AN74" i="15" s="1"/>
  <c r="BO175" i="27"/>
  <c r="BO74" i="15" s="1"/>
  <c r="AR175" i="27"/>
  <c r="AR74" i="15" s="1"/>
  <c r="U175" i="27"/>
  <c r="U74" i="15" s="1"/>
  <c r="X175" i="27"/>
  <c r="X74" i="15" s="1"/>
  <c r="AD370" i="27"/>
  <c r="AY89" i="27"/>
  <c r="AY91" i="27" s="1"/>
  <c r="AU49" i="27"/>
  <c r="AN370" i="27"/>
  <c r="AO370" i="27"/>
  <c r="AZ370" i="27"/>
  <c r="V49" i="27"/>
  <c r="Z370" i="27"/>
  <c r="AA370" i="27"/>
  <c r="BO370" i="27"/>
  <c r="BE49" i="27"/>
  <c r="AJ49" i="27"/>
  <c r="AE370" i="27"/>
  <c r="AK370" i="27"/>
  <c r="AR89" i="27"/>
  <c r="AR91" i="27" s="1"/>
  <c r="AM139" i="27"/>
  <c r="AM379" i="27"/>
  <c r="BI139" i="27"/>
  <c r="BI379" i="27"/>
  <c r="BH379" i="27"/>
  <c r="BH139" i="27"/>
  <c r="AT139" i="27"/>
  <c r="AT379" i="27"/>
  <c r="AF49" i="27"/>
  <c r="BD370" i="27"/>
  <c r="BD372" i="27" s="1"/>
  <c r="BD374" i="27" s="1"/>
  <c r="BL379" i="27"/>
  <c r="BL139" i="27"/>
  <c r="Y139" i="27"/>
  <c r="Y379" i="27"/>
  <c r="Z49" i="27"/>
  <c r="AX49" i="27"/>
  <c r="BN49" i="27"/>
  <c r="AK379" i="27"/>
  <c r="AK139" i="27"/>
  <c r="AA49" i="27"/>
  <c r="AI49" i="27"/>
  <c r="BG379" i="27"/>
  <c r="BG139" i="27"/>
  <c r="AJ379" i="27"/>
  <c r="AJ139" i="27"/>
  <c r="AS49" i="27"/>
  <c r="AX89" i="27"/>
  <c r="AX91" i="27" s="1"/>
  <c r="BC139" i="27"/>
  <c r="BC379" i="27"/>
  <c r="BM139" i="27"/>
  <c r="BM379" i="27"/>
  <c r="AE379" i="27"/>
  <c r="AE139" i="27"/>
  <c r="AU370" i="27"/>
  <c r="U49" i="27"/>
  <c r="BD49" i="27"/>
  <c r="V139" i="27"/>
  <c r="V379" i="27"/>
  <c r="AO379" i="27"/>
  <c r="AO139" i="27"/>
  <c r="Z379" i="27"/>
  <c r="Z139" i="27"/>
  <c r="AP49" i="27"/>
  <c r="AY370" i="27"/>
  <c r="AY372" i="27" s="1"/>
  <c r="AY374" i="27" s="1"/>
  <c r="BO49" i="27"/>
  <c r="AD49" i="27"/>
  <c r="T49" i="27"/>
  <c r="AZ139" i="27"/>
  <c r="AZ379" i="27"/>
  <c r="BJ49" i="27"/>
  <c r="BD89" i="27"/>
  <c r="BD91" i="27" s="1"/>
  <c r="AH379" i="27"/>
  <c r="AH139" i="27"/>
  <c r="AE89" i="27"/>
  <c r="AE91" i="27" s="1"/>
  <c r="AN139" i="27"/>
  <c r="AN379" i="27"/>
  <c r="AX139" i="27"/>
  <c r="AX379" i="27"/>
  <c r="BB49" i="27"/>
  <c r="AI379" i="27"/>
  <c r="AI139" i="27"/>
  <c r="AY49" i="27"/>
  <c r="AM370" i="27"/>
  <c r="U379" i="27"/>
  <c r="U139" i="27"/>
  <c r="X49" i="27"/>
  <c r="AF370" i="27"/>
  <c r="BD139" i="27"/>
  <c r="BD379" i="27"/>
  <c r="AW49" i="27"/>
  <c r="BE370" i="27"/>
  <c r="AC49" i="27"/>
  <c r="AP370" i="27"/>
  <c r="BN379" i="27"/>
  <c r="BN139" i="27"/>
  <c r="BB370" i="27"/>
  <c r="AY379" i="27"/>
  <c r="AY139" i="27"/>
  <c r="BI49" i="27"/>
  <c r="T370" i="27"/>
  <c r="AR370" i="27"/>
  <c r="BH370" i="27"/>
  <c r="AS370" i="27"/>
  <c r="AU379" i="27"/>
  <c r="AU139" i="27"/>
  <c r="AT370" i="27"/>
  <c r="AF379" i="27"/>
  <c r="AF139" i="27"/>
  <c r="BL370" i="27"/>
  <c r="Y370" i="27"/>
  <c r="BE379" i="27"/>
  <c r="BE139" i="27"/>
  <c r="AC370" i="27"/>
  <c r="AH49" i="27"/>
  <c r="AP139" i="27"/>
  <c r="AP379" i="27"/>
  <c r="S49" i="27"/>
  <c r="AA139" i="27"/>
  <c r="AA379" i="27"/>
  <c r="BI370" i="27"/>
  <c r="AD379" i="27"/>
  <c r="AD139" i="27"/>
  <c r="AJ370" i="27"/>
  <c r="AR49" i="27"/>
  <c r="AS379" i="27"/>
  <c r="AS139" i="27"/>
  <c r="BJ370" i="27"/>
  <c r="X379" i="27"/>
  <c r="X139" i="27"/>
  <c r="BL49" i="27"/>
  <c r="AI370" i="27"/>
  <c r="BN370" i="27"/>
  <c r="AM49" i="27"/>
  <c r="BC370" i="27"/>
  <c r="AT49" i="27"/>
  <c r="AN49" i="27"/>
  <c r="BM370" i="27"/>
  <c r="AX370" i="27"/>
  <c r="AX372" i="27" s="1"/>
  <c r="AX374" i="27" s="1"/>
  <c r="AK49" i="27"/>
  <c r="BB379" i="27"/>
  <c r="BB139" i="27"/>
  <c r="BG49" i="27"/>
  <c r="BO139" i="27"/>
  <c r="BO379" i="27"/>
  <c r="AR379" i="27"/>
  <c r="AR139" i="27"/>
  <c r="U370" i="27"/>
  <c r="AW139" i="27"/>
  <c r="AW379" i="27"/>
  <c r="S379" i="27"/>
  <c r="S139" i="27"/>
  <c r="K82" i="27"/>
  <c r="K83" i="27"/>
  <c r="K84" i="27"/>
  <c r="L66" i="27"/>
  <c r="L58" i="15" s="1"/>
  <c r="AE49" i="27"/>
  <c r="BC49" i="27"/>
  <c r="X370" i="27"/>
  <c r="V370" i="27"/>
  <c r="V372" i="27" s="1"/>
  <c r="V374" i="27" s="1"/>
  <c r="BY166" i="27"/>
  <c r="BY173" i="27"/>
  <c r="BZ156" i="27"/>
  <c r="BY172" i="27"/>
  <c r="BY174" i="27"/>
  <c r="Y49" i="27"/>
  <c r="AO49" i="27"/>
  <c r="AW370" i="27"/>
  <c r="BM49" i="27"/>
  <c r="AC379" i="27"/>
  <c r="AC139" i="27"/>
  <c r="AH370" i="27"/>
  <c r="S370" i="27"/>
  <c r="BG370" i="27"/>
  <c r="T139" i="27"/>
  <c r="T379" i="27"/>
  <c r="AZ49" i="27"/>
  <c r="BH49" i="27"/>
  <c r="BJ379" i="27"/>
  <c r="BJ139" i="27"/>
  <c r="BZ80" i="15" l="1"/>
  <c r="BZ71" i="15"/>
  <c r="BY152" i="27"/>
  <c r="Z89" i="27"/>
  <c r="Z91" i="27" s="1"/>
  <c r="Z65" i="15" s="1"/>
  <c r="Y372" i="27"/>
  <c r="Y374" i="27" s="1"/>
  <c r="Y89" i="27"/>
  <c r="Y91" i="27" s="1"/>
  <c r="Y65" i="15" s="1"/>
  <c r="AZ372" i="27"/>
  <c r="AZ374" i="27" s="1"/>
  <c r="AZ89" i="27"/>
  <c r="AZ91" i="27" s="1"/>
  <c r="AS372" i="27"/>
  <c r="AS374" i="27" s="1"/>
  <c r="BC89" i="27"/>
  <c r="BC91" i="27" s="1"/>
  <c r="BC372" i="27"/>
  <c r="BC374" i="27" s="1"/>
  <c r="AE372" i="27"/>
  <c r="AE374" i="27" s="1"/>
  <c r="V89" i="27"/>
  <c r="V91" i="27" s="1"/>
  <c r="V65" i="15" s="1"/>
  <c r="AR372" i="27"/>
  <c r="AR374" i="27" s="1"/>
  <c r="BG89" i="27"/>
  <c r="BG91" i="27" s="1"/>
  <c r="BG372" i="27"/>
  <c r="BG374" i="27" s="1"/>
  <c r="Z372" i="27"/>
  <c r="Z374" i="27" s="1"/>
  <c r="N135" i="27"/>
  <c r="N49" i="27"/>
  <c r="N370" i="27"/>
  <c r="T372" i="27"/>
  <c r="T374" i="27" s="1"/>
  <c r="T89" i="27"/>
  <c r="T91" i="27" s="1"/>
  <c r="T65" i="15" s="1"/>
  <c r="BM381" i="27"/>
  <c r="BM383" i="27" s="1"/>
  <c r="BM179" i="27"/>
  <c r="BM181" i="27" s="1"/>
  <c r="BM78" i="15" s="1"/>
  <c r="BH179" i="27"/>
  <c r="BH181" i="27" s="1"/>
  <c r="BH78" i="15" s="1"/>
  <c r="BH381" i="27"/>
  <c r="BH383" i="27" s="1"/>
  <c r="BI179" i="27"/>
  <c r="BI181" i="27" s="1"/>
  <c r="BI78" i="15" s="1"/>
  <c r="BI381" i="27"/>
  <c r="BI383" i="27" s="1"/>
  <c r="BA135" i="27"/>
  <c r="BA49" i="27"/>
  <c r="BA370" i="27"/>
  <c r="BK135" i="27"/>
  <c r="BK49" i="27"/>
  <c r="BK370" i="27"/>
  <c r="BB381" i="27"/>
  <c r="BB383" i="27" s="1"/>
  <c r="BB179" i="27"/>
  <c r="BB181" i="27" s="1"/>
  <c r="BB78" i="15" s="1"/>
  <c r="AS381" i="27"/>
  <c r="AS383" i="27" s="1"/>
  <c r="AS179" i="27"/>
  <c r="AS181" i="27" s="1"/>
  <c r="AS78" i="15" s="1"/>
  <c r="AP179" i="27"/>
  <c r="AP181" i="27" s="1"/>
  <c r="AP78" i="15" s="1"/>
  <c r="AP381" i="27"/>
  <c r="AP383" i="27" s="1"/>
  <c r="BJ89" i="27"/>
  <c r="BJ91" i="27" s="1"/>
  <c r="BJ372" i="27"/>
  <c r="BJ374" i="27" s="1"/>
  <c r="AA89" i="27"/>
  <c r="AA91" i="27" s="1"/>
  <c r="AA65" i="15" s="1"/>
  <c r="AA372" i="27"/>
  <c r="AA374" i="27" s="1"/>
  <c r="AN381" i="27"/>
  <c r="AN383" i="27" s="1"/>
  <c r="AN179" i="27"/>
  <c r="AN181" i="27" s="1"/>
  <c r="AN78" i="15" s="1"/>
  <c r="AZ179" i="27"/>
  <c r="AZ181" i="27" s="1"/>
  <c r="AZ78" i="15" s="1"/>
  <c r="AZ381" i="27"/>
  <c r="AZ383" i="27" s="1"/>
  <c r="BB372" i="27"/>
  <c r="BB374" i="27" s="1"/>
  <c r="BB89" i="27"/>
  <c r="BB91" i="27" s="1"/>
  <c r="BG381" i="27"/>
  <c r="BG383" i="27" s="1"/>
  <c r="BG179" i="27"/>
  <c r="BG181" i="27" s="1"/>
  <c r="BG78" i="15" s="1"/>
  <c r="AK381" i="27"/>
  <c r="AK383" i="27" s="1"/>
  <c r="AK179" i="27"/>
  <c r="AK181" i="27" s="1"/>
  <c r="AK78" i="15" s="1"/>
  <c r="P25" i="19"/>
  <c r="P31" i="19" s="1"/>
  <c r="P32" i="19" s="1"/>
  <c r="Y179" i="27"/>
  <c r="Y181" i="27" s="1"/>
  <c r="Y78" i="15" s="1"/>
  <c r="Y381" i="27"/>
  <c r="Y383" i="27" s="1"/>
  <c r="AN89" i="27"/>
  <c r="AN91" i="27" s="1"/>
  <c r="AN372" i="27"/>
  <c r="AN374" i="27" s="1"/>
  <c r="AU89" i="27"/>
  <c r="AU91" i="27" s="1"/>
  <c r="AU372" i="27"/>
  <c r="AU374" i="27" s="1"/>
  <c r="BL89" i="27"/>
  <c r="BL91" i="27" s="1"/>
  <c r="S372" i="27"/>
  <c r="S374" i="27" s="1"/>
  <c r="S89" i="27"/>
  <c r="S91" i="27" s="1"/>
  <c r="S65" i="15" s="1"/>
  <c r="O135" i="27"/>
  <c r="O49" i="27"/>
  <c r="O370" i="27"/>
  <c r="BF135" i="27"/>
  <c r="BF370" i="27"/>
  <c r="BF49" i="27"/>
  <c r="BZ173" i="27"/>
  <c r="BZ174" i="27"/>
  <c r="BZ172" i="27"/>
  <c r="CA156" i="27"/>
  <c r="BZ166" i="27"/>
  <c r="S179" i="27"/>
  <c r="S181" i="27" s="1"/>
  <c r="S78" i="15" s="1"/>
  <c r="S381" i="27"/>
  <c r="S383" i="27" s="1"/>
  <c r="AR381" i="27"/>
  <c r="AR383" i="27" s="1"/>
  <c r="AR179" i="27"/>
  <c r="AR181" i="27" s="1"/>
  <c r="AR78" i="15" s="1"/>
  <c r="AD381" i="27"/>
  <c r="AD383" i="27" s="1"/>
  <c r="AD179" i="27"/>
  <c r="AD181" i="27" s="1"/>
  <c r="AD78" i="15" s="1"/>
  <c r="N25" i="19"/>
  <c r="N31" i="19" s="1"/>
  <c r="N32" i="19" s="1"/>
  <c r="AA179" i="27"/>
  <c r="AA181" i="27" s="1"/>
  <c r="AA78" i="15" s="1"/>
  <c r="AA381" i="27"/>
  <c r="AA383" i="27" s="1"/>
  <c r="BL372" i="27"/>
  <c r="BL374" i="27" s="1"/>
  <c r="AU179" i="27"/>
  <c r="AU181" i="27" s="1"/>
  <c r="AU78" i="15" s="1"/>
  <c r="AU381" i="27"/>
  <c r="AU383" i="27" s="1"/>
  <c r="U381" i="27"/>
  <c r="U383" i="27" s="1"/>
  <c r="U179" i="27"/>
  <c r="U181" i="27" s="1"/>
  <c r="U78" i="15" s="1"/>
  <c r="AO381" i="27"/>
  <c r="AO383" i="27" s="1"/>
  <c r="AO179" i="27"/>
  <c r="AO181" i="27" s="1"/>
  <c r="AO78" i="15" s="1"/>
  <c r="AE381" i="27"/>
  <c r="AE383" i="27" s="1"/>
  <c r="AE179" i="27"/>
  <c r="AE181" i="27" s="1"/>
  <c r="AE78" i="15" s="1"/>
  <c r="J135" i="27"/>
  <c r="J49" i="27"/>
  <c r="J370" i="27"/>
  <c r="BN372" i="27"/>
  <c r="BN374" i="27" s="1"/>
  <c r="BN89" i="27"/>
  <c r="BN91" i="27" s="1"/>
  <c r="AB135" i="27"/>
  <c r="AB370" i="27"/>
  <c r="AB49" i="27"/>
  <c r="W135" i="27"/>
  <c r="W49" i="27"/>
  <c r="W370" i="27"/>
  <c r="BI89" i="27"/>
  <c r="BI91" i="27" s="1"/>
  <c r="BI372" i="27"/>
  <c r="BI374" i="27" s="1"/>
  <c r="AF372" i="27"/>
  <c r="AF374" i="27" s="1"/>
  <c r="AF89" i="27"/>
  <c r="AF91" i="27" s="1"/>
  <c r="AC372" i="27"/>
  <c r="AC374" i="27" s="1"/>
  <c r="AC89" i="27"/>
  <c r="AC91" i="27" s="1"/>
  <c r="AC65" i="15" s="1"/>
  <c r="X179" i="27"/>
  <c r="X181" i="27" s="1"/>
  <c r="X78" i="15" s="1"/>
  <c r="X381" i="27"/>
  <c r="X383" i="27" s="1"/>
  <c r="AF381" i="27"/>
  <c r="AF383" i="27" s="1"/>
  <c r="AF179" i="27"/>
  <c r="AF181" i="27" s="1"/>
  <c r="AF78" i="15" s="1"/>
  <c r="O25" i="19"/>
  <c r="O31" i="19" s="1"/>
  <c r="O32" i="19" s="1"/>
  <c r="BO372" i="27"/>
  <c r="BO374" i="27" s="1"/>
  <c r="BO89" i="27"/>
  <c r="BO91" i="27" s="1"/>
  <c r="AJ381" i="27"/>
  <c r="AJ383" i="27" s="1"/>
  <c r="AJ179" i="27"/>
  <c r="AJ181" i="27" s="1"/>
  <c r="AJ78" i="15" s="1"/>
  <c r="BM89" i="27"/>
  <c r="BM91" i="27" s="1"/>
  <c r="BM372" i="27"/>
  <c r="BM374" i="27" s="1"/>
  <c r="AQ135" i="27"/>
  <c r="AQ49" i="27"/>
  <c r="AQ370" i="27"/>
  <c r="R135" i="27"/>
  <c r="R370" i="27"/>
  <c r="R49" i="27"/>
  <c r="X372" i="27"/>
  <c r="X374" i="27" s="1"/>
  <c r="X89" i="27"/>
  <c r="X91" i="27" s="1"/>
  <c r="X65" i="15" s="1"/>
  <c r="AD89" i="27"/>
  <c r="AD91" i="27" s="1"/>
  <c r="AD65" i="15" s="1"/>
  <c r="AD372" i="27"/>
  <c r="AD374" i="27" s="1"/>
  <c r="I135" i="27"/>
  <c r="I370" i="27"/>
  <c r="I49" i="27"/>
  <c r="Q135" i="27"/>
  <c r="Q370" i="27"/>
  <c r="Q49" i="27"/>
  <c r="AL135" i="27"/>
  <c r="AL370" i="27"/>
  <c r="AL49" i="27"/>
  <c r="AC179" i="27"/>
  <c r="AC181" i="27" s="1"/>
  <c r="AC78" i="15" s="1"/>
  <c r="AC381" i="27"/>
  <c r="AC383" i="27" s="1"/>
  <c r="AM372" i="27"/>
  <c r="AM374" i="27" s="1"/>
  <c r="AM89" i="27"/>
  <c r="AM91" i="27" s="1"/>
  <c r="L82" i="27"/>
  <c r="L84" i="27"/>
  <c r="L83" i="27"/>
  <c r="M66" i="27"/>
  <c r="M58" i="15" s="1"/>
  <c r="BE381" i="27"/>
  <c r="BE383" i="27" s="1"/>
  <c r="BE179" i="27"/>
  <c r="BE181" i="27" s="1"/>
  <c r="BE78" i="15" s="1"/>
  <c r="AY179" i="27"/>
  <c r="AY181" i="27" s="1"/>
  <c r="AY78" i="15" s="1"/>
  <c r="AY381" i="27"/>
  <c r="AY383" i="27" s="1"/>
  <c r="BN179" i="27"/>
  <c r="BN181" i="27" s="1"/>
  <c r="BN78" i="15" s="1"/>
  <c r="BN381" i="27"/>
  <c r="BN383" i="27" s="1"/>
  <c r="BD381" i="27"/>
  <c r="BD383" i="27" s="1"/>
  <c r="BD179" i="27"/>
  <c r="BD181" i="27" s="1"/>
  <c r="BD78" i="15" s="1"/>
  <c r="Z381" i="27"/>
  <c r="Z383" i="27" s="1"/>
  <c r="Z179" i="27"/>
  <c r="Z181" i="27" s="1"/>
  <c r="Z78" i="15" s="1"/>
  <c r="BE89" i="27"/>
  <c r="BE91" i="27" s="1"/>
  <c r="BE372" i="27"/>
  <c r="BE374" i="27" s="1"/>
  <c r="BL381" i="27"/>
  <c r="BL383" i="27" s="1"/>
  <c r="BL179" i="27"/>
  <c r="BL181" i="27" s="1"/>
  <c r="BL78" i="15" s="1"/>
  <c r="AI179" i="27"/>
  <c r="AI181" i="27" s="1"/>
  <c r="AI78" i="15" s="1"/>
  <c r="AI381" i="27"/>
  <c r="AI383" i="27" s="1"/>
  <c r="T381" i="27"/>
  <c r="T383" i="27" s="1"/>
  <c r="T179" i="27"/>
  <c r="T181" i="27" s="1"/>
  <c r="T78" i="15" s="1"/>
  <c r="BO179" i="27"/>
  <c r="BO181" i="27" s="1"/>
  <c r="BO78" i="15" s="1"/>
  <c r="BO381" i="27"/>
  <c r="BO383" i="27" s="1"/>
  <c r="AV135" i="27"/>
  <c r="AV49" i="27"/>
  <c r="AV370" i="27"/>
  <c r="K135" i="27"/>
  <c r="K49" i="27"/>
  <c r="K370" i="27"/>
  <c r="M135" i="27"/>
  <c r="M49" i="27"/>
  <c r="M370" i="27"/>
  <c r="AW372" i="27"/>
  <c r="AW374" i="27" s="1"/>
  <c r="AW89" i="27"/>
  <c r="AW91" i="27" s="1"/>
  <c r="AK372" i="27"/>
  <c r="AK374" i="27" s="1"/>
  <c r="AK89" i="27"/>
  <c r="AK91" i="27" s="1"/>
  <c r="AX381" i="27"/>
  <c r="AX383" i="27" s="1"/>
  <c r="AX179" i="27"/>
  <c r="AX181" i="27" s="1"/>
  <c r="AX78" i="15" s="1"/>
  <c r="V179" i="27"/>
  <c r="V181" i="27" s="1"/>
  <c r="V78" i="15" s="1"/>
  <c r="V381" i="27"/>
  <c r="V383" i="27" s="1"/>
  <c r="M25" i="19"/>
  <c r="M31" i="19" s="1"/>
  <c r="M32" i="19" s="1"/>
  <c r="AS89" i="27"/>
  <c r="AS91" i="27" s="1"/>
  <c r="BC179" i="27"/>
  <c r="BC181" i="27" s="1"/>
  <c r="BC78" i="15" s="1"/>
  <c r="BC381" i="27"/>
  <c r="BC383" i="27" s="1"/>
  <c r="AP372" i="27"/>
  <c r="AP374" i="27" s="1"/>
  <c r="AP89" i="27"/>
  <c r="AP91" i="27" s="1"/>
  <c r="AO89" i="27"/>
  <c r="AO91" i="27" s="1"/>
  <c r="AO372" i="27"/>
  <c r="AO374" i="27" s="1"/>
  <c r="AT179" i="27"/>
  <c r="AT181" i="27" s="1"/>
  <c r="AT78" i="15" s="1"/>
  <c r="AT381" i="27"/>
  <c r="AT383" i="27" s="1"/>
  <c r="AM179" i="27"/>
  <c r="AM181" i="27" s="1"/>
  <c r="AM78" i="15" s="1"/>
  <c r="AM381" i="27"/>
  <c r="AM383" i="27" s="1"/>
  <c r="AW179" i="27"/>
  <c r="AW181" i="27" s="1"/>
  <c r="AW78" i="15" s="1"/>
  <c r="AW381" i="27"/>
  <c r="AW383" i="27" s="1"/>
  <c r="BJ179" i="27"/>
  <c r="BJ181" i="27" s="1"/>
  <c r="BJ78" i="15" s="1"/>
  <c r="BJ381" i="27"/>
  <c r="BJ383" i="27" s="1"/>
  <c r="AI372" i="27"/>
  <c r="AI374" i="27" s="1"/>
  <c r="AI89" i="27"/>
  <c r="AI91" i="27" s="1"/>
  <c r="BH372" i="27"/>
  <c r="BH374" i="27" s="1"/>
  <c r="BH89" i="27"/>
  <c r="BH91" i="27" s="1"/>
  <c r="P135" i="27"/>
  <c r="P370" i="27"/>
  <c r="P49" i="27"/>
  <c r="AG135" i="27"/>
  <c r="AG370" i="27"/>
  <c r="AG49" i="27"/>
  <c r="L135" i="27"/>
  <c r="L49" i="27"/>
  <c r="L370" i="27"/>
  <c r="AJ372" i="27"/>
  <c r="AJ374" i="27" s="1"/>
  <c r="AJ89" i="27"/>
  <c r="AJ91" i="27" s="1"/>
  <c r="AT372" i="27"/>
  <c r="AT374" i="27" s="1"/>
  <c r="AT89" i="27"/>
  <c r="AT91" i="27" s="1"/>
  <c r="AH372" i="27"/>
  <c r="AH374" i="27" s="1"/>
  <c r="AH89" i="27"/>
  <c r="AH91" i="27" s="1"/>
  <c r="AH381" i="27"/>
  <c r="AH383" i="27" s="1"/>
  <c r="AH179" i="27"/>
  <c r="AH181" i="27" s="1"/>
  <c r="AH78" i="15" s="1"/>
  <c r="U89" i="27"/>
  <c r="U91" i="27" s="1"/>
  <c r="U65" i="15" s="1"/>
  <c r="U372" i="27"/>
  <c r="U374" i="27" s="1"/>
  <c r="BK175" i="27" l="1"/>
  <c r="BK72" i="15"/>
  <c r="BF175" i="27"/>
  <c r="BF72" i="15"/>
  <c r="M175" i="27"/>
  <c r="M72" i="15"/>
  <c r="Q175" i="27"/>
  <c r="Q72" i="15"/>
  <c r="BA175" i="27"/>
  <c r="BA72" i="15"/>
  <c r="I175" i="27"/>
  <c r="I74" i="15" s="1"/>
  <c r="I72" i="15"/>
  <c r="AB175" i="27"/>
  <c r="AB72" i="15"/>
  <c r="W175" i="27"/>
  <c r="W72" i="15"/>
  <c r="J175" i="27"/>
  <c r="J74" i="15" s="1"/>
  <c r="J72" i="15"/>
  <c r="AL175" i="27"/>
  <c r="AL72" i="15"/>
  <c r="AQ175" i="27"/>
  <c r="AQ72" i="15"/>
  <c r="CA80" i="15"/>
  <c r="CA71" i="15"/>
  <c r="N175" i="27"/>
  <c r="N72" i="15"/>
  <c r="P175" i="27"/>
  <c r="P72" i="15"/>
  <c r="R175" i="27"/>
  <c r="R72" i="15"/>
  <c r="L175" i="27"/>
  <c r="L72" i="15"/>
  <c r="K175" i="27"/>
  <c r="K74" i="15" s="1"/>
  <c r="K72" i="15"/>
  <c r="AG175" i="27"/>
  <c r="AG72" i="15"/>
  <c r="AV175" i="27"/>
  <c r="AV72" i="15"/>
  <c r="O175" i="27"/>
  <c r="O72" i="15"/>
  <c r="BZ152" i="27"/>
  <c r="J171" i="27"/>
  <c r="K81" i="27"/>
  <c r="K171" i="27"/>
  <c r="BK372" i="27"/>
  <c r="BK374" i="27" s="1"/>
  <c r="BK89" i="27"/>
  <c r="BK91" i="27" s="1"/>
  <c r="L76" i="27"/>
  <c r="L62" i="27" s="1"/>
  <c r="AG379" i="27"/>
  <c r="AG139" i="27"/>
  <c r="AV139" i="27"/>
  <c r="AV379" i="27"/>
  <c r="Q379" i="27"/>
  <c r="Q139" i="27"/>
  <c r="R139" i="27"/>
  <c r="R379" i="27"/>
  <c r="BK379" i="27"/>
  <c r="BK139" i="27"/>
  <c r="AB89" i="27"/>
  <c r="AB91" i="27" s="1"/>
  <c r="AB65" i="15" s="1"/>
  <c r="AB372" i="27"/>
  <c r="AB374" i="27" s="1"/>
  <c r="L89" i="27"/>
  <c r="L91" i="27" s="1"/>
  <c r="L372" i="27"/>
  <c r="L374" i="27" s="1"/>
  <c r="J81" i="27"/>
  <c r="W372" i="27"/>
  <c r="W374" i="27" s="1"/>
  <c r="W89" i="27"/>
  <c r="W91" i="27" s="1"/>
  <c r="W65" i="15" s="1"/>
  <c r="J89" i="27"/>
  <c r="J91" i="27" s="1"/>
  <c r="J65" i="15" s="1"/>
  <c r="J372" i="27"/>
  <c r="J374" i="27" s="1"/>
  <c r="O379" i="27"/>
  <c r="O139" i="27"/>
  <c r="AB379" i="27"/>
  <c r="AB139" i="27"/>
  <c r="J139" i="27"/>
  <c r="J379" i="27"/>
  <c r="CA166" i="27"/>
  <c r="CA173" i="27"/>
  <c r="CA174" i="27"/>
  <c r="CA172" i="27"/>
  <c r="CB156" i="27"/>
  <c r="N89" i="27"/>
  <c r="N91" i="27" s="1"/>
  <c r="N372" i="27"/>
  <c r="N374" i="27" s="1"/>
  <c r="AV89" i="27"/>
  <c r="AV91" i="27" s="1"/>
  <c r="AV372" i="27"/>
  <c r="AV374" i="27" s="1"/>
  <c r="L139" i="27"/>
  <c r="L379" i="27"/>
  <c r="K139" i="27"/>
  <c r="K379" i="27"/>
  <c r="K76" i="27"/>
  <c r="K62" i="27" s="1"/>
  <c r="AL139" i="27"/>
  <c r="AL379" i="27"/>
  <c r="AQ89" i="27"/>
  <c r="AQ91" i="27" s="1"/>
  <c r="AQ372" i="27"/>
  <c r="AQ374" i="27" s="1"/>
  <c r="BF372" i="27"/>
  <c r="BF374" i="27" s="1"/>
  <c r="BF89" i="27"/>
  <c r="BF91" i="27" s="1"/>
  <c r="BA372" i="27"/>
  <c r="BA374" i="27" s="1"/>
  <c r="BA89" i="27"/>
  <c r="BA91" i="27" s="1"/>
  <c r="Q89" i="27"/>
  <c r="Q91" i="27" s="1"/>
  <c r="Q372" i="27"/>
  <c r="Q374" i="27" s="1"/>
  <c r="AL89" i="27"/>
  <c r="AL91" i="27" s="1"/>
  <c r="AL372" i="27"/>
  <c r="AL374" i="27" s="1"/>
  <c r="P372" i="27"/>
  <c r="P374" i="27" s="1"/>
  <c r="P89" i="27"/>
  <c r="P91" i="27" s="1"/>
  <c r="M89" i="27"/>
  <c r="M91" i="27" s="1"/>
  <c r="M372" i="27"/>
  <c r="M374" i="27" s="1"/>
  <c r="K166" i="27"/>
  <c r="K152" i="27" s="1"/>
  <c r="R89" i="27"/>
  <c r="R91" i="27" s="1"/>
  <c r="R65" i="15" s="1"/>
  <c r="R372" i="27"/>
  <c r="R374" i="27" s="1"/>
  <c r="BF139" i="27"/>
  <c r="BF379" i="27"/>
  <c r="P139" i="27"/>
  <c r="P379" i="27"/>
  <c r="N66" i="27"/>
  <c r="N58" i="15" s="1"/>
  <c r="M82" i="27"/>
  <c r="M84" i="27"/>
  <c r="M83" i="27"/>
  <c r="I379" i="27"/>
  <c r="I139" i="27"/>
  <c r="AQ379" i="27"/>
  <c r="AQ139" i="27"/>
  <c r="W379" i="27"/>
  <c r="W139" i="27"/>
  <c r="BA379" i="27"/>
  <c r="BA139" i="27"/>
  <c r="K372" i="27"/>
  <c r="K374" i="27" s="1"/>
  <c r="K89" i="27"/>
  <c r="K91" i="27" s="1"/>
  <c r="K65" i="15" s="1"/>
  <c r="I372" i="27"/>
  <c r="I374" i="27" s="1"/>
  <c r="I89" i="27"/>
  <c r="I91" i="27" s="1"/>
  <c r="I65" i="15" s="1"/>
  <c r="J76" i="27"/>
  <c r="J62" i="27" s="1"/>
  <c r="AG89" i="27"/>
  <c r="AG91" i="27" s="1"/>
  <c r="AG372" i="27"/>
  <c r="AG374" i="27" s="1"/>
  <c r="M139" i="27"/>
  <c r="M379" i="27"/>
  <c r="O89" i="27"/>
  <c r="O91" i="27" s="1"/>
  <c r="O372" i="27"/>
  <c r="O374" i="27" s="1"/>
  <c r="N139" i="27"/>
  <c r="N379" i="27"/>
  <c r="N17" i="16" l="1"/>
  <c r="N50" i="16" s="1"/>
  <c r="W74" i="15"/>
  <c r="H13" i="16"/>
  <c r="H46" i="16" s="1"/>
  <c r="M65" i="15"/>
  <c r="CB71" i="15"/>
  <c r="CB80" i="15"/>
  <c r="S17" i="16"/>
  <c r="S50" i="16" s="1"/>
  <c r="AV74" i="15"/>
  <c r="M17" i="16"/>
  <c r="M50" i="16" s="1"/>
  <c r="R74" i="15"/>
  <c r="R17" i="16"/>
  <c r="R50" i="16" s="1"/>
  <c r="AQ74" i="15"/>
  <c r="O17" i="16"/>
  <c r="O50" i="16" s="1"/>
  <c r="AB74" i="15"/>
  <c r="H17" i="16"/>
  <c r="H50" i="16" s="1"/>
  <c r="M74" i="15"/>
  <c r="L13" i="16"/>
  <c r="L46" i="16" s="1"/>
  <c r="Q65" i="15"/>
  <c r="J17" i="16"/>
  <c r="J50" i="16" s="1"/>
  <c r="O74" i="15"/>
  <c r="G17" i="16"/>
  <c r="G50" i="16" s="1"/>
  <c r="L74" i="15"/>
  <c r="L17" i="16"/>
  <c r="L50" i="16" s="1"/>
  <c r="Q74" i="15"/>
  <c r="J13" i="16"/>
  <c r="J46" i="16" s="1"/>
  <c r="O65" i="15"/>
  <c r="P17" i="16"/>
  <c r="P50" i="16" s="1"/>
  <c r="AG74" i="15"/>
  <c r="K17" i="16"/>
  <c r="K50" i="16" s="1"/>
  <c r="P74" i="15"/>
  <c r="Q17" i="16"/>
  <c r="Q50" i="16" s="1"/>
  <c r="AL74" i="15"/>
  <c r="U17" i="16"/>
  <c r="U50" i="16" s="1"/>
  <c r="BF74" i="15"/>
  <c r="I13" i="16"/>
  <c r="I46" i="16" s="1"/>
  <c r="N65" i="15"/>
  <c r="K13" i="16"/>
  <c r="K46" i="16" s="1"/>
  <c r="P65" i="15"/>
  <c r="G13" i="16"/>
  <c r="G46" i="16" s="1"/>
  <c r="L65" i="15"/>
  <c r="I17" i="16"/>
  <c r="I50" i="16" s="1"/>
  <c r="N74" i="15"/>
  <c r="T17" i="16"/>
  <c r="T50" i="16" s="1"/>
  <c r="BA74" i="15"/>
  <c r="V17" i="16"/>
  <c r="V50" i="16" s="1"/>
  <c r="BK74" i="15"/>
  <c r="V13" i="16"/>
  <c r="V46" i="16" s="1"/>
  <c r="Q13" i="16"/>
  <c r="Q46" i="16" s="1"/>
  <c r="U13" i="16"/>
  <c r="U46" i="16" s="1"/>
  <c r="P13" i="16"/>
  <c r="P46" i="16" s="1"/>
  <c r="S13" i="16"/>
  <c r="S46" i="16" s="1"/>
  <c r="M13" i="16"/>
  <c r="M46" i="16" s="1"/>
  <c r="T13" i="16"/>
  <c r="T46" i="16" s="1"/>
  <c r="N13" i="16"/>
  <c r="N46" i="16" s="1"/>
  <c r="R13" i="16"/>
  <c r="R46" i="16" s="1"/>
  <c r="O13" i="16"/>
  <c r="O46" i="16" s="1"/>
  <c r="CA152" i="27"/>
  <c r="P381" i="27"/>
  <c r="P383" i="27" s="1"/>
  <c r="R381" i="27"/>
  <c r="R383" i="27" s="1"/>
  <c r="AV381" i="27"/>
  <c r="AV383" i="27" s="1"/>
  <c r="AQ381" i="27"/>
  <c r="AQ383" i="27" s="1"/>
  <c r="L171" i="27"/>
  <c r="L81" i="27"/>
  <c r="M381" i="27"/>
  <c r="M383" i="27" s="1"/>
  <c r="M179" i="27"/>
  <c r="M181" i="27" s="1"/>
  <c r="M78" i="15" s="1"/>
  <c r="BA381" i="27"/>
  <c r="BA383" i="27" s="1"/>
  <c r="BA179" i="27"/>
  <c r="BA181" i="27" s="1"/>
  <c r="BA78" i="15" s="1"/>
  <c r="BF381" i="27"/>
  <c r="BF383" i="27" s="1"/>
  <c r="BF179" i="27"/>
  <c r="BF181" i="27" s="1"/>
  <c r="BF78" i="15" s="1"/>
  <c r="J381" i="27"/>
  <c r="J383" i="27" s="1"/>
  <c r="J179" i="27"/>
  <c r="J181" i="27" s="1"/>
  <c r="J78" i="15" s="1"/>
  <c r="L166" i="27"/>
  <c r="L152" i="27" s="1"/>
  <c r="W179" i="27"/>
  <c r="W181" i="27" s="1"/>
  <c r="W78" i="15" s="1"/>
  <c r="AB179" i="27"/>
  <c r="AB181" i="27" s="1"/>
  <c r="AB78" i="15" s="1"/>
  <c r="R179" i="27"/>
  <c r="R181" i="27" s="1"/>
  <c r="R78" i="15" s="1"/>
  <c r="AV179" i="27"/>
  <c r="AV181" i="27" s="1"/>
  <c r="AV78" i="15" s="1"/>
  <c r="N84" i="27"/>
  <c r="O66" i="27"/>
  <c r="O58" i="15" s="1"/>
  <c r="N83" i="27"/>
  <c r="N82" i="27"/>
  <c r="W381" i="27"/>
  <c r="W383" i="27" s="1"/>
  <c r="K381" i="27"/>
  <c r="K383" i="27" s="1"/>
  <c r="K179" i="27"/>
  <c r="K181" i="27" s="1"/>
  <c r="K78" i="15" s="1"/>
  <c r="O179" i="27"/>
  <c r="O181" i="27" s="1"/>
  <c r="O78" i="15" s="1"/>
  <c r="O381" i="27"/>
  <c r="O383" i="27" s="1"/>
  <c r="BK179" i="27"/>
  <c r="BK181" i="27" s="1"/>
  <c r="BK78" i="15" s="1"/>
  <c r="M76" i="27"/>
  <c r="M62" i="27" s="1"/>
  <c r="P179" i="27"/>
  <c r="P181" i="27" s="1"/>
  <c r="P78" i="15" s="1"/>
  <c r="L179" i="27"/>
  <c r="L181" i="27" s="1"/>
  <c r="L78" i="15" s="1"/>
  <c r="L381" i="27"/>
  <c r="L383" i="27" s="1"/>
  <c r="K25" i="19"/>
  <c r="K31" i="19" s="1"/>
  <c r="K32" i="19" s="1"/>
  <c r="AB381" i="27"/>
  <c r="AB383" i="27" s="1"/>
  <c r="AG179" i="27"/>
  <c r="AG181" i="27" s="1"/>
  <c r="AG78" i="15" s="1"/>
  <c r="N179" i="27"/>
  <c r="N181" i="27" s="1"/>
  <c r="N78" i="15" s="1"/>
  <c r="N381" i="27"/>
  <c r="N383" i="27" s="1"/>
  <c r="AQ179" i="27"/>
  <c r="AQ181" i="27" s="1"/>
  <c r="AQ78" i="15" s="1"/>
  <c r="Q381" i="27"/>
  <c r="Q383" i="27" s="1"/>
  <c r="Q179" i="27"/>
  <c r="Q181" i="27" s="1"/>
  <c r="Q78" i="15" s="1"/>
  <c r="L25" i="19"/>
  <c r="L31" i="19" s="1"/>
  <c r="L32" i="19" s="1"/>
  <c r="I179" i="27"/>
  <c r="I181" i="27" s="1"/>
  <c r="I78" i="15" s="1"/>
  <c r="I381" i="27"/>
  <c r="I383" i="27" s="1"/>
  <c r="J166" i="27"/>
  <c r="J152" i="27" s="1"/>
  <c r="AL381" i="27"/>
  <c r="AL383" i="27" s="1"/>
  <c r="AL179" i="27"/>
  <c r="AL181" i="27" s="1"/>
  <c r="AL78" i="15" s="1"/>
  <c r="CB173" i="27"/>
  <c r="CB172" i="27"/>
  <c r="CB166" i="27"/>
  <c r="CC156" i="27"/>
  <c r="CB174" i="27"/>
  <c r="BK381" i="27"/>
  <c r="BK383" i="27" s="1"/>
  <c r="AG381" i="27"/>
  <c r="AG383" i="27" s="1"/>
  <c r="CC71" i="15" l="1"/>
  <c r="CC80" i="15"/>
  <c r="M20" i="16"/>
  <c r="M53" i="16" s="1"/>
  <c r="V20" i="16"/>
  <c r="V53" i="16" s="1"/>
  <c r="S20" i="16"/>
  <c r="S53" i="16" s="1"/>
  <c r="Q20" i="16"/>
  <c r="Q53" i="16" s="1"/>
  <c r="P20" i="16"/>
  <c r="P53" i="16" s="1"/>
  <c r="O20" i="16"/>
  <c r="O53" i="16" s="1"/>
  <c r="T20" i="16"/>
  <c r="T53" i="16" s="1"/>
  <c r="U20" i="16"/>
  <c r="U53" i="16" s="1"/>
  <c r="R20" i="16"/>
  <c r="R53" i="16" s="1"/>
  <c r="N20" i="16"/>
  <c r="N53" i="16" s="1"/>
  <c r="K20" i="16"/>
  <c r="K53" i="16" s="1"/>
  <c r="I20" i="16"/>
  <c r="I53" i="16" s="1"/>
  <c r="G20" i="16"/>
  <c r="G53" i="16" s="1"/>
  <c r="L20" i="16"/>
  <c r="L53" i="16" s="1"/>
  <c r="H20" i="16"/>
  <c r="H53" i="16" s="1"/>
  <c r="J20" i="16"/>
  <c r="J53" i="16" s="1"/>
  <c r="CB152" i="27"/>
  <c r="O82" i="27"/>
  <c r="O83" i="27"/>
  <c r="P66" i="27"/>
  <c r="P58" i="15" s="1"/>
  <c r="O84" i="27"/>
  <c r="M171" i="27"/>
  <c r="M81" i="27"/>
  <c r="N76" i="27"/>
  <c r="N62" i="27" s="1"/>
  <c r="M166" i="27"/>
  <c r="M152" i="27" s="1"/>
  <c r="CD156" i="27"/>
  <c r="CC173" i="27"/>
  <c r="CC166" i="27"/>
  <c r="CC172" i="27"/>
  <c r="CC174" i="27"/>
  <c r="CD71" i="15" l="1"/>
  <c r="CD80" i="15"/>
  <c r="CC152" i="27"/>
  <c r="N166" i="27"/>
  <c r="N152" i="27" s="1"/>
  <c r="Q66" i="27"/>
  <c r="Q58" i="15" s="1"/>
  <c r="P84" i="27"/>
  <c r="P82" i="27"/>
  <c r="P83" i="27"/>
  <c r="O76" i="27"/>
  <c r="O62" i="27" s="1"/>
  <c r="CD166" i="27"/>
  <c r="CD172" i="27"/>
  <c r="CD174" i="27"/>
  <c r="CD173" i="27"/>
  <c r="CE156" i="27"/>
  <c r="N81" i="27"/>
  <c r="N171" i="27"/>
  <c r="CE80" i="15" l="1"/>
  <c r="CE71" i="15"/>
  <c r="CD152" i="27"/>
  <c r="O171" i="27"/>
  <c r="O81" i="27"/>
  <c r="O166" i="27"/>
  <c r="O152" i="27" s="1"/>
  <c r="CE173" i="27"/>
  <c r="CE172" i="27"/>
  <c r="CE166" i="27"/>
  <c r="CF156" i="27"/>
  <c r="CE174" i="27"/>
  <c r="Q83" i="27"/>
  <c r="Q82" i="27"/>
  <c r="R66" i="27"/>
  <c r="R58" i="15" s="1"/>
  <c r="Q84" i="27"/>
  <c r="P76" i="27"/>
  <c r="P62" i="27" s="1"/>
  <c r="CF80" i="15" l="1"/>
  <c r="CF71" i="15"/>
  <c r="CE152" i="27"/>
  <c r="P171" i="27"/>
  <c r="P81" i="27"/>
  <c r="Q76" i="27"/>
  <c r="Q62" i="27" s="1"/>
  <c r="R83" i="27"/>
  <c r="S66" i="27"/>
  <c r="S58" i="15" s="1"/>
  <c r="R82" i="27"/>
  <c r="R84" i="27"/>
  <c r="CF173" i="27"/>
  <c r="CF166" i="27"/>
  <c r="CF172" i="27"/>
  <c r="CF174" i="27"/>
  <c r="CG156" i="27"/>
  <c r="P166" i="27"/>
  <c r="P152" i="27" s="1"/>
  <c r="CG80" i="15" l="1"/>
  <c r="CG71" i="15"/>
  <c r="CF152" i="27"/>
  <c r="S84" i="27"/>
  <c r="S82" i="27"/>
  <c r="S83" i="27"/>
  <c r="T66" i="27"/>
  <c r="T58" i="15" s="1"/>
  <c r="CG174" i="27"/>
  <c r="CG173" i="27"/>
  <c r="CG172" i="27"/>
  <c r="CG166" i="27"/>
  <c r="CH156" i="27"/>
  <c r="Q166" i="27"/>
  <c r="Q152" i="27" s="1"/>
  <c r="R76" i="27"/>
  <c r="R62" i="27" s="1"/>
  <c r="Q171" i="27"/>
  <c r="Q81" i="27"/>
  <c r="CG152" i="27" l="1"/>
  <c r="R171" i="27"/>
  <c r="R81" i="27"/>
  <c r="R166" i="27"/>
  <c r="R152" i="27" s="1"/>
  <c r="CH166" i="27"/>
  <c r="CH172" i="27"/>
  <c r="CH174" i="27"/>
  <c r="CH173" i="27"/>
  <c r="CI156" i="27"/>
  <c r="T84" i="27"/>
  <c r="T83" i="27"/>
  <c r="U66" i="27"/>
  <c r="U58" i="15" s="1"/>
  <c r="T82" i="27"/>
  <c r="S76" i="27"/>
  <c r="S62" i="27" s="1"/>
  <c r="CH152" i="27" l="1"/>
  <c r="U84" i="27"/>
  <c r="U83" i="27"/>
  <c r="V66" i="27"/>
  <c r="V58" i="15" s="1"/>
  <c r="U82" i="27"/>
  <c r="S166" i="27"/>
  <c r="S152" i="27" s="1"/>
  <c r="S171" i="27"/>
  <c r="S81" i="27"/>
  <c r="T76" i="27"/>
  <c r="T62" i="27" s="1"/>
  <c r="CI174" i="27"/>
  <c r="CI173" i="27"/>
  <c r="CI172" i="27"/>
  <c r="CI166" i="27"/>
  <c r="CI152" i="27" l="1"/>
  <c r="T81" i="27"/>
  <c r="T171" i="27"/>
  <c r="V83" i="27"/>
  <c r="V82" i="27"/>
  <c r="V84" i="27"/>
  <c r="W66" i="27"/>
  <c r="W58" i="15" s="1"/>
  <c r="U76" i="27"/>
  <c r="U62" i="27" s="1"/>
  <c r="T166" i="27"/>
  <c r="T152" i="27" s="1"/>
  <c r="V76" i="27" l="1"/>
  <c r="V62" i="27" s="1"/>
  <c r="U166" i="27"/>
  <c r="U152" i="27" s="1"/>
  <c r="W82" i="27"/>
  <c r="W84" i="27"/>
  <c r="X66" i="27"/>
  <c r="X58" i="15" s="1"/>
  <c r="W83" i="27"/>
  <c r="U81" i="27"/>
  <c r="U171" i="27"/>
  <c r="W76" i="27" l="1"/>
  <c r="W62" i="27" s="1"/>
  <c r="X83" i="27"/>
  <c r="Y66" i="27"/>
  <c r="Y58" i="15" s="1"/>
  <c r="X84" i="27"/>
  <c r="X82" i="27"/>
  <c r="V171" i="27"/>
  <c r="V81" i="27"/>
  <c r="V166" i="27"/>
  <c r="V152" i="27" s="1"/>
  <c r="X76" i="27" l="1"/>
  <c r="X62" i="27" s="1"/>
  <c r="Y84" i="27"/>
  <c r="Z66" i="27"/>
  <c r="Z58" i="15" s="1"/>
  <c r="Y82" i="27"/>
  <c r="Y83" i="27"/>
  <c r="W171" i="27"/>
  <c r="W81" i="27"/>
  <c r="W166" i="27"/>
  <c r="W152" i="27" s="1"/>
  <c r="Z82" i="27" l="1"/>
  <c r="Z83" i="27"/>
  <c r="Z84" i="27"/>
  <c r="AA66" i="27"/>
  <c r="AA58" i="15" s="1"/>
  <c r="Y76" i="27"/>
  <c r="Y62" i="27" s="1"/>
  <c r="X81" i="27"/>
  <c r="X171" i="27"/>
  <c r="X166" i="27"/>
  <c r="X152" i="27" s="1"/>
  <c r="Z76" i="27" l="1"/>
  <c r="Z62" i="27" s="1"/>
  <c r="Y166" i="27"/>
  <c r="Y152" i="27" s="1"/>
  <c r="AA83" i="27"/>
  <c r="AB66" i="27"/>
  <c r="AB58" i="15" s="1"/>
  <c r="AA84" i="27"/>
  <c r="AA82" i="27"/>
  <c r="Y171" i="27"/>
  <c r="Y81" i="27"/>
  <c r="AB84" i="27" l="1"/>
  <c r="AC66" i="27"/>
  <c r="AC58" i="15" s="1"/>
  <c r="AB82" i="27"/>
  <c r="AB83" i="27"/>
  <c r="AA76" i="27"/>
  <c r="AA62" i="27" s="1"/>
  <c r="Z171" i="27"/>
  <c r="Z81" i="27"/>
  <c r="Z166" i="27"/>
  <c r="Z152" i="27" s="1"/>
  <c r="AA166" i="27" l="1"/>
  <c r="AA152" i="27" s="1"/>
  <c r="AB76" i="27"/>
  <c r="AB62" i="27" s="1"/>
  <c r="AC82" i="27"/>
  <c r="AD66" i="27"/>
  <c r="AD58" i="15" s="1"/>
  <c r="AC83" i="27"/>
  <c r="AC84" i="27"/>
  <c r="AA81" i="27"/>
  <c r="AA171" i="27"/>
  <c r="AB81" i="27" l="1"/>
  <c r="AB171" i="27"/>
  <c r="AB166" i="27"/>
  <c r="AB152" i="27" s="1"/>
  <c r="AC76" i="27"/>
  <c r="AC62" i="27" s="1"/>
  <c r="AD83" i="27"/>
  <c r="AD84" i="27"/>
  <c r="AD82" i="27"/>
  <c r="AE66" i="27"/>
  <c r="AD76" i="27" l="1"/>
  <c r="AD62" i="27" s="1"/>
  <c r="AC166" i="27"/>
  <c r="AC152" i="27" s="1"/>
  <c r="AC81" i="27"/>
  <c r="AC171" i="27"/>
  <c r="AE84" i="27"/>
  <c r="AE82" i="27"/>
  <c r="AE83" i="27"/>
  <c r="AF66" i="27"/>
  <c r="AE76" i="27" l="1"/>
  <c r="AE62" i="27" s="1"/>
  <c r="AD171" i="27"/>
  <c r="AD81" i="27"/>
  <c r="AG66" i="27"/>
  <c r="AF83" i="27"/>
  <c r="AF82" i="27"/>
  <c r="AF84" i="27"/>
  <c r="AD166" i="27"/>
  <c r="AD152" i="27" s="1"/>
  <c r="AE81" i="27" l="1"/>
  <c r="AE171" i="27"/>
  <c r="AG82" i="27"/>
  <c r="AG84" i="27"/>
  <c r="AG83" i="27"/>
  <c r="AH66" i="27"/>
  <c r="AF76" i="27"/>
  <c r="AF62" i="27" s="1"/>
  <c r="AE166" i="27"/>
  <c r="AE152" i="27" s="1"/>
  <c r="AH82" i="27" l="1"/>
  <c r="AH84" i="27"/>
  <c r="AI66" i="27"/>
  <c r="AH83" i="27"/>
  <c r="AF81" i="27"/>
  <c r="AF171" i="27"/>
  <c r="AG76" i="27"/>
  <c r="AG62" i="27" s="1"/>
  <c r="AF166" i="27"/>
  <c r="AF152" i="27" s="1"/>
  <c r="AH76" i="27" l="1"/>
  <c r="AH62" i="27" s="1"/>
  <c r="AI82" i="27"/>
  <c r="AJ66" i="27"/>
  <c r="AI84" i="27"/>
  <c r="AI83" i="27"/>
  <c r="AG171" i="27"/>
  <c r="AG81" i="27"/>
  <c r="AG166" i="27"/>
  <c r="AG152" i="27" l="1"/>
  <c r="AI76" i="27"/>
  <c r="AI62" i="27" s="1"/>
  <c r="AH171" i="27"/>
  <c r="AH81" i="27"/>
  <c r="AK66" i="27"/>
  <c r="AJ84" i="27"/>
  <c r="AJ83" i="27"/>
  <c r="AJ82" i="27"/>
  <c r="AH166" i="27"/>
  <c r="AH152" i="27" l="1"/>
  <c r="AK84" i="27"/>
  <c r="AK82" i="27"/>
  <c r="AL66" i="27"/>
  <c r="AK83" i="27"/>
  <c r="AJ76" i="27"/>
  <c r="AJ62" i="27" s="1"/>
  <c r="AI171" i="27"/>
  <c r="AI81" i="27"/>
  <c r="AI166" i="27"/>
  <c r="AI152" i="27" l="1"/>
  <c r="AK76" i="27"/>
  <c r="AK62" i="27" s="1"/>
  <c r="AJ166" i="27"/>
  <c r="AM66" i="27"/>
  <c r="AL82" i="27"/>
  <c r="AL84" i="27"/>
  <c r="AL83" i="27"/>
  <c r="AJ171" i="27"/>
  <c r="AJ81" i="27"/>
  <c r="AJ152" i="27" l="1"/>
  <c r="AM83" i="27"/>
  <c r="AN66" i="27"/>
  <c r="AM82" i="27"/>
  <c r="AM84" i="27"/>
  <c r="AK81" i="27"/>
  <c r="AK171" i="27"/>
  <c r="AL76" i="27"/>
  <c r="AL62" i="27" s="1"/>
  <c r="AK166" i="27"/>
  <c r="AK152" i="27" l="1"/>
  <c r="AL166" i="27"/>
  <c r="AN83" i="27"/>
  <c r="AN82" i="27"/>
  <c r="AN84" i="27"/>
  <c r="AO66" i="27"/>
  <c r="AL171" i="27"/>
  <c r="AL81" i="27"/>
  <c r="AM76" i="27"/>
  <c r="AM62" i="27" s="1"/>
  <c r="AL152" i="27" l="1"/>
  <c r="AP66" i="27"/>
  <c r="AO83" i="27"/>
  <c r="AO84" i="27"/>
  <c r="AO82" i="27"/>
  <c r="AM171" i="27"/>
  <c r="AM81" i="27"/>
  <c r="AM166" i="27"/>
  <c r="AN76" i="27"/>
  <c r="AN62" i="27" s="1"/>
  <c r="AM152" i="27" l="1"/>
  <c r="AN81" i="27"/>
  <c r="AN171" i="27"/>
  <c r="AN166" i="27"/>
  <c r="AO76" i="27"/>
  <c r="AO62" i="27" s="1"/>
  <c r="AP84" i="27"/>
  <c r="AQ66" i="27"/>
  <c r="AP83" i="27"/>
  <c r="AP82" i="27"/>
  <c r="AN152" i="27" l="1"/>
  <c r="AP76" i="27"/>
  <c r="AP62" i="27" s="1"/>
  <c r="AO166" i="27"/>
  <c r="AQ84" i="27"/>
  <c r="AQ82" i="27"/>
  <c r="AR66" i="27"/>
  <c r="AQ83" i="27"/>
  <c r="AO171" i="27"/>
  <c r="AO81" i="27"/>
  <c r="AO152" i="27" l="1"/>
  <c r="AQ76" i="27"/>
  <c r="AQ62" i="27" s="1"/>
  <c r="AP81" i="27"/>
  <c r="Q12" i="16" s="1"/>
  <c r="Q45" i="16" s="1"/>
  <c r="AP171" i="27"/>
  <c r="AR84" i="27"/>
  <c r="AR82" i="27"/>
  <c r="AS66" i="27"/>
  <c r="AR83" i="27"/>
  <c r="AP166" i="27"/>
  <c r="AP152" i="27" l="1"/>
  <c r="AS83" i="27"/>
  <c r="AS82" i="27"/>
  <c r="AT66" i="27"/>
  <c r="AS84" i="27"/>
  <c r="AQ81" i="27"/>
  <c r="AQ171" i="27"/>
  <c r="AR76" i="27"/>
  <c r="AR62" i="27" s="1"/>
  <c r="AQ166" i="27"/>
  <c r="AQ152" i="27" l="1"/>
  <c r="AR171" i="27"/>
  <c r="AR81" i="27"/>
  <c r="AS76" i="27"/>
  <c r="AS62" i="27" s="1"/>
  <c r="AT82" i="27"/>
  <c r="AT83" i="27"/>
  <c r="AT84" i="27"/>
  <c r="AU66" i="27"/>
  <c r="AR166" i="27"/>
  <c r="AR152" i="27" l="1"/>
  <c r="AS171" i="27"/>
  <c r="AS81" i="27"/>
  <c r="AS166" i="27"/>
  <c r="AT76" i="27"/>
  <c r="AT62" i="27" s="1"/>
  <c r="AU83" i="27"/>
  <c r="AU84" i="27"/>
  <c r="AU82" i="27"/>
  <c r="AV66" i="27"/>
  <c r="AS152" i="27" l="1"/>
  <c r="AT81" i="27"/>
  <c r="AT171" i="27"/>
  <c r="AT166" i="27"/>
  <c r="AV83" i="27"/>
  <c r="AV82" i="27"/>
  <c r="AV84" i="27"/>
  <c r="AW66" i="27"/>
  <c r="AU76" i="27"/>
  <c r="AU62" i="27" s="1"/>
  <c r="AT152" i="27" l="1"/>
  <c r="AU81" i="27"/>
  <c r="AU171" i="27"/>
  <c r="AV76" i="27"/>
  <c r="AV62" i="27" s="1"/>
  <c r="AU166" i="27"/>
  <c r="AX66" i="27"/>
  <c r="AW84" i="27"/>
  <c r="AW83" i="27"/>
  <c r="AW82" i="27"/>
  <c r="AU152" i="27" l="1"/>
  <c r="AX83" i="27"/>
  <c r="AY66" i="27"/>
  <c r="AX84" i="27"/>
  <c r="AX82" i="27"/>
  <c r="AV171" i="27"/>
  <c r="AV81" i="27"/>
  <c r="AW76" i="27"/>
  <c r="AW62" i="27" s="1"/>
  <c r="AV166" i="27"/>
  <c r="AV152" i="27" l="1"/>
  <c r="AW81" i="27"/>
  <c r="AW171" i="27"/>
  <c r="AW166" i="27"/>
  <c r="AZ66" i="27"/>
  <c r="AY83" i="27"/>
  <c r="AY82" i="27"/>
  <c r="AY84" i="27"/>
  <c r="AX76" i="27"/>
  <c r="AX62" i="27" s="1"/>
  <c r="AW152" i="27" l="1"/>
  <c r="AZ82" i="27"/>
  <c r="AZ84" i="27"/>
  <c r="AZ83" i="27"/>
  <c r="BA66" i="27"/>
  <c r="AX171" i="27"/>
  <c r="AX81" i="27"/>
  <c r="AX166" i="27"/>
  <c r="AY76" i="27"/>
  <c r="AY62" i="27" s="1"/>
  <c r="AX152" i="27" l="1"/>
  <c r="BB66" i="27"/>
  <c r="BA82" i="27"/>
  <c r="BA83" i="27"/>
  <c r="BA84" i="27"/>
  <c r="AY81" i="27"/>
  <c r="AY171" i="27"/>
  <c r="AZ76" i="27"/>
  <c r="AZ62" i="27" s="1"/>
  <c r="AY166" i="27"/>
  <c r="AY152" i="27" l="1"/>
  <c r="AZ166" i="27"/>
  <c r="BA76" i="27"/>
  <c r="BA62" i="27" s="1"/>
  <c r="AZ171" i="27"/>
  <c r="AZ81" i="27"/>
  <c r="BB82" i="27"/>
  <c r="BC66" i="27"/>
  <c r="BB84" i="27"/>
  <c r="BB83" i="27"/>
  <c r="AZ152" i="27" l="1"/>
  <c r="BA171" i="27"/>
  <c r="BA81" i="27"/>
  <c r="BA166" i="27"/>
  <c r="BB76" i="27"/>
  <c r="BB62" i="27" s="1"/>
  <c r="BD66" i="27"/>
  <c r="BC83" i="27"/>
  <c r="BC82" i="27"/>
  <c r="BC84" i="27"/>
  <c r="BA152" i="27" l="1"/>
  <c r="BC76" i="27"/>
  <c r="BC62" i="27" s="1"/>
  <c r="BB171" i="27"/>
  <c r="BB81" i="27"/>
  <c r="BE66" i="27"/>
  <c r="BD82" i="27"/>
  <c r="BD84" i="27"/>
  <c r="BD83" i="27"/>
  <c r="BB166" i="27"/>
  <c r="BB152" i="27" l="1"/>
  <c r="BF66" i="27"/>
  <c r="BE82" i="27"/>
  <c r="BE84" i="27"/>
  <c r="BE83" i="27"/>
  <c r="BD76" i="27"/>
  <c r="BD62" i="27" s="1"/>
  <c r="BC166" i="27"/>
  <c r="BC81" i="27"/>
  <c r="BC171" i="27"/>
  <c r="BC152" i="27" l="1"/>
  <c r="BE76" i="27"/>
  <c r="BE62" i="27" s="1"/>
  <c r="BD166" i="27"/>
  <c r="BD81" i="27"/>
  <c r="BD171" i="27"/>
  <c r="BG66" i="27"/>
  <c r="BF83" i="27"/>
  <c r="BF82" i="27"/>
  <c r="BF84" i="27"/>
  <c r="BD152" i="27" l="1"/>
  <c r="BE81" i="27"/>
  <c r="BE171" i="27"/>
  <c r="BG83" i="27"/>
  <c r="BH66" i="27"/>
  <c r="BG84" i="27"/>
  <c r="BG82" i="27"/>
  <c r="BF76" i="27"/>
  <c r="BF62" i="27" s="1"/>
  <c r="BE166" i="27"/>
  <c r="BE152" i="27" l="1"/>
  <c r="BF166" i="27"/>
  <c r="BF171" i="27"/>
  <c r="BF81" i="27"/>
  <c r="BH84" i="27"/>
  <c r="BH83" i="27"/>
  <c r="BI66" i="27"/>
  <c r="BH82" i="27"/>
  <c r="BG76" i="27"/>
  <c r="BG62" i="27" s="1"/>
  <c r="BF152" i="27" l="1"/>
  <c r="BH76" i="27"/>
  <c r="BH62" i="27" s="1"/>
  <c r="BJ66" i="27"/>
  <c r="BI83" i="27"/>
  <c r="BI82" i="27"/>
  <c r="BI84" i="27"/>
  <c r="BG81" i="27"/>
  <c r="BG171" i="27"/>
  <c r="BG166" i="27"/>
  <c r="BG152" i="27" l="1"/>
  <c r="BH171" i="27"/>
  <c r="BH81" i="27"/>
  <c r="BI76" i="27"/>
  <c r="BI62" i="27" s="1"/>
  <c r="BJ83" i="27"/>
  <c r="BJ82" i="27"/>
  <c r="BJ84" i="27"/>
  <c r="BK66" i="27"/>
  <c r="BH166" i="27"/>
  <c r="BH152" i="27" l="1"/>
  <c r="BJ76" i="27"/>
  <c r="BJ62" i="27" s="1"/>
  <c r="BI166" i="27"/>
  <c r="BI171" i="27"/>
  <c r="BI81" i="27"/>
  <c r="BK83" i="27"/>
  <c r="BK84" i="27"/>
  <c r="BK82" i="27"/>
  <c r="BL66" i="27"/>
  <c r="BI152" i="27" l="1"/>
  <c r="BJ81" i="27"/>
  <c r="BJ171" i="27"/>
  <c r="BK76" i="27"/>
  <c r="BK62" i="27" s="1"/>
  <c r="BL84" i="27"/>
  <c r="BL83" i="27"/>
  <c r="BL82" i="27"/>
  <c r="BM66" i="27"/>
  <c r="BJ166" i="27"/>
  <c r="BJ152" i="27" l="1"/>
  <c r="BL76" i="27"/>
  <c r="BL62" i="27" s="1"/>
  <c r="BK166" i="27"/>
  <c r="BK171" i="27"/>
  <c r="BK81" i="27"/>
  <c r="BN66" i="27"/>
  <c r="BM83" i="27"/>
  <c r="BM82" i="27"/>
  <c r="BM84" i="27"/>
  <c r="BK152" i="27" l="1"/>
  <c r="BN83" i="27"/>
  <c r="BN82" i="27"/>
  <c r="BN84" i="27"/>
  <c r="BO66" i="27"/>
  <c r="BL171" i="27"/>
  <c r="BL81" i="27"/>
  <c r="BM76" i="27"/>
  <c r="BM62" i="27" s="1"/>
  <c r="BL166" i="27"/>
  <c r="BL152" i="27" l="1"/>
  <c r="BM166" i="27"/>
  <c r="BP66" i="27"/>
  <c r="BO83" i="27"/>
  <c r="BO84" i="27"/>
  <c r="BO82" i="27"/>
  <c r="BN76" i="27"/>
  <c r="BN62" i="27" s="1"/>
  <c r="BM81" i="27"/>
  <c r="BM171" i="27"/>
  <c r="BM152" i="27" l="1"/>
  <c r="BN81" i="27"/>
  <c r="BN171" i="27"/>
  <c r="BP76" i="27"/>
  <c r="BP62" i="27" s="1"/>
  <c r="BP82" i="27"/>
  <c r="BQ66" i="27"/>
  <c r="BP84" i="27"/>
  <c r="BP83" i="27"/>
  <c r="BN166" i="27"/>
  <c r="BO76" i="27"/>
  <c r="BO62" i="27" s="1"/>
  <c r="BN152" i="27" l="1"/>
  <c r="BO171" i="27"/>
  <c r="BO81" i="27"/>
  <c r="BR66" i="27"/>
  <c r="BQ76" i="27"/>
  <c r="BQ62" i="27" s="1"/>
  <c r="BQ84" i="27"/>
  <c r="BQ82" i="27"/>
  <c r="BQ83" i="27"/>
  <c r="BO166" i="27"/>
  <c r="BO152" i="27" l="1"/>
  <c r="BS66" i="27"/>
  <c r="BR84" i="27"/>
  <c r="BR82" i="27"/>
  <c r="BR76" i="27"/>
  <c r="BR62" i="27" s="1"/>
  <c r="BR83" i="27"/>
  <c r="BS76" i="27" l="1"/>
  <c r="BS62" i="27" s="1"/>
  <c r="BS82" i="27"/>
  <c r="BS83" i="27"/>
  <c r="BS84" i="27"/>
  <c r="BT66" i="27"/>
  <c r="BT83" i="27" l="1"/>
  <c r="BT76" i="27"/>
  <c r="BT62" i="27" s="1"/>
  <c r="BT84" i="27"/>
  <c r="BT82" i="27"/>
  <c r="BU66" i="27"/>
  <c r="BU84" i="27" l="1"/>
  <c r="BU82" i="27"/>
  <c r="BU76" i="27"/>
  <c r="BU62" i="27" s="1"/>
  <c r="BU83" i="27"/>
  <c r="BV66" i="27"/>
  <c r="BV83" i="27" l="1"/>
  <c r="BV76" i="27"/>
  <c r="BV62" i="27" s="1"/>
  <c r="BV82" i="27"/>
  <c r="BW66" i="27"/>
  <c r="BV84" i="27"/>
  <c r="BW83" i="27" l="1"/>
  <c r="BW84" i="27"/>
  <c r="BX66" i="27"/>
  <c r="BW82" i="27"/>
  <c r="BW76" i="27"/>
  <c r="BW62" i="27" s="1"/>
  <c r="BX76" i="27" l="1"/>
  <c r="BX62" i="27" s="1"/>
  <c r="BX82" i="27"/>
  <c r="BX84" i="27"/>
  <c r="BY66" i="27"/>
  <c r="BX83" i="27"/>
  <c r="BY83" i="27" l="1"/>
  <c r="BY84" i="27"/>
  <c r="BY82" i="27"/>
  <c r="BZ66" i="27"/>
  <c r="BY76" i="27"/>
  <c r="BY62" i="27" s="1"/>
  <c r="BZ76" i="27" l="1"/>
  <c r="BZ62" i="27" s="1"/>
  <c r="CA66" i="27"/>
  <c r="BZ84" i="27"/>
  <c r="BZ83" i="27"/>
  <c r="BZ82" i="27"/>
  <c r="CA83" i="27" l="1"/>
  <c r="CA82" i="27"/>
  <c r="CA76" i="27"/>
  <c r="CA62" i="27" s="1"/>
  <c r="CB66" i="27"/>
  <c r="CA84" i="27"/>
  <c r="CB83" i="27" l="1"/>
  <c r="CB84" i="27"/>
  <c r="CB82" i="27"/>
  <c r="CB76" i="27"/>
  <c r="CB62" i="27" s="1"/>
  <c r="CC66" i="27"/>
  <c r="CC84" i="27" l="1"/>
  <c r="CD66" i="27"/>
  <c r="CC83" i="27"/>
  <c r="CC76" i="27"/>
  <c r="CC62" i="27" s="1"/>
  <c r="CC82" i="27"/>
  <c r="CD76" i="27" l="1"/>
  <c r="CD62" i="27" s="1"/>
  <c r="CD83" i="27"/>
  <c r="CD84" i="27"/>
  <c r="CE66" i="27"/>
  <c r="CD82" i="27"/>
  <c r="CE83" i="27" l="1"/>
  <c r="CF66" i="27"/>
  <c r="CE82" i="27"/>
  <c r="CE84" i="27"/>
  <c r="CE76" i="27"/>
  <c r="CE62" i="27" s="1"/>
  <c r="CF76" i="27" l="1"/>
  <c r="CF62" i="27" s="1"/>
  <c r="CF84" i="27"/>
  <c r="CF83" i="27"/>
  <c r="CG66" i="27"/>
  <c r="CF82" i="27"/>
  <c r="CG84" i="27" l="1"/>
  <c r="CG76" i="27"/>
  <c r="CG62" i="27" s="1"/>
  <c r="CG83" i="27"/>
  <c r="CG82" i="27"/>
  <c r="CH66" i="27"/>
  <c r="CH83" i="27" l="1"/>
  <c r="CH82" i="27"/>
  <c r="CI66" i="27"/>
  <c r="CH84" i="27"/>
  <c r="CH76" i="27"/>
  <c r="CH62" i="27" s="1"/>
  <c r="CI84" i="27" l="1"/>
  <c r="CI82" i="27"/>
  <c r="CI76" i="27"/>
  <c r="CI62" i="27" s="1"/>
  <c r="CI83"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57"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tc={1B691E0F-942E-4D8D-B954-1A9B3A309633}</author>
    <author>tc={891F83F8-1741-4E96-B353-F0727C2F34F8}</author>
    <author>tc={1ECD7FC9-D709-447A-8FC0-29AFF1A62A5F}</author>
    <author>tc={8BE0FA10-D167-4579-9781-2F311347DA72}</author>
    <author>tc={D0D5C442-A176-48EA-8841-8E9F171F0EA7}</author>
    <author>tc={66AF6430-BC0E-47F3-9869-538516401999}</author>
    <author>tc={980B9278-500B-4E5F-9C9B-8F71983D8AFA}</author>
  </authors>
  <commentList>
    <comment ref="M25" authorId="0" shapeId="0" xr:uid="{1B691E0F-942E-4D8D-B954-1A9B3A309633}">
      <text>
        <t>[Threaded comment]
Your version of Excel allows you to read this threaded comment; however, any edits to it will get removed if the file is opened in a newer version of Excel. Learn more: https://go.microsoft.com/fwlink/?linkid=870924
Comment:
    Increased from WRMP19 to average of reported annual outturn data 2019-2022</t>
      </text>
    </comment>
    <comment ref="I30" authorId="1" shapeId="0" xr:uid="{891F83F8-1741-4E96-B353-F0727C2F34F8}">
      <text>
        <t>[Threaded comment]
Your version of Excel allows you to read this threaded comment; however, any edits to it will get removed if the file is opened in a newer version of Excel. Learn more: https://go.microsoft.com/fwlink/?linkid=870924
Comment:
    NM full transfer volume accounted for in Aquator model runs, so added back in here (11.37) to avoid double counting on the planning tables due to reporting potable water exported in WAFU calc</t>
      </text>
    </comment>
    <comment ref="M35" authorId="2" shapeId="0" xr:uid="{1ECD7FC9-D709-447A-8FC0-29AFF1A62A5F}">
      <text>
        <t>[Threaded comment]
Your version of Excel allows you to read this threaded comment; however, any edits to it will get removed if the file is opened in a newer version of Excel. Learn more: https://go.microsoft.com/fwlink/?linkid=870924
Comment:
    Approximately 1 Ml/d at risk of being lost from DO starting in AMP8</t>
      </text>
    </comment>
    <comment ref="Q35" authorId="3" shapeId="0" xr:uid="{8BE0FA10-D167-4579-9781-2F311347DA72}">
      <text>
        <t>[Threaded comment]
Your version of Excel allows you to read this threaded comment; however, any edits to it will get removed if the file is opened in a newer version of Excel. Learn more: https://go.microsoft.com/fwlink/?linkid=870924
Comment:
    A further 3.1 Ml/d is at risk of being lost from DO starting in AMP9. Previous ED reductions proposed for 2050 (3.28 Ml/d) have been brought forward to 2030.</t>
      </text>
    </comment>
    <comment ref="I36" authorId="4" shapeId="0" xr:uid="{D0D5C442-A176-48EA-8841-8E9F171F0EA7}">
      <text>
        <t>[Threaded comment]
Your version of Excel allows you to read this threaded comment; however, any edits to it will get removed if the file is opened in a newer version of Excel. Learn more: https://go.microsoft.com/fwlink/?linkid=870924
Comment:
    Reduction of 3.52Ml/d as a result of Sherbourne being OOS and 1.24 as result of Charterhouse being OOS</t>
      </text>
    </comment>
    <comment ref="M39" authorId="5" shapeId="0" xr:uid="{66AF6430-BC0E-47F3-9869-538516401999}">
      <text>
        <t>[Threaded comment]
Your version of Excel allows you to read this threaded comment; however, any edits to it will get removed if the file is opened in a newer version of Excel. Learn more: https://go.microsoft.com/fwlink/?linkid=870924
Comment:
    Set as average of last 3 years outturn data (2019/20 - 2021/22)</t>
      </text>
    </comment>
    <comment ref="AG48" authorId="6" shapeId="0" xr:uid="{980B9278-500B-4E5F-9C9B-8F71983D8AFA}">
      <text>
        <t>[Threaded comment]
Your version of Excel allows you to read this threaded comment; however, any edits to it will get removed if the file is opened in a newer version of Excel. Learn more: https://go.microsoft.com/fwlink/?linkid=870924
Comment:
    Extrapolation method from WRMP19 continued beyond 2045 for WRMP24</t>
      </text>
    </comment>
  </commentList>
</comments>
</file>

<file path=xl/sharedStrings.xml><?xml version="1.0" encoding="utf-8"?>
<sst xmlns="http://schemas.openxmlformats.org/spreadsheetml/2006/main" count="9164" uniqueCount="2066">
  <si>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</si>
  <si>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</si>
  <si>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</si>
  <si>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</si>
  <si>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</si>
  <si>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</si>
  <si>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</si>
  <si>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Template Tables information</t>
  </si>
  <si>
    <t>Planning tables template version</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</si>
  <si>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</si>
  <si>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</si>
  <si>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</si>
  <si>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</si>
  <si>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</si>
  <si>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</si>
  <si>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Bristol Water</t>
  </si>
  <si>
    <t>Base Year:</t>
  </si>
  <si>
    <t>Signed:</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</si>
  <si>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</si>
  <si>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</si>
  <si>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</si>
  <si>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</si>
  <si>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</si>
  <si>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</si>
  <si>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</si>
  <si>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</si>
  <si>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</si>
  <si>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</si>
  <si>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</si>
  <si>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</si>
  <si>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</si>
  <si>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</si>
  <si>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</si>
  <si>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</si>
  <si>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</si>
  <si>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</si>
  <si>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</si>
  <si>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</si>
  <si>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</si>
  <si>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</si>
  <si>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</si>
  <si>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</si>
  <si>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</si>
  <si>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</si>
  <si>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</si>
  <si>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</si>
  <si>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</si>
  <si>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</si>
  <si>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</si>
  <si>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</si>
  <si>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</si>
  <si>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</si>
  <si>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</si>
  <si>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</si>
  <si>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</si>
  <si>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</si>
  <si>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</si>
  <si>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</si>
  <si>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</si>
  <si>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</si>
  <si>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</si>
  <si>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</si>
  <si>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</si>
  <si>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</si>
  <si>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</si>
  <si>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</si>
  <si>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</si>
  <si>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</si>
  <si>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</si>
  <si>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</si>
  <si>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</si>
  <si>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</si>
  <si>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</si>
  <si>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</si>
  <si>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</si>
  <si>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</si>
  <si>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</si>
  <si>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</si>
  <si>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</si>
  <si>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</si>
  <si>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SW: Tidal Waters</t>
  </si>
  <si>
    <t>Table 1b: WC Level - Baseline licences - Grouped licences</t>
  </si>
  <si>
    <t>0.2BL</t>
  </si>
  <si>
    <t>Sum (0.2BL+...)</t>
  </si>
  <si>
    <t>Total</t>
  </si>
  <si>
    <t>Group #:</t>
  </si>
  <si>
    <t>Table 1c: WC Level - Baseline licences - Unused licences</t>
  </si>
  <si>
    <t>Reason licence is unused</t>
  </si>
  <si>
    <t>0.3BL</t>
  </si>
  <si>
    <t>Sum (0.3BL+...)</t>
  </si>
  <si>
    <t>Table 1d: WC Level - Baseline licences - Drought only licences</t>
  </si>
  <si>
    <t>0.4BL</t>
  </si>
  <si>
    <t>Sum (0.4BL+...)</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</si>
  <si>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</si>
  <si>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</si>
  <si>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</si>
  <si>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</si>
  <si>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</si>
  <si>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</si>
  <si>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</si>
  <si>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</si>
  <si>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</si>
  <si>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</si>
  <si>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</si>
  <si>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</si>
  <si>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</si>
  <si>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</si>
  <si>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</si>
  <si>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</si>
  <si>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</si>
  <si>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</si>
  <si>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</si>
  <si>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</si>
  <si>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</si>
  <si>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</si>
  <si>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</si>
  <si>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</si>
  <si>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</si>
  <si>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</si>
  <si>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</si>
  <si>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</si>
  <si>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</si>
  <si>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</si>
  <si>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</si>
  <si>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</si>
  <si>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</si>
  <si>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</si>
  <si>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</si>
  <si>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</si>
  <si>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</si>
  <si>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2030-31</t>
  </si>
  <si>
    <t>2035-36</t>
  </si>
  <si>
    <t>2040-41</t>
  </si>
  <si>
    <t>2045-46</t>
  </si>
  <si>
    <t>2050-51</t>
  </si>
  <si>
    <t>2055-56</t>
  </si>
  <si>
    <t>2060-61</t>
  </si>
  <si>
    <t>2065-66</t>
  </si>
  <si>
    <t>2070-71</t>
  </si>
  <si>
    <t>2075-76</t>
  </si>
  <si>
    <t>2080-81</t>
  </si>
  <si>
    <t>2085-86</t>
  </si>
  <si>
    <t>2090-91</t>
  </si>
  <si>
    <t>2095-96</t>
  </si>
  <si>
    <t>1NY</t>
  </si>
  <si>
    <t>Total Household Consumption</t>
  </si>
  <si>
    <t>Ml/d</t>
  </si>
  <si>
    <t>2NY</t>
  </si>
  <si>
    <t>Average Household - PCC</t>
  </si>
  <si>
    <t>l/h/d</t>
  </si>
  <si>
    <t>3NY</t>
  </si>
  <si>
    <t>Total Non-Household Consumption</t>
  </si>
  <si>
    <t>4NY</t>
  </si>
  <si>
    <t>Total Leakage</t>
  </si>
  <si>
    <t>5NY</t>
  </si>
  <si>
    <t>Distribution input</t>
  </si>
  <si>
    <t>DYAA</t>
  </si>
  <si>
    <t>2031-32</t>
  </si>
  <si>
    <t>2032-33</t>
  </si>
  <si>
    <t>2033-34</t>
  </si>
  <si>
    <t>2034-35</t>
  </si>
  <si>
    <t>2036-37</t>
  </si>
  <si>
    <t>2037-38</t>
  </si>
  <si>
    <t>2038-39</t>
  </si>
  <si>
    <t>2039-40</t>
  </si>
  <si>
    <t>2041-42</t>
  </si>
  <si>
    <t>2042-43</t>
  </si>
  <si>
    <t>2043-44</t>
  </si>
  <si>
    <t>2044-45</t>
  </si>
  <si>
    <t>2046-47</t>
  </si>
  <si>
    <t>2047-48</t>
  </si>
  <si>
    <t>2048-49</t>
  </si>
  <si>
    <t>2049-50</t>
  </si>
  <si>
    <t>2051-52</t>
  </si>
  <si>
    <t>2052-53</t>
  </si>
  <si>
    <t>2053-54</t>
  </si>
  <si>
    <t>2054-55</t>
  </si>
  <si>
    <t>2056-57</t>
  </si>
  <si>
    <t>2057-58</t>
  </si>
  <si>
    <t>2058-59</t>
  </si>
  <si>
    <t>2059-60</t>
  </si>
  <si>
    <t>2061-62</t>
  </si>
  <si>
    <t>2062-63</t>
  </si>
  <si>
    <t>2063-64</t>
  </si>
  <si>
    <t>2064-65</t>
  </si>
  <si>
    <t>2066-67</t>
  </si>
  <si>
    <t>2067-68</t>
  </si>
  <si>
    <t>2068-69</t>
  </si>
  <si>
    <t>2069-70</t>
  </si>
  <si>
    <t>2071-72</t>
  </si>
  <si>
    <t>2072-73</t>
  </si>
  <si>
    <t>2073-74</t>
  </si>
  <si>
    <t>2074-75</t>
  </si>
  <si>
    <t>2076-77</t>
  </si>
  <si>
    <t>2077-78</t>
  </si>
  <si>
    <t>2078-79</t>
  </si>
  <si>
    <t>2079-80</t>
  </si>
  <si>
    <t>2081-82</t>
  </si>
  <si>
    <t>2082-83</t>
  </si>
  <si>
    <t>2083-84</t>
  </si>
  <si>
    <t>2084-85</t>
  </si>
  <si>
    <t>2086-87</t>
  </si>
  <si>
    <t>2087-88</t>
  </si>
  <si>
    <t>2088-89</t>
  </si>
  <si>
    <t>2089-90</t>
  </si>
  <si>
    <t>2091-92</t>
  </si>
  <si>
    <t>2092-93</t>
  </si>
  <si>
    <t>2093-94</t>
  </si>
  <si>
    <t>2094-95</t>
  </si>
  <si>
    <t>2096-97</t>
  </si>
  <si>
    <t>2097-98</t>
  </si>
  <si>
    <t>2098-99</t>
  </si>
  <si>
    <t>2099-100</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</si>
  <si>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</si>
  <si>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</si>
  <si>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</si>
  <si>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</si>
  <si>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</si>
  <si>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</si>
  <si>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</si>
  <si>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</si>
  <si>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</si>
  <si>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</si>
  <si>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</si>
  <si>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</si>
  <si>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</si>
  <si>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</si>
  <si>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</si>
  <si>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</si>
  <si>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</si>
  <si>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</si>
  <si>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</si>
  <si>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</si>
  <si>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</si>
  <si>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</si>
  <si>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</si>
  <si>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</si>
  <si>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</si>
  <si>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</si>
  <si>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</si>
  <si>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</si>
  <si>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</si>
  <si>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</si>
  <si>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</si>
  <si>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</si>
  <si>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</si>
  <si>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</si>
  <si>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</si>
  <si>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</si>
  <si>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</si>
  <si>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</si>
  <si>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</si>
  <si>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</si>
  <si>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</si>
  <si>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</si>
  <si>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</si>
  <si>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</si>
  <si>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</si>
  <si>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</si>
  <si>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</si>
  <si>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</si>
  <si>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</si>
  <si>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</si>
  <si>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</si>
  <si>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</si>
  <si>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</si>
  <si>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</si>
  <si>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</si>
  <si>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</si>
  <si>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</si>
  <si>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</si>
  <si>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</si>
  <si>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</si>
  <si>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</si>
  <si>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</si>
  <si>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</si>
  <si>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</si>
  <si>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</si>
  <si>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</si>
  <si>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</si>
  <si>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</si>
  <si>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</si>
  <si>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</si>
  <si>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</si>
  <si>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</si>
  <si>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</si>
  <si>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</si>
  <si>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</si>
  <si>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</si>
  <si>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</si>
  <si>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</si>
  <si>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</si>
  <si>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</si>
  <si>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</si>
  <si>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</si>
  <si>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</si>
  <si>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</si>
  <si>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</si>
  <si>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</si>
  <si>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</si>
  <si>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</si>
  <si>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</si>
  <si>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</si>
  <si>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</si>
  <si>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</si>
  <si>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</si>
  <si>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</si>
  <si>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</si>
  <si>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</si>
  <si>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</si>
  <si>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</si>
  <si>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</si>
  <si>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</si>
  <si>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</si>
  <si>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</si>
  <si>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</si>
  <si>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</si>
  <si>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</si>
  <si>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</si>
  <si>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</si>
  <si>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</si>
  <si>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</si>
  <si>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</si>
  <si>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</si>
  <si>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</si>
  <si>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</si>
  <si>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</si>
  <si>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</si>
  <si>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</si>
  <si>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</si>
  <si>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</si>
  <si>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</si>
  <si>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</si>
  <si>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</si>
  <si>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</si>
  <si>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</si>
  <si>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</si>
  <si>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</si>
  <si>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</si>
  <si>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</si>
  <si>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</si>
  <si>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</si>
  <si>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</si>
  <si>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</si>
  <si>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</si>
  <si>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</si>
  <si>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</si>
  <si>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</si>
  <si>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</si>
  <si>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</si>
  <si>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</si>
  <si>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</si>
  <si>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</si>
  <si>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</si>
  <si>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</si>
  <si>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BWXBRS</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</si>
  <si>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</si>
  <si>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</si>
  <si>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</si>
  <si>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</si>
  <si>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</si>
  <si>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</si>
  <si>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</si>
  <si>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</si>
  <si>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</si>
  <si>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</si>
  <si>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</si>
  <si>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</si>
  <si>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</si>
  <si>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</si>
  <si>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</si>
  <si>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</si>
  <si>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</si>
  <si>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</si>
  <si>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</si>
  <si>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</si>
  <si>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</si>
  <si>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</si>
  <si>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</si>
  <si>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</si>
  <si>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</si>
  <si>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</si>
  <si>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</si>
  <si>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</si>
  <si>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</si>
  <si>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</si>
  <si>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</si>
  <si>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</si>
  <si>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</si>
  <si>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</si>
  <si>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</si>
  <si>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</si>
  <si>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</si>
  <si>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</si>
  <si>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</si>
  <si>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</si>
  <si>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</si>
  <si>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</si>
  <si>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</si>
  <si>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</si>
  <si>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</si>
  <si>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</si>
  <si>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</si>
  <si>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</si>
  <si>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</si>
  <si>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</si>
  <si>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</si>
  <si>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</si>
  <si>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</si>
  <si>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</si>
  <si>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</si>
  <si>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</si>
  <si>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</si>
  <si>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</si>
  <si>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</si>
  <si>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</si>
  <si>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</si>
  <si>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</si>
  <si>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</si>
  <si>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</si>
  <si>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</si>
  <si>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</si>
  <si>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</si>
  <si>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</si>
  <si>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</si>
  <si>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</si>
  <si>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</si>
  <si>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</si>
  <si>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</si>
  <si>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</si>
  <si>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</si>
  <si>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</si>
  <si>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</si>
  <si>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</si>
  <si>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</si>
  <si>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</si>
  <si>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</si>
  <si>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</si>
  <si>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</si>
  <si>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</si>
  <si>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</si>
  <si>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</si>
  <si>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</si>
  <si>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</si>
  <si>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</si>
  <si>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</si>
  <si>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</si>
  <si>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</si>
  <si>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</si>
  <si>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</si>
  <si>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</si>
  <si>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</si>
  <si>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</si>
  <si>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</si>
  <si>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</si>
  <si>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</si>
  <si>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</si>
  <si>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</si>
  <si>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</si>
  <si>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</si>
  <si>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</si>
  <si>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</si>
  <si>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</si>
  <si>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</si>
  <si>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</si>
  <si>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</si>
  <si>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</si>
  <si>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</si>
  <si>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</si>
  <si>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</si>
  <si>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</si>
  <si>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</si>
  <si>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</si>
  <si>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</si>
  <si>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</si>
  <si>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</si>
  <si>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</si>
  <si>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</si>
  <si>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</si>
  <si>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</si>
  <si>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</si>
  <si>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</si>
  <si>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</si>
  <si>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</si>
  <si>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</si>
  <si>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</si>
  <si>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</si>
  <si>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</si>
  <si>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</si>
  <si>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</si>
  <si>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</si>
  <si>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</si>
  <si>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</si>
  <si>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</si>
  <si>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</si>
  <si>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</si>
  <si>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</si>
  <si>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</si>
  <si>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</si>
  <si>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</si>
  <si>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</si>
  <si>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</si>
  <si>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</si>
  <si>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</si>
  <si>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</si>
  <si>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</si>
  <si>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</si>
  <si>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</si>
  <si>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</si>
  <si>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</si>
  <si>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</si>
  <si>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</si>
  <si>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</si>
  <si>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</si>
  <si>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</si>
  <si>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</si>
  <si>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</si>
  <si>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</si>
  <si>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</si>
  <si>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</si>
  <si>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</si>
  <si>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</si>
  <si>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</si>
  <si>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</si>
  <si>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</si>
  <si>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</si>
  <si>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</si>
  <si>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</si>
  <si>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</si>
  <si>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</si>
  <si>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</si>
  <si>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</si>
  <si>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</si>
  <si>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</si>
  <si>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</si>
  <si>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</si>
  <si>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</si>
  <si>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</si>
  <si>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</si>
  <si>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</si>
  <si>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</si>
  <si>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</si>
  <si>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</si>
  <si>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</si>
  <si>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</si>
  <si>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</si>
  <si>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</si>
  <si>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</si>
  <si>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</si>
  <si>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</si>
  <si>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</si>
  <si>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</si>
  <si>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</si>
  <si>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</si>
  <si>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</si>
  <si>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</si>
  <si>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</si>
  <si>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</si>
  <si>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</si>
  <si>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</si>
  <si>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</si>
  <si>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</si>
  <si>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</si>
  <si>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</si>
  <si>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</si>
  <si>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</si>
  <si>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</si>
  <si>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</si>
  <si>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</si>
  <si>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</si>
  <si>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</si>
  <si>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</si>
  <si>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</si>
  <si>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</si>
  <si>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</si>
  <si>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</si>
  <si>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</si>
  <si>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</si>
  <si>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</si>
  <si>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</si>
  <si>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</si>
  <si>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</si>
  <si>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</si>
  <si>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</si>
  <si>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</si>
  <si>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</si>
  <si>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</si>
  <si>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</si>
  <si>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</si>
  <si>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</si>
  <si>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</si>
  <si>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</si>
  <si>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</si>
  <si>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</si>
  <si>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</si>
  <si>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</si>
  <si>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</si>
  <si>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</si>
  <si>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</si>
  <si>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</si>
  <si>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</si>
  <si>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</si>
  <si>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</si>
  <si>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</si>
  <si>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</si>
  <si>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</si>
  <si>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</si>
  <si>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</si>
  <si>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</si>
  <si>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</si>
  <si>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</si>
  <si>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</si>
  <si>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</si>
  <si>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</si>
  <si>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</si>
  <si>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</si>
  <si>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</si>
  <si>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</si>
  <si>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</si>
  <si>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</si>
  <si>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</si>
  <si>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</si>
  <si>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</si>
  <si>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</si>
  <si>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</si>
  <si>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</si>
  <si>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</si>
  <si>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</si>
  <si>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</si>
  <si>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</si>
  <si>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</si>
  <si>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</si>
  <si>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</si>
  <si>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</si>
  <si>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</si>
  <si>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</si>
  <si>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</si>
  <si>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</si>
  <si>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</si>
  <si>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</si>
  <si>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</si>
  <si>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</si>
  <si>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</si>
  <si>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</si>
  <si>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</si>
  <si>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</si>
  <si>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</si>
  <si>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</si>
  <si>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</si>
  <si>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</si>
  <si>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</si>
  <si>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</si>
  <si>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</si>
  <si>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</si>
  <si>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</si>
  <si>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</si>
  <si>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</si>
  <si>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</si>
  <si>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</si>
  <si>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</si>
  <si>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</si>
  <si>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</si>
  <si>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</si>
  <si>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</si>
  <si>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</si>
  <si>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</si>
  <si>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</si>
  <si>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</si>
  <si>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</si>
  <si>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</si>
  <si>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</si>
  <si>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</si>
  <si>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</si>
  <si>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</si>
  <si>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</si>
  <si>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</si>
  <si>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</si>
  <si>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</si>
  <si>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</si>
  <si>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</si>
  <si>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</si>
  <si>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</si>
  <si>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</si>
  <si>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</si>
  <si>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</si>
  <si>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</si>
  <si>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</si>
  <si>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</si>
  <si>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</si>
  <si>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</si>
  <si>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</si>
  <si>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</si>
  <si>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</si>
  <si>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</si>
  <si>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</si>
  <si>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</si>
  <si>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</si>
  <si>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</si>
  <si>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</si>
  <si>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</si>
  <si>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</si>
  <si>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</si>
  <si>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</si>
  <si>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</si>
  <si>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</si>
  <si>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</si>
  <si>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</si>
  <si>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</si>
  <si>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</si>
  <si>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</si>
  <si>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</si>
  <si>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</si>
  <si>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</si>
  <si>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</si>
  <si>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</si>
  <si>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</si>
  <si>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</si>
  <si>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</si>
  <si>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</si>
  <si>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</si>
  <si>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</si>
  <si>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</si>
  <si>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</si>
  <si>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</si>
  <si>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</si>
  <si>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</si>
  <si>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</si>
  <si>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</si>
  <si>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</si>
  <si>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</si>
  <si>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</si>
  <si>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</si>
  <si>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</si>
  <si>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</si>
  <si>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</si>
  <si>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</si>
  <si>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</si>
  <si>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</si>
  <si>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</si>
  <si>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</si>
  <si>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</si>
  <si>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</si>
  <si>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</si>
  <si>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</si>
  <si>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</si>
  <si>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</si>
  <si>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(define units)</t>
  </si>
  <si>
    <t>B&amp;H
Non-monetised metric where applicable (define units)</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</si>
  <si>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</si>
  <si>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</si>
  <si>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</si>
  <si>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</si>
  <si>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</si>
  <si>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</si>
  <si>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</si>
  <si>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</si>
  <si>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</si>
  <si>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</si>
  <si>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</si>
  <si>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Aquifer recharge/Aquifer storage recovery</t>
  </si>
  <si>
    <t> </t>
  </si>
  <si>
    <t>N/A</t>
  </si>
  <si>
    <t>Catchment management</t>
  </si>
  <si>
    <t>Desalination</t>
  </si>
  <si>
    <t>Drought permits/orders</t>
  </si>
  <si>
    <t>Water reuse</t>
  </si>
  <si>
    <t>External raw water bulk supply/transfer</t>
  </si>
  <si>
    <t>Groundwater enhancement</t>
  </si>
  <si>
    <t>Internal raw water transfer</t>
  </si>
  <si>
    <t>New groundwater</t>
  </si>
  <si>
    <t>New surface water</t>
  </si>
  <si>
    <t>Trunk mains renewal/new</t>
  </si>
  <si>
    <t>External potable bulk supply/transfer</t>
  </si>
  <si>
    <t>Licence trading</t>
  </si>
  <si>
    <t>Outage reduction</t>
  </si>
  <si>
    <t>Retrofitting indoor water efficiency devices</t>
  </si>
  <si>
    <t>Water efficiency customer education / awareness</t>
  </si>
  <si>
    <t>Tariff</t>
  </si>
  <si>
    <t>Other water efficiency</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</si>
  <si>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</si>
  <si>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</si>
  <si>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</si>
  <si>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</si>
  <si>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</si>
  <si>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</si>
  <si>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</si>
  <si>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</si>
  <si>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</si>
  <si>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</si>
  <si>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</si>
  <si>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</si>
  <si>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</si>
  <si>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</si>
  <si>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</si>
  <si>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</si>
  <si>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</si>
  <si>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</si>
  <si>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</si>
  <si>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</si>
  <si>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</si>
  <si>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</si>
  <si>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</si>
  <si>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</si>
  <si>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</si>
  <si>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</si>
  <si>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 xml:space="preserve">Capex </t>
  </si>
  <si>
    <t>Opex</t>
  </si>
  <si>
    <t xml:space="preserve">Total </t>
  </si>
  <si>
    <t>Financing Cost</t>
  </si>
  <si>
    <t xml:space="preserve">Discount Rate </t>
  </si>
  <si>
    <t>Discount Factor</t>
  </si>
  <si>
    <t>Capex</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</si>
  <si>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</si>
  <si>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</si>
  <si>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</si>
  <si>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</si>
  <si>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</si>
  <si>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</si>
  <si>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</si>
  <si>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</si>
  <si>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</si>
  <si>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</si>
  <si>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</si>
  <si>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</si>
  <si>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</si>
  <si>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</si>
  <si>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</si>
  <si>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</si>
  <si>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</si>
  <si>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</si>
  <si>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</si>
  <si>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</si>
  <si>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</si>
  <si>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</si>
  <si>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</si>
  <si>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</si>
  <si>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</si>
  <si>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</si>
  <si>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</si>
  <si>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</si>
  <si>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</si>
  <si>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</si>
  <si>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</si>
  <si>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</si>
  <si>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</si>
  <si>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</si>
  <si>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</si>
  <si>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</si>
  <si>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</si>
  <si>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</si>
  <si>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</si>
  <si>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</si>
  <si>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</si>
  <si>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Freeform row 1</t>
  </si>
  <si>
    <t>Freeform row 2</t>
  </si>
  <si>
    <t>Freeform row x</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</si>
  <si>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</si>
  <si>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</si>
  <si>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</si>
  <si>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</si>
  <si>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</si>
  <si>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</si>
  <si>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</si>
  <si>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</si>
  <si>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</si>
  <si>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</si>
  <si>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</si>
  <si>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</si>
  <si>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</si>
  <si>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</si>
  <si>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</si>
  <si>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</si>
  <si>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</si>
  <si>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</si>
  <si>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</si>
  <si>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</si>
  <si>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</si>
  <si>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</si>
  <si>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</si>
  <si>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</si>
  <si>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</si>
  <si>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</si>
  <si>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</si>
  <si>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</si>
  <si>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</si>
  <si>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</si>
  <si>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</si>
  <si>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</si>
  <si>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</si>
  <si>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</si>
  <si>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</si>
  <si>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</si>
  <si>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</si>
  <si>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</si>
  <si>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</si>
  <si>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</si>
  <si>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</si>
  <si>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</si>
  <si>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</si>
  <si>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</si>
  <si>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</si>
  <si>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</si>
  <si>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(define year and return period)</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</si>
  <si>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</si>
  <si>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</si>
  <si>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</si>
  <si>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</si>
  <si>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</si>
  <si>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</si>
  <si>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</si>
  <si>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</si>
  <si>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</si>
  <si>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</si>
  <si>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</si>
  <si>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</si>
  <si>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t>Demand Side</t>
  </si>
  <si>
    <t>page x, para y</t>
  </si>
  <si>
    <t>2FPD</t>
  </si>
  <si>
    <t>Licensed drought only sources</t>
  </si>
  <si>
    <t>Supply Side</t>
  </si>
  <si>
    <t>Other level 1 drought measures</t>
  </si>
  <si>
    <t>4FPD</t>
  </si>
  <si>
    <t>Temporary Use Bans</t>
  </si>
  <si>
    <t>5FPD</t>
  </si>
  <si>
    <t>Level 2 Drought Permits/Orders</t>
  </si>
  <si>
    <t>6FPD</t>
  </si>
  <si>
    <t>Other level 2 drought measures</t>
  </si>
  <si>
    <t>7FPD</t>
  </si>
  <si>
    <t>8FPD</t>
  </si>
  <si>
    <t>Level 3 Drought Permits/Orders</t>
  </si>
  <si>
    <t>9FPD</t>
  </si>
  <si>
    <t>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</si>
  <si>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</si>
  <si>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</si>
  <si>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</si>
  <si>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</si>
  <si>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</si>
  <si>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</si>
  <si>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</si>
  <si>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</si>
  <si>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</si>
  <si>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</si>
  <si>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</si>
  <si>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</si>
  <si>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</si>
  <si>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</si>
  <si>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</si>
  <si>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</si>
  <si>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</si>
  <si>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</si>
  <si>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</si>
  <si>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</si>
  <si>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</si>
  <si>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</si>
  <si>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</si>
  <si>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</si>
  <si>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</si>
  <si>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 xml:space="preserve"> [specify]</t>
  </si>
  <si>
    <t>WRZ(s) impacted</t>
  </si>
  <si>
    <t>List IDs</t>
  </si>
  <si>
    <t>DYAA - 1 in 500</t>
  </si>
  <si>
    <t>Description of key triggers for alternative programme activation</t>
  </si>
  <si>
    <t xml:space="preserve">Detail which component(s) changed in your baseline alternative plan and specifically when would the alternative programme be triggered
</t>
  </si>
  <si>
    <t xml:space="preserve">
Monitoring and triggering of alternative programme</t>
  </si>
  <si>
    <t xml:space="preserve">
Specify what you will monitor, at what frequency, to assess whether the alternative programme is required.</t>
  </si>
  <si>
    <t>Insert figure to represent your adaptive programmes here
 if applicable</t>
  </si>
  <si>
    <t>Option differences to preferred (most likely) programme</t>
  </si>
  <si>
    <t xml:space="preserve">Additional options selected: State option IDs
Preferred options removed: State Option IDs
This should be aligned to options flagged in your alternative programme in tables 4 and 5. </t>
  </si>
  <si>
    <t>NPV cost associated with programme (£000)</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</si>
  <si>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</si>
  <si>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</si>
  <si>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</si>
  <si>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</si>
  <si>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</si>
  <si>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</si>
  <si>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</si>
  <si>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</si>
  <si>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</si>
  <si>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</si>
  <si>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</si>
  <si>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</si>
  <si>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</si>
  <si>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</si>
  <si>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</si>
  <si>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</si>
  <si>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</si>
  <si>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</si>
  <si>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</si>
  <si>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</si>
  <si>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</si>
  <si>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</si>
  <si>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</si>
  <si>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</si>
  <si>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</si>
  <si>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</si>
  <si>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</si>
  <si>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</si>
  <si>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</si>
  <si>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</si>
  <si>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</si>
  <si>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</si>
  <si>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</si>
  <si>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</si>
  <si>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</si>
  <si>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</si>
  <si>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</si>
  <si>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</si>
  <si>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AP7FP</t>
  </si>
  <si>
    <t>Totex savings (base)</t>
  </si>
  <si>
    <t>AP8FP</t>
  </si>
  <si>
    <t>Totex total (base)</t>
  </si>
  <si>
    <t>AP9FP</t>
  </si>
  <si>
    <t>Total enhancement expenditure</t>
  </si>
  <si>
    <t>AP10FP</t>
  </si>
  <si>
    <t>AP11FP</t>
  </si>
  <si>
    <t>Preferred (most likely) programme</t>
  </si>
  <si>
    <t>NPV cost associated with plan (£000)</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</si>
  <si>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</si>
  <si>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</si>
  <si>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</si>
  <si>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</si>
  <si>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</si>
  <si>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</si>
  <si>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</si>
  <si>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</si>
  <si>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</si>
  <si>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</si>
  <si>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</si>
  <si>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</si>
  <si>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</si>
  <si>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</si>
  <si>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</si>
  <si>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</si>
  <si>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</si>
  <si>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</si>
  <si>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</si>
  <si>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</si>
  <si>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</si>
  <si>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</si>
  <si>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</si>
  <si>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</si>
  <si>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</si>
  <si>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</si>
  <si>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</si>
  <si>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</si>
  <si>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</si>
  <si>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</si>
  <si>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</si>
  <si>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</si>
  <si>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</si>
  <si>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</si>
  <si>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</si>
  <si>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</si>
  <si>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</si>
  <si>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</si>
  <si>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</si>
  <si>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</si>
  <si>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</si>
  <si>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</si>
  <si>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</si>
  <si>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</si>
  <si>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£M</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</si>
  <si>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</si>
  <si>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</si>
  <si>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</si>
  <si>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</si>
  <si>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</si>
  <si>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</si>
  <si>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</si>
  <si>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</si>
  <si>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</si>
  <si>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</si>
  <si>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</si>
  <si>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</si>
  <si>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</si>
  <si>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</si>
  <si>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New basic meters introduced by companies for existing customers (optants)</t>
  </si>
  <si>
    <t>C4.2</t>
  </si>
  <si>
    <t>New AMR meters  introduced by companies for existing customers (optants)</t>
  </si>
  <si>
    <t>C4.3</t>
  </si>
  <si>
    <t>New AMI meters introduced by companies for existing customers (optants)</t>
  </si>
  <si>
    <t>C5</t>
  </si>
  <si>
    <t>C5.1</t>
  </si>
  <si>
    <t>C5.2</t>
  </si>
  <si>
    <t>New AMR meters introduced by companies for existing customers (optants)</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</si>
  <si>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</si>
  <si>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</si>
  <si>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</si>
  <si>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</si>
  <si>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</si>
  <si>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</si>
  <si>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</si>
  <si>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</si>
  <si>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</si>
  <si>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</si>
  <si>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</si>
  <si>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</si>
  <si>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</si>
  <si>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</si>
  <si>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</si>
  <si>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</si>
  <si>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</si>
  <si>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</si>
  <si>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</si>
  <si>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C12</t>
  </si>
  <si>
    <t>Smart metering infrastructure</t>
  </si>
  <si>
    <t>C13</t>
  </si>
  <si>
    <t>C14</t>
  </si>
  <si>
    <t>C15</t>
  </si>
  <si>
    <t>C16</t>
  </si>
  <si>
    <t>C17</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</si>
  <si>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</si>
  <si>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</si>
  <si>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</si>
  <si>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</si>
  <si>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</si>
  <si>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</si>
  <si>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</si>
  <si>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</si>
  <si>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</si>
  <si>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</si>
  <si>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</si>
  <si>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</si>
  <si>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</si>
  <si>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</si>
  <si>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</si>
  <si>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</si>
  <si>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</si>
  <si>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</si>
  <si>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</si>
  <si>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</si>
  <si>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</si>
  <si>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</si>
  <si>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</si>
  <si>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</si>
  <si>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</si>
  <si>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</si>
  <si>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</si>
  <si>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</si>
  <si>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</si>
  <si>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</si>
  <si>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</si>
  <si>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</si>
  <si>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</si>
  <si>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</si>
  <si>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</si>
  <si>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</si>
  <si>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</si>
  <si>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</si>
  <si>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</si>
  <si>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</si>
  <si>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Ofwat Core programme</t>
  </si>
  <si>
    <t>Option Type</t>
  </si>
  <si>
    <t>COMPANY</t>
  </si>
  <si>
    <t>WRZ_NAME</t>
  </si>
  <si>
    <t>RZ_ID</t>
  </si>
  <si>
    <t>WC id</t>
  </si>
  <si>
    <t>WRZ id</t>
  </si>
  <si>
    <t>Combined id</t>
  </si>
  <si>
    <t>Bristol</t>
  </si>
  <si>
    <t>BWX</t>
  </si>
  <si>
    <t>BRS</t>
  </si>
  <si>
    <t>Resource Options</t>
  </si>
  <si>
    <t>Affinity Water</t>
  </si>
  <si>
    <t>1 Misbourne</t>
  </si>
  <si>
    <t>AFW</t>
  </si>
  <si>
    <t>MS1</t>
  </si>
  <si>
    <t>AFWMS1</t>
  </si>
  <si>
    <t>2 Colne</t>
  </si>
  <si>
    <t>CN2</t>
  </si>
  <si>
    <t>AFWCN2</t>
  </si>
  <si>
    <t xml:space="preserve">Conjunctive use </t>
  </si>
  <si>
    <t>3 Lee</t>
  </si>
  <si>
    <t>LE3</t>
  </si>
  <si>
    <t>AFWLE3</t>
  </si>
  <si>
    <t>4 Pinn</t>
  </si>
  <si>
    <t>PN4</t>
  </si>
  <si>
    <t>AFWPN4</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</si>
  <si>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</si>
  <si>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</si>
  <si>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</si>
  <si>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</si>
  <si>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</si>
  <si>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</si>
  <si>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</si>
  <si>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</si>
  <si>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</si>
  <si>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</si>
  <si>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</si>
  <si>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</si>
  <si>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</si>
  <si>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</si>
  <si>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</si>
  <si>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</si>
  <si>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</si>
  <si>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</si>
  <si>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</si>
  <si>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</si>
  <si>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</si>
  <si>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</si>
  <si>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</si>
  <si>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</si>
  <si>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New reservoir</t>
  </si>
  <si>
    <t>Hartlepool</t>
  </si>
  <si>
    <t>HPL</t>
  </si>
  <si>
    <t>AWSHPL</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</si>
  <si>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</si>
  <si>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</si>
  <si>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</si>
  <si>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</si>
  <si>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</si>
  <si>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</si>
  <si>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</si>
  <si>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</si>
  <si>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</si>
  <si>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</si>
  <si>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</si>
  <si>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</si>
  <si>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</si>
  <si>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</si>
  <si>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</si>
  <si>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</si>
  <si>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</si>
  <si>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</si>
  <si>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</si>
  <si>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</si>
  <si>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</si>
  <si>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</si>
  <si>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</si>
  <si>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</si>
  <si>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</si>
  <si>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</si>
  <si>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</si>
  <si>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</si>
  <si>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</si>
  <si>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</si>
  <si>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</si>
  <si>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</si>
  <si>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</si>
  <si>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</si>
  <si>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Water treatment works capacity increase</t>
  </si>
  <si>
    <t>Norfolk Harleston</t>
  </si>
  <si>
    <t>NHL</t>
  </si>
  <si>
    <t>AWSNHL</t>
  </si>
  <si>
    <t>Water treatment works loss recovery</t>
  </si>
  <si>
    <t>Norfolk North Coast</t>
  </si>
  <si>
    <t>NNC</t>
  </si>
  <si>
    <t>AWSNNC</t>
  </si>
  <si>
    <t>Active leakage management</t>
  </si>
  <si>
    <t>Distribution Options</t>
  </si>
  <si>
    <t>Norfolk Norwich &amp; the Broads</t>
  </si>
  <si>
    <t>NTB</t>
  </si>
  <si>
    <t>AWSNTB</t>
  </si>
  <si>
    <t>Norfolk Wymondham</t>
  </si>
  <si>
    <t>NWY</t>
  </si>
  <si>
    <t>AWSNWY</t>
  </si>
  <si>
    <t>Internal potable transfer</t>
  </si>
  <si>
    <t>Ruthamford Central</t>
  </si>
  <si>
    <t>RTC</t>
  </si>
  <si>
    <t>AWSRTC</t>
  </si>
  <si>
    <t>Mains replacement (not trunk mains)</t>
  </si>
  <si>
    <t>Ruthamford North</t>
  </si>
  <si>
    <t>RTN</t>
  </si>
  <si>
    <t>AWSRTN</t>
  </si>
  <si>
    <t>Other leakage control</t>
  </si>
  <si>
    <t>Ruthamford South</t>
  </si>
  <si>
    <t>RTS</t>
  </si>
  <si>
    <t>AWSRTS</t>
  </si>
  <si>
    <t>Pressure management</t>
  </si>
  <si>
    <t>Ruthamford West</t>
  </si>
  <si>
    <t>RTW</t>
  </si>
  <si>
    <t>AWSRTW</t>
  </si>
  <si>
    <t>South Humber Bank</t>
  </si>
  <si>
    <t>SHB</t>
  </si>
  <si>
    <t>AWSSHB</t>
  </si>
  <si>
    <t>Change in levels of service</t>
  </si>
  <si>
    <t>Customer Options</t>
  </si>
  <si>
    <t>Suffolk East</t>
  </si>
  <si>
    <t>SUE</t>
  </si>
  <si>
    <t>AWSSUE</t>
  </si>
  <si>
    <t>Household water audit</t>
  </si>
  <si>
    <t>Suffolk Ixworth</t>
  </si>
  <si>
    <t>SUI</t>
  </si>
  <si>
    <t>AWSSUI</t>
  </si>
  <si>
    <t>Household water recycling</t>
  </si>
  <si>
    <t>Suffolk Sudbury</t>
  </si>
  <si>
    <t>SUS</t>
  </si>
  <si>
    <t>AWSSUS</t>
  </si>
  <si>
    <t>Metering change of occupancy</t>
  </si>
  <si>
    <t>Suffolk Thetford</t>
  </si>
  <si>
    <t>SUT</t>
  </si>
  <si>
    <t>AWSSUT</t>
  </si>
  <si>
    <t>Metering compulsory</t>
  </si>
  <si>
    <t>Suffolk West &amp; Cambs</t>
  </si>
  <si>
    <t>SWC</t>
  </si>
  <si>
    <t>AWSSWC</t>
  </si>
  <si>
    <t>Metering optants</t>
  </si>
  <si>
    <t>Metering other selective</t>
  </si>
  <si>
    <t>Cambridge Water</t>
  </si>
  <si>
    <t>Cambridge</t>
  </si>
  <si>
    <t>CAM</t>
  </si>
  <si>
    <t>CAMCAM</t>
  </si>
  <si>
    <t>Non-household water audit</t>
  </si>
  <si>
    <t>Dwr Cymru Welsh Water</t>
  </si>
  <si>
    <t>Alwen /Dee</t>
  </si>
  <si>
    <t>DCW</t>
  </si>
  <si>
    <t>ALW</t>
  </si>
  <si>
    <t>DCWALW</t>
  </si>
  <si>
    <t>Bala</t>
  </si>
  <si>
    <t>BAL</t>
  </si>
  <si>
    <t>DCWBAL</t>
  </si>
  <si>
    <t>Rainwater harvesting</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</si>
  <si>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</si>
  <si>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</si>
  <si>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</si>
  <si>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</si>
  <si>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</si>
  <si>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</si>
  <si>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</si>
  <si>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</si>
  <si>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</si>
  <si>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</si>
  <si>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</si>
  <si>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</si>
  <si>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</si>
  <si>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</si>
  <si>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</si>
  <si>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</si>
  <si>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</si>
  <si>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</si>
  <si>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</si>
  <si>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</si>
  <si>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</si>
  <si>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</si>
  <si>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</si>
  <si>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</si>
  <si>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</si>
  <si>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</si>
  <si>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</si>
  <si>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</si>
  <si>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</si>
  <si>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</si>
  <si>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</si>
  <si>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</si>
  <si>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</si>
  <si>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</si>
  <si>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</si>
  <si>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</si>
  <si>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</si>
  <si>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</si>
  <si>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</si>
  <si>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</si>
  <si>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</si>
  <si>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</si>
  <si>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</si>
  <si>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</si>
  <si>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</si>
  <si>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</si>
  <si>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</si>
  <si>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</si>
  <si>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</si>
  <si>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</si>
  <si>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</si>
  <si>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</si>
  <si>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</si>
  <si>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</si>
  <si>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</si>
  <si>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</si>
  <si>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</si>
  <si>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</si>
  <si>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</si>
  <si>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</si>
  <si>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</si>
  <si>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</si>
  <si>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</si>
  <si>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</si>
  <si>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</si>
  <si>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</si>
  <si>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</si>
  <si>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</si>
  <si>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</si>
  <si>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</si>
  <si>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</si>
  <si>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</si>
  <si>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</si>
  <si>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</si>
  <si>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</si>
  <si>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</si>
  <si>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</si>
  <si>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</si>
  <si>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</si>
  <si>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</si>
  <si>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</si>
  <si>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</si>
  <si>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</si>
  <si>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</si>
  <si>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</si>
  <si>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</si>
  <si>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</si>
  <si>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</si>
  <si>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</si>
  <si>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</si>
  <si>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</si>
  <si>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</si>
  <si>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</si>
  <si>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</si>
  <si>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</si>
  <si>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</si>
  <si>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</si>
  <si>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</si>
  <si>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</si>
  <si>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</si>
  <si>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</si>
  <si>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</si>
  <si>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</si>
  <si>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</si>
  <si>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</si>
  <si>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</si>
  <si>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</si>
  <si>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</si>
  <si>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</si>
  <si>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</si>
  <si>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</si>
  <si>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</si>
  <si>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</si>
  <si>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</si>
  <si>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</si>
  <si>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</si>
  <si>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</si>
  <si>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</si>
  <si>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</si>
  <si>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</si>
  <si>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</si>
  <si>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</si>
  <si>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</si>
  <si>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</si>
  <si>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</si>
  <si>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</si>
  <si>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</si>
  <si>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</si>
  <si>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</si>
  <si>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</si>
  <si>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</si>
  <si>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</si>
  <si>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</si>
  <si>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</si>
  <si>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</si>
  <si>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</si>
  <si>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</si>
  <si>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</si>
  <si>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</si>
  <si>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</si>
  <si>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</si>
  <si>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</si>
  <si>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</si>
  <si>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</si>
  <si>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</si>
  <si>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</si>
  <si>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</si>
  <si>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</si>
  <si>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</si>
  <si>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</si>
  <si>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</si>
  <si>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</si>
  <si>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</si>
  <si>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</si>
  <si>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</si>
  <si>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</si>
  <si>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</si>
  <si>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</si>
  <si>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</si>
  <si>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</si>
  <si>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</si>
  <si>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</si>
  <si>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</si>
  <si>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</si>
  <si>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</si>
  <si>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</si>
  <si>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</si>
  <si>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</si>
  <si>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</si>
  <si>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</si>
  <si>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</si>
  <si>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</si>
  <si>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</si>
  <si>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</si>
  <si>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</si>
  <si>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</si>
  <si>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</si>
  <si>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</si>
  <si>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</si>
  <si>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</si>
  <si>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</si>
  <si>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</si>
  <si>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</si>
  <si>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</si>
  <si>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</si>
  <si>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</si>
  <si>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</si>
  <si>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</si>
  <si>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</si>
  <si>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</si>
  <si>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</si>
  <si>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</si>
  <si>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</si>
  <si>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</si>
  <si>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</si>
  <si>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</si>
  <si>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</si>
  <si>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</si>
  <si>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</si>
  <si>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</si>
  <si>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</si>
  <si>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</si>
  <si>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</si>
  <si>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</si>
  <si>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</si>
  <si>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</si>
  <si>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</si>
  <si>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</si>
  <si>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</si>
  <si>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</si>
  <si>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</si>
  <si>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</si>
  <si>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</si>
  <si>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</si>
  <si>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</si>
  <si>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</si>
  <si>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</si>
  <si>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</si>
  <si>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</si>
  <si>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</si>
  <si>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</si>
  <si>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</si>
  <si>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</si>
  <si>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</si>
  <si>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</si>
  <si>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</si>
  <si>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</si>
  <si>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</si>
  <si>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</si>
  <si>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</si>
  <si>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</si>
  <si>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</si>
  <si>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</si>
  <si>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</si>
  <si>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</si>
  <si>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</si>
  <si>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</si>
  <si>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</si>
  <si>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</si>
  <si>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</si>
  <si>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</si>
  <si>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</si>
  <si>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</si>
  <si>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</si>
  <si>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</si>
  <si>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</si>
  <si>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</si>
  <si>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</si>
  <si>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</si>
  <si>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</si>
  <si>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</si>
  <si>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</si>
  <si>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</si>
  <si>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</si>
  <si>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</si>
  <si>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</si>
  <si>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</si>
  <si>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</si>
  <si>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</si>
  <si>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</si>
  <si>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</si>
  <si>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</si>
  <si>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</si>
  <si>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</si>
  <si>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</si>
  <si>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</si>
  <si>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</si>
  <si>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</si>
  <si>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</si>
  <si>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</si>
  <si>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</si>
  <si>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</si>
  <si>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</si>
  <si>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</si>
  <si>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</si>
  <si>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</si>
  <si>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</si>
  <si>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</si>
  <si>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</si>
  <si>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</si>
  <si>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</si>
  <si>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</si>
  <si>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</si>
  <si>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</si>
  <si>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</si>
  <si>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</si>
  <si>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</si>
  <si>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</si>
  <si>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</si>
  <si>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</si>
  <si>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</si>
  <si>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</si>
  <si>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</si>
  <si>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</si>
  <si>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</si>
  <si>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</si>
  <si>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t>Liz Cornwell</t>
  </si>
  <si>
    <t>2021/22</t>
  </si>
  <si>
    <t>18/84/23/S/013</t>
  </si>
  <si>
    <t>16/52/13/G/011</t>
  </si>
  <si>
    <t>16/52/15/S/013</t>
  </si>
  <si>
    <t>17/53/14/S/013</t>
  </si>
  <si>
    <t>16/52/15/G/018</t>
  </si>
  <si>
    <t>16/52/15/G/017</t>
  </si>
  <si>
    <t>17/53/11/G/094</t>
  </si>
  <si>
    <t>17/53/12/G/015</t>
  </si>
  <si>
    <t>16/52/12/G/046</t>
  </si>
  <si>
    <t>16/52/12/G/044</t>
  </si>
  <si>
    <t>18/84/20/S/138</t>
  </si>
  <si>
    <t>16/52/10/G/047</t>
  </si>
  <si>
    <t>16/52/12/S/051</t>
  </si>
  <si>
    <t>16/52/12/S/043</t>
  </si>
  <si>
    <t>17/53/14/S/016</t>
  </si>
  <si>
    <t>17/53/14/S/014</t>
  </si>
  <si>
    <t>16/52/14/S/013</t>
  </si>
  <si>
    <t>16/52/14/G/014</t>
  </si>
  <si>
    <t xml:space="preserve">Alderley </t>
  </si>
  <si>
    <t xml:space="preserve">Banwell </t>
  </si>
  <si>
    <t>Dundry-Elwell</t>
  </si>
  <si>
    <t>Sherborne</t>
  </si>
  <si>
    <t xml:space="preserve">Chelvey </t>
  </si>
  <si>
    <t xml:space="preserve">Clevedon </t>
  </si>
  <si>
    <t>Oldford</t>
  </si>
  <si>
    <t>Egford Sub &amp; Main</t>
  </si>
  <si>
    <t xml:space="preserve">Winscombe </t>
  </si>
  <si>
    <t xml:space="preserve">Charterhouse </t>
  </si>
  <si>
    <t>Sharpness</t>
  </si>
  <si>
    <t>Shepton Mallet (Forum: Windsor/Yelling Spring)</t>
  </si>
  <si>
    <t>River Axe</t>
  </si>
  <si>
    <t>Cheddar Spring</t>
  </si>
  <si>
    <t>Chew Stoke (Chew Valley Lake, Chew Magna, Chew Stoke Stream)</t>
  </si>
  <si>
    <t>Chewton Mendip</t>
  </si>
  <si>
    <t>Blagdon Lake</t>
  </si>
  <si>
    <t>Blagdon Spring</t>
  </si>
  <si>
    <t>SW</t>
  </si>
  <si>
    <t>Dry weather yield</t>
  </si>
  <si>
    <t>17/53/06/G/006</t>
  </si>
  <si>
    <t>17/53/06/G/007</t>
  </si>
  <si>
    <t>17/53/06/G/008</t>
  </si>
  <si>
    <t>Malmesbury Group</t>
  </si>
  <si>
    <t>Tetbury</t>
  </si>
  <si>
    <t xml:space="preserve">Shipton Moyne </t>
  </si>
  <si>
    <t xml:space="preserve">Long Newnton </t>
  </si>
  <si>
    <t>16/52/12/G/047</t>
  </si>
  <si>
    <t>Honeyhurst</t>
  </si>
  <si>
    <t>Water Quality</t>
  </si>
  <si>
    <t>Disused but included as a drought plan option (not specifically licenced for drought)</t>
  </si>
  <si>
    <t xml:space="preserve">Shipton Moyne (the Malmsbury Transfer) </t>
  </si>
  <si>
    <t>See additional notes</t>
  </si>
  <si>
    <t>No changes</t>
  </si>
  <si>
    <t xml:space="preserve">This is an abstraction reduction sustainability transfer. Wessex Water cannot terminate the export to Bristol Water unless there are licence reductions by Bristol Water and agreement from Bristol Water.  DYAA volume based on assumed export being active for 8.5 months during a drought as per 1976 groundwater levels. This may be reviewed ahead of WRMP29 with any updated analysis (the maximum annual average volume is 1.5 Ml/d) </t>
  </si>
  <si>
    <t>Ashcott</t>
  </si>
  <si>
    <t xml:space="preserve">No changes </t>
  </si>
  <si>
    <t xml:space="preserve">Reciprocal agreement with Compton Dundon. Volume reflects agreement. </t>
  </si>
  <si>
    <t xml:space="preserve">Marshfield </t>
  </si>
  <si>
    <t>Newton Meadows (Bath)</t>
  </si>
  <si>
    <t>Chapmanslade</t>
  </si>
  <si>
    <t xml:space="preserve">Compton Dundon </t>
  </si>
  <si>
    <t xml:space="preserve">Reciprocal agreement with Ashcott. Volume reflects agreement. </t>
  </si>
  <si>
    <t>Corsley</t>
  </si>
  <si>
    <t>Lydford</t>
  </si>
  <si>
    <t>Version 1.0</t>
  </si>
  <si>
    <r>
      <rPr>
        <sz val="11"/>
        <color rgb="FFFF0000"/>
        <rFont val="Arial"/>
        <family val="2"/>
      </rPr>
      <t xml:space="preserve"> </t>
    </r>
    <r>
      <rPr>
        <sz val="11"/>
        <rFont val="Arial"/>
        <family val="2"/>
      </rPr>
      <t>1</t>
    </r>
    <r>
      <rPr>
        <sz val="11"/>
        <color rgb="FF000000"/>
        <rFont val="Arial"/>
        <family val="2"/>
      </rPr>
      <t>% savings when an appeal for restraint is implemented</t>
    </r>
  </si>
  <si>
    <t>page 39, para 'Action summary' table'</t>
  </si>
  <si>
    <t>N</t>
  </si>
  <si>
    <t xml:space="preserve">List the names of all drought sources / sites - Not Apploicable to Bristol Water </t>
  </si>
  <si>
    <t>9.5% demand savings (off peak summer demands April to September) when a Temporary Use Ban is implemented</t>
  </si>
  <si>
    <t>page 41, para 'Action summary' table</t>
  </si>
  <si>
    <t xml:space="preserve">List the names of all drought sources / sites brought online when the level 2 control curve is crossed
Not applicable to Bristol Water </t>
  </si>
  <si>
    <t>Level 3 - Non Essential Use Bans</t>
  </si>
  <si>
    <t>2% of non-household demand saving across the year when a Non-Essential Use Ban is implemented</t>
  </si>
  <si>
    <t>page 43, para 'Action summary' table</t>
  </si>
  <si>
    <t xml:space="preserve">Ml/d </t>
  </si>
  <si>
    <t>Honeyhurst &amp; Rodney Stoke (well head) source back into supply</t>
  </si>
  <si>
    <t xml:space="preserve">Supply side </t>
  </si>
  <si>
    <t>page 50, para 'Action summary' table</t>
  </si>
  <si>
    <t>1 = page 51, para 'Action summary' table
2 = page 52 para 'Action summary' table
3 = page 53-54 para 'Action summary' table</t>
  </si>
  <si>
    <t>List the names of all drought sources / sites brought online when the level 3 control curve is crossed: 
1, Reduction of Blagdon Reservoir compensation release - up to 4.038Ml/d (15th May to 30th Sept)
2. Reduction of Chew Reservoir compensation release - up to 7.32 Ml/d (1st May to 30th Nov) and up to 3.419 Ml/d 1st Dec to 30th April)
3. Reduction of Cheddar Ponds compensation release to Cheddar Yeo - up to 3.4 Ml/d 1st Dec to 14th May) and up to 5.68 Ml/d (15th May to 30th Nov)</t>
  </si>
  <si>
    <t>Please detail other level 3 drought measures
Not applicable to Bristol Water</t>
  </si>
  <si>
    <t>R&amp;T
Non-monetised metric where applicable (define units)2</t>
  </si>
  <si>
    <t>R&amp;T
Monetised metric where applicable (£M)3</t>
  </si>
  <si>
    <t>Agriculture</t>
  </si>
  <si>
    <t xml:space="preserve">Least Cost </t>
  </si>
  <si>
    <t xml:space="preserve">Ofwat Core </t>
  </si>
  <si>
    <t>No monitoring required other than the formal annual review process</t>
  </si>
  <si>
    <t>&lt;1%</t>
  </si>
  <si>
    <t>DYAA DO for conjunctive use system under 1-in-200 year scenario</t>
  </si>
  <si>
    <t>Licence constrained</t>
  </si>
  <si>
    <t>Licence variation implemented on these sources and now they are licence constrained across the group to 10.28Ml/d. Due to table formatting can't represent this DO so only listed in 1 cell.</t>
  </si>
  <si>
    <t xml:space="preserve">Add this to DO in cell H10 to calculate overall Bristol Water system 1-in-200 DO.  </t>
  </si>
  <si>
    <t xml:space="preserve">There are no differences in the options selected under the Ofwat core programme compared to the Preferred programme.  This is because the option selection is driven by the delivery of the policy targets for leakage an pcc rather than a deficit within the WRZ. </t>
  </si>
  <si>
    <t xml:space="preserve">DYAA DO presented to calculate conjunctive use DO only (due to table formatting) - not representative of actual DO of source </t>
  </si>
  <si>
    <t>Demand Side &amp; Supply Side</t>
  </si>
  <si>
    <t>page 40, para 'Action summary' table
page 48, para 'Action summary' table</t>
  </si>
  <si>
    <t>3FPD</t>
  </si>
  <si>
    <t>Enhanced Leakage Management - estimated 2Ml/d saving when implemented
Temporary variation to bulk supply agreements - up to 6.97Ml/d (AMP 7 only)</t>
  </si>
  <si>
    <t>C015</t>
  </si>
  <si>
    <t>Water saving devices -  Composting toilets</t>
  </si>
  <si>
    <t>C016</t>
  </si>
  <si>
    <t>Water saving devices - waterless urinals</t>
  </si>
  <si>
    <t>C019</t>
  </si>
  <si>
    <t>Water Butts (Bristol Water subsidy)</t>
  </si>
  <si>
    <t>DP1</t>
  </si>
  <si>
    <t>Drought Plan 2022: Temporary Water Use Restrictions (TUBS), LoS reduction</t>
  </si>
  <si>
    <t>DP2</t>
  </si>
  <si>
    <t>Drought Plan 2022: Non-Essential Use Bans (NEUBs), LoS reduction</t>
  </si>
  <si>
    <t>DP3</t>
  </si>
  <si>
    <t>Drought Plan 2022: Emergency drought order - partial supply and rota-cuts, LoS reduction</t>
  </si>
  <si>
    <t>HH_A_001</t>
  </si>
  <si>
    <t>Home efficiency visits (HEV) - Targeted water efficiency audit with free water efficient device installation - In person.</t>
  </si>
  <si>
    <t>HH_A_002</t>
  </si>
  <si>
    <t>Home efficiency visits (HEV) - water efficiency audit with free water efficient device installation - metered</t>
  </si>
  <si>
    <t>HH_A_003</t>
  </si>
  <si>
    <t>Home efficiency visits (HEV) - water efficiency audit with free water efficient device installation - New meter</t>
  </si>
  <si>
    <t>HH_A_004</t>
  </si>
  <si>
    <t>Virtual Home efficiency visits (VHEV) - water efficiency audit with free water efficient devices</t>
  </si>
  <si>
    <t>HH_CM_001 (AMI)</t>
  </si>
  <si>
    <t>Compulsory smart metering - unmetered customers only (AMI)</t>
  </si>
  <si>
    <t>HH_CM_001 (AMR)</t>
  </si>
  <si>
    <t>Compulsory smart metering - unmetered customers only (AMR)</t>
  </si>
  <si>
    <t>HH_CM_002 (AMI)</t>
  </si>
  <si>
    <t>Compulsory smart metering - unmetered customers &amp; switch of metered customers to smart metering (AMI)</t>
  </si>
  <si>
    <t>HH_CM_002 (AMR)</t>
  </si>
  <si>
    <t>Compulsory smart metering - unmetered customers &amp; switch of metered customers to smart metering (AMR)</t>
  </si>
  <si>
    <t>HH_E_001</t>
  </si>
  <si>
    <t>Appliance subsidies (rebates for water efficient devices and appliances)</t>
  </si>
  <si>
    <t>HH_E_002</t>
  </si>
  <si>
    <t>Pay per use appliances (e.g. Miele bundles subscription)</t>
  </si>
  <si>
    <t>HH_E_003</t>
  </si>
  <si>
    <t>Appliance exchange schemes</t>
  </si>
  <si>
    <t>HH_E_004</t>
  </si>
  <si>
    <t>Leaky Loos' Wastage Fix: large scale targeted fixes</t>
  </si>
  <si>
    <t>HH_E_005</t>
  </si>
  <si>
    <t>Eco branding water efficiency programme</t>
  </si>
  <si>
    <t>HH_E_006</t>
  </si>
  <si>
    <t>Distribution of household water efficiency kits for self-installation - via the water company of WCWR website.</t>
  </si>
  <si>
    <t>HH_E_008</t>
  </si>
  <si>
    <t>Partnerships/targeting of large/small developers to install water efficient devices</t>
  </si>
  <si>
    <t>HH_E_009</t>
  </si>
  <si>
    <t>Home Efficiency Visits (HEVs) - water efficiency audit - local authorities, housing associations, corporate landlords)</t>
  </si>
  <si>
    <t>HH_E_010</t>
  </si>
  <si>
    <t>Home Efficiency Visits (HEVs) - water efficiency audit - combined with energy efficiency audits</t>
  </si>
  <si>
    <t>HH_E_011</t>
  </si>
  <si>
    <t>Water retailer save</t>
  </si>
  <si>
    <t>HH_E_013</t>
  </si>
  <si>
    <t xml:space="preserve">School visits water efficiency programme </t>
  </si>
  <si>
    <t>HH_E_014</t>
  </si>
  <si>
    <t xml:space="preserve">Water efficiency forming part of the National Curriculum </t>
  </si>
  <si>
    <t>HH_E_016</t>
  </si>
  <si>
    <t xml:space="preserve">Media campaigns to influence water use </t>
  </si>
  <si>
    <t>HH_E_017 (AMI)</t>
  </si>
  <si>
    <t>Water efficiency programmes targeted at specific groups (e.g. community, religious groups) (AMI)</t>
  </si>
  <si>
    <t>HH_E_017 (AMR)</t>
  </si>
  <si>
    <t>Water efficiency programmes targeted at specific groups (e.g. community, religious groups) (AMR)</t>
  </si>
  <si>
    <t>HH_E_019</t>
  </si>
  <si>
    <t>SMART metering App</t>
  </si>
  <si>
    <t>HH_I_001</t>
  </si>
  <si>
    <t>Targeted incentives scheme - Individual customer/community reward (e.g. Greenredeem) - New metered customers</t>
  </si>
  <si>
    <t>HH_I_003</t>
  </si>
  <si>
    <t>Interest free loans</t>
  </si>
  <si>
    <t>HH_I_004</t>
  </si>
  <si>
    <t>Community competition</t>
  </si>
  <si>
    <t>HH_M_001 (AMI)</t>
  </si>
  <si>
    <t>Progressive smart metering - automatic switching over WCWR region (AMI)</t>
  </si>
  <si>
    <t>HH_M_001 (AMR)</t>
  </si>
  <si>
    <t>Progressive smart metering - automatic switching over WCWR region (AMR)</t>
  </si>
  <si>
    <t>HH_M_002 (AMI)</t>
  </si>
  <si>
    <t>Progressive smart metering - voluntary switching over WCWR region (AMI)</t>
  </si>
  <si>
    <t>HH_M_002 (AMR)</t>
  </si>
  <si>
    <t>Progressive smart metering voluntary WCWR switch (AMR)</t>
  </si>
  <si>
    <t>HH_M_003</t>
  </si>
  <si>
    <t>Impose compulsory smart metering across the WCWR region</t>
  </si>
  <si>
    <t>HH_M_004 (AMI)</t>
  </si>
  <si>
    <t>Switch all existing dumb meters to smart meters across the WCWR region (AMI)</t>
  </si>
  <si>
    <t>HH_M_004 (AMR)</t>
  </si>
  <si>
    <t>Dumb meters to smart meters automatic WCWR switch (AMR)</t>
  </si>
  <si>
    <t>HH_M_005 (AMI)</t>
  </si>
  <si>
    <t>Targeted switching of dumb meters to smart meters across the WCWR region (AMI)</t>
  </si>
  <si>
    <t>HH_M_005 (AMR)</t>
  </si>
  <si>
    <t>Dumb meters to smart meters targetted WCWR switch (AMR)</t>
  </si>
  <si>
    <t>HH_M_006 (AMI)</t>
  </si>
  <si>
    <t>Selective/targeted new smart metering installation (AMI)</t>
  </si>
  <si>
    <t>HH_M_006 (AMR)</t>
  </si>
  <si>
    <t>Non metered to smart metered targetted WCWR switch (AMR)</t>
  </si>
  <si>
    <t>HH_M_007 (AMI)</t>
  </si>
  <si>
    <t>Non metered to smart metered at change of occupancy WCWR switch (AMI)</t>
  </si>
  <si>
    <t>HH_M_007 (AMR)</t>
  </si>
  <si>
    <t>Non metered to smart metered at change of occupancy WCWR switch (AMR)</t>
  </si>
  <si>
    <t>HH_M_008</t>
  </si>
  <si>
    <t>Increasing meter reading frequency from six monthly to monthly in all supply areas</t>
  </si>
  <si>
    <t>HH_M_009 (AMR)</t>
  </si>
  <si>
    <t>Progressive smart metering automatic WCWR switch (HH_A_001) with Watersmart Technology (personalised billing, behavioural changes) (AMR)</t>
  </si>
  <si>
    <t>HH_N_002</t>
  </si>
  <si>
    <t xml:space="preserve">Home retrofit of rainwater harvesting </t>
  </si>
  <si>
    <t>HH_N_003</t>
  </si>
  <si>
    <t>Rainshare - Communities direct harvested rainwater into a centralised shared resource</t>
  </si>
  <si>
    <t>HH_N_004</t>
  </si>
  <si>
    <t>Grey water recycling retrofitting to existing properties.</t>
  </si>
  <si>
    <t>HH_P_001</t>
  </si>
  <si>
    <t>Change WC standards</t>
  </si>
  <si>
    <t>HH_P_002</t>
  </si>
  <si>
    <t>Water labelling - with minimum standards</t>
  </si>
  <si>
    <t>HH_P_003</t>
  </si>
  <si>
    <t>Water labelling - with no minimum standards</t>
  </si>
  <si>
    <t>HH_P_004</t>
  </si>
  <si>
    <t>New development standards - water neutrality</t>
  </si>
  <si>
    <t>HH_P_005</t>
  </si>
  <si>
    <t>New home standards  - mandatory</t>
  </si>
  <si>
    <t>HH_T_001 (AMI)</t>
  </si>
  <si>
    <t>Tariffs with dumb metering to smart metering switch in WCWR (AMI)</t>
  </si>
  <si>
    <t>HH_T_001 (AMR)</t>
  </si>
  <si>
    <t>Tariffs with dumb metering to smart metering switch in WCWR (AMR)</t>
  </si>
  <si>
    <t>HH_T_006</t>
  </si>
  <si>
    <t>Community reward tariff</t>
  </si>
  <si>
    <t>HH_T_008</t>
  </si>
  <si>
    <t>Individual reward tariff</t>
  </si>
  <si>
    <t>HH_T_010</t>
  </si>
  <si>
    <t>Water lottery</t>
  </si>
  <si>
    <t>HH_T_011</t>
  </si>
  <si>
    <t>Transparent charging</t>
  </si>
  <si>
    <t>HH_T_012</t>
  </si>
  <si>
    <t>Trading</t>
  </si>
  <si>
    <t>NHH_A_001</t>
  </si>
  <si>
    <t xml:space="preserve">Business Efficiency Visits (BEV) - water efficiency audit - in person audit, fix and retrofit, targeted at specific sectors/businesses </t>
  </si>
  <si>
    <t>NHH_A_002</t>
  </si>
  <si>
    <t xml:space="preserve">Business Efficiency Visits (HEV) - water efficiency audit - in person audit targeted at specific sectors/businesses </t>
  </si>
  <si>
    <t>NHH_A_003 &amp; NHH_A_006</t>
  </si>
  <si>
    <t>Business Efficiency Visits (BEV) - leakage detection - in person (NOT targeted at specific sectors/businesses) 
&amp;
Business Efficiency Visit (BEV) - water efficiency audit/leakage detection - in person targeted at leisure sector (golf)</t>
  </si>
  <si>
    <t>NHH_A_004 (AMI)</t>
  </si>
  <si>
    <t>Business Efficiency Visits (HEV) -  process water efficiency audit/leakage detection - in person targeted at agriculture sector (AMI)</t>
  </si>
  <si>
    <t>NHH_A_004 (AMR)</t>
  </si>
  <si>
    <t>Business Efficiency Visits (HEV) -  process water efficiency audit/leakage detection - in person targeted at agriculture sector (AMR)</t>
  </si>
  <si>
    <t>NHH_A_005</t>
  </si>
  <si>
    <t xml:space="preserve">Business Efficiency Visit (BEV) - process water efficiency audit/leakage detection. </t>
  </si>
  <si>
    <t>NHH_A_007</t>
  </si>
  <si>
    <t>Virtual Business Efficiency Visit (VBEV) - water efficiency audit with free water efficient devices</t>
  </si>
  <si>
    <t>NHH_E_001</t>
  </si>
  <si>
    <t xml:space="preserve">Sector specific water efficiency advice e.g. partnerships with holiday rental companies Airbnb. </t>
  </si>
  <si>
    <t>NHH_E_002 (AMI)</t>
  </si>
  <si>
    <t>SMART Online - Water smart online tools and resources (AMI)</t>
  </si>
  <si>
    <t>NHH_E_002 (AMR)</t>
  </si>
  <si>
    <t>SMART Online - Watersmart online tools and resources (AMR)</t>
  </si>
  <si>
    <t>NHH_E_004</t>
  </si>
  <si>
    <t>A third party takes ownership for water management of new large scale commercial developments driving down demand by integrating water efficiency and water conservation in to new build .</t>
  </si>
  <si>
    <t>NHH_I_001</t>
  </si>
  <si>
    <t xml:space="preserve">Rewards to water retailers for business water use savings. </t>
  </si>
  <si>
    <t>NHH_M_001 (AMI)</t>
  </si>
  <si>
    <t>Switch all existing dumb meters in Non-HH to smart meters across the WCWR region (AMI)</t>
  </si>
  <si>
    <t>NHH_M_001 (AMR)</t>
  </si>
  <si>
    <t>Switch all existing dumb meters in Non-HH to smart meters across the WCWR region (AMR)</t>
  </si>
  <si>
    <t>NHH_M_002 (AMI)</t>
  </si>
  <si>
    <t>Targeted switching of dumb meters to smart meters across the WCWR region (High usage) (AMR)</t>
  </si>
  <si>
    <t>NHH_M_002 (AMR)</t>
  </si>
  <si>
    <t>NHH_M_003</t>
  </si>
  <si>
    <t>Increasing meter reading frequency from six monthly to monthly in all (or targeted) supply areas.</t>
  </si>
  <si>
    <t>NHH_N_001</t>
  </si>
  <si>
    <t>Rainwater harvesting is included in new developments to meet planning conditions - commercial/public sector developments -single or multiple</t>
  </si>
  <si>
    <t>NHH_N_002</t>
  </si>
  <si>
    <t xml:space="preserve">Rainwater harvesting feasibility assessment and/or subsidised installation - target large water users </t>
  </si>
  <si>
    <t>NHH_N_003</t>
  </si>
  <si>
    <t xml:space="preserve">Rainwater harvesting - target large water users </t>
  </si>
  <si>
    <t>NHH_N_005</t>
  </si>
  <si>
    <t xml:space="preserve">Supplementary or alternative non-PWS supply </t>
  </si>
  <si>
    <t>NHH_N_007</t>
  </si>
  <si>
    <t>Support agricultural users or large users of mains supply during peak periods, to develop storage facilities</t>
  </si>
  <si>
    <t>NHH_T_001</t>
  </si>
  <si>
    <t>Lower charges for major customers with a significant water resource storage</t>
  </si>
  <si>
    <t>NHH_T_002</t>
  </si>
  <si>
    <t>Interruptible industrial supplies tariff</t>
  </si>
  <si>
    <t>NHH_T_003</t>
  </si>
  <si>
    <t>Benchmarked rising block busines tariffs</t>
  </si>
  <si>
    <t>NHH_T_004</t>
  </si>
  <si>
    <t>Industrial spot pricing</t>
  </si>
  <si>
    <t>P01-01</t>
  </si>
  <si>
    <t>Increase performance of existing sources (Charterhouse) to increase deployable output to near licensed volume</t>
  </si>
  <si>
    <t>P01-02</t>
  </si>
  <si>
    <t>Increase performance of existing sources (Forum) to increase deployable output to near licensed volume</t>
  </si>
  <si>
    <t>P06</t>
  </si>
  <si>
    <t>Catchment Management of the Mendip Lakes (Chew, Blagdon and Cheddar) to manage outage risk from algal blooms</t>
  </si>
  <si>
    <t>P08</t>
  </si>
  <si>
    <t>Alderley WTW (increased production)</t>
  </si>
  <si>
    <t>Water Treatment Works capacity increase</t>
  </si>
  <si>
    <t>P10</t>
  </si>
  <si>
    <t>Cheddar WTW (increased production)</t>
  </si>
  <si>
    <t>R001</t>
  </si>
  <si>
    <t>Brean Down groundwater scheme</t>
  </si>
  <si>
    <t>R002</t>
  </si>
  <si>
    <t>Docks Scheme</t>
  </si>
  <si>
    <t>R003</t>
  </si>
  <si>
    <t>Desalination and transfer scheme (full and peak managing)</t>
  </si>
  <si>
    <t>R004</t>
  </si>
  <si>
    <t>Desalination and transfer scheme replacing all sources</t>
  </si>
  <si>
    <t>R005</t>
  </si>
  <si>
    <t>Cheddar 2 Reservoir</t>
  </si>
  <si>
    <t>R006</t>
  </si>
  <si>
    <t>Purton Reservoir and transfer</t>
  </si>
  <si>
    <t>R007</t>
  </si>
  <si>
    <t>Pumped Refill of Chew Valley Reservoir</t>
  </si>
  <si>
    <t>R008</t>
  </si>
  <si>
    <t xml:space="preserve">Increase capacity at Chew Valley Reservoir </t>
  </si>
  <si>
    <t>R010</t>
  </si>
  <si>
    <t>Aquifer Storage and Recovery</t>
  </si>
  <si>
    <t>R011</t>
  </si>
  <si>
    <t>Malmesbury aquifer management scheme</t>
  </si>
  <si>
    <t>R012</t>
  </si>
  <si>
    <t xml:space="preserve">Southern sources upgrade </t>
  </si>
  <si>
    <t>R013</t>
  </si>
  <si>
    <t>Effluent re-use commercial [Reclaimed industrial and wastewater for use by industry]</t>
  </si>
  <si>
    <t>R014</t>
  </si>
  <si>
    <t>Avonmouth WWTW Direct Effluent Re-use</t>
  </si>
  <si>
    <t>R015</t>
  </si>
  <si>
    <t>WWTW Indirect effluent re-use - discharge into reservoir</t>
  </si>
  <si>
    <t>R016</t>
  </si>
  <si>
    <t>Huntspill transfer</t>
  </si>
  <si>
    <t>R017</t>
  </si>
  <si>
    <t>Severn Spring and transfer</t>
  </si>
  <si>
    <t>R018</t>
  </si>
  <si>
    <t>Reduction of bulk transfer agreements</t>
  </si>
  <si>
    <t>R019</t>
  </si>
  <si>
    <t>Bulk supply from neighbouring water companies</t>
  </si>
  <si>
    <t>R021</t>
  </si>
  <si>
    <t>Imports via sea</t>
  </si>
  <si>
    <t>R022</t>
  </si>
  <si>
    <t xml:space="preserve">Quarry de-watering recovery </t>
  </si>
  <si>
    <t>R023</t>
  </si>
  <si>
    <t>Disused 3rd Party Licences - 3Ml/d</t>
  </si>
  <si>
    <t>Licence Trading</t>
  </si>
  <si>
    <t>R024</t>
  </si>
  <si>
    <t>Provision of additional water from the Severn Thames Transfer</t>
  </si>
  <si>
    <t>R025</t>
  </si>
  <si>
    <t>R026</t>
  </si>
  <si>
    <t>Impoundment of gorge, River Avon.</t>
  </si>
  <si>
    <t>R08-02</t>
  </si>
  <si>
    <t>New water sources within Bristol Water CAMS area for the location Middle River Avon at Bathford</t>
  </si>
  <si>
    <t>R08-03</t>
  </si>
  <si>
    <t>New water sources within Bristol Water CAMS area for the location Bristol Frome at Frenchay</t>
  </si>
  <si>
    <t>R23-01</t>
  </si>
  <si>
    <t xml:space="preserve">Purchase water from third parties from water companies  </t>
  </si>
  <si>
    <t>HH_R_001</t>
  </si>
  <si>
    <t>Combined research into reducing water demand</t>
  </si>
  <si>
    <t>R24</t>
  </si>
  <si>
    <t xml:space="preserve">Bring Honeyhurst source back into supply </t>
  </si>
  <si>
    <t>Company Wide</t>
  </si>
  <si>
    <t>Preferred</t>
  </si>
  <si>
    <t>n/a</t>
  </si>
  <si>
    <t>Y</t>
  </si>
  <si>
    <t>Feasible</t>
  </si>
  <si>
    <t>Unconstrained</t>
  </si>
  <si>
    <t>Not practicable due to urbanisation and density of population. Health risks and public perception difficulties associated with the implementation of this option.</t>
  </si>
  <si>
    <t>This is a drought event option, not a long term resilience option. Increasing the frequency of such measures would be unacceptable to customers, particularly as the company should be seeking to be resilient to a 1 in 500 year drought event.</t>
  </si>
  <si>
    <t>NEUBs are quite restrictive (by their nature) and so this is unlikely to be acceptable to customers who have an expectation that Brsital Water will keep "...top quality water flowing" to their taps (Bristol Water for all)</t>
  </si>
  <si>
    <t>Altering the LoS of this drought option is unlikely to improve resilience since it happens very infrequently, therefore, this would be an ineffective resilience option.</t>
  </si>
  <si>
    <t>Not practicable or environmentally acceptable from a carbon emissions and general sustainability of natural resources point of view.</t>
  </si>
  <si>
    <t>HH_A_001
HH_A_002
HH_A_003
HH_A_004</t>
  </si>
  <si>
    <t xml:space="preserve">Rejected at options workshop due to previous implementations of this not producing a reasonable change, did not work as intended. </t>
  </si>
  <si>
    <t>Rejected at options workshop (21/04/2022) due to not being feasible for Bristol Water to reasonably achieve, outside of scope.</t>
  </si>
  <si>
    <t xml:space="preserve">Rejected at options workshop (21/04/2022) as this should be the normal baseline, an app is no longer a specific new idea. </t>
  </si>
  <si>
    <t xml:space="preserve">Rejected at options workshop (21/04/2022) due to the legal issues it would cause, as well as credit score implications and overall scope concerns. </t>
  </si>
  <si>
    <t>High cost and currently not possible unless policy / regulation change. Options were later brought in, see HH_CM_001 and HH_CM_002 option codes</t>
  </si>
  <si>
    <t>Rejection of compulsory metering across all households (HH_M_003) makes this option not viable.</t>
  </si>
  <si>
    <t>Rejected at options workshop (21/04/2022) as this is not based on any evidence. Logically, a lottery will entice a less well-off demographic and not necessarily the highest water users.</t>
  </si>
  <si>
    <t xml:space="preserve">Rejected at options workshop (21/04/2022) as this should be the normal baseline behaviour. </t>
  </si>
  <si>
    <t xml:space="preserve">Rejected at options workshop (21/04/2022) due to practicality, the infastructure needed make this option infeasible. </t>
  </si>
  <si>
    <t xml:space="preserve">Rejected at options workshop (21/04/2022) due to feasibility, without free retrofit of water efficient devices unlikely to see any reasonable impact. </t>
  </si>
  <si>
    <t xml:space="preserve">Rejected at options workshop (21/04/2022) due to the technical expertise needed being so specalist for this to work effectively, that it becomes infeasible. </t>
  </si>
  <si>
    <t xml:space="preserve">Rejected at options workshop (21/04/2022) due to effectiveness concerns, NHH_A_002 similar and more effective in practice. </t>
  </si>
  <si>
    <t xml:space="preserve">Rejected at options workshop (21/04/2022) as this should already be baseline behaviour. </t>
  </si>
  <si>
    <t xml:space="preserve">Rejected at options workshop (21/04/2022) due to feasibility, move to smart metering is more likely and more effective than this options and as such makes it redundant. </t>
  </si>
  <si>
    <t>Promotion of alternative water sources does not necessarily result in the reduce pressure on the water environment.</t>
  </si>
  <si>
    <t>Rejected at options workshop (21/04/2022) as Bbristol Water are not peak constrained so this would have no foreseeable demand benefit.</t>
  </si>
  <si>
    <t xml:space="preserve">Rejected at options workshop (21/04/2022) as this was seen as a double benefit, (lower payment already benefit enough),  concerns if possible with existing regulations/MOSL, as well as environmental and sustainability concerns of supplimentary supplies. </t>
  </si>
  <si>
    <t xml:space="preserve">Rejected at options workshop (21/04/2022) as Bristol Water are not peak constrained so this would have no foreseeable benefit. Aslo environmental and sustainability concerns. </t>
  </si>
  <si>
    <t>Rejected at options workshop (21/04/2022) as Bristol Water are not peak constrained so this would have no foreseeable benefit.</t>
  </si>
  <si>
    <t>WTW capacity is not the primary constraint on the system and therefore this would not deliver the benefits required. Water quality is also a known issue.</t>
  </si>
  <si>
    <t>High uncertainty on potential yield benefits and issues with water quality, particular heavy metals and agricultural contaminants make this option unfeasible.</t>
  </si>
  <si>
    <t>Scoped out due to technical feasibility and land availability. Replaced with alternative scheme, R026.</t>
  </si>
  <si>
    <t>Scoped out due to environmental risks associated with the technology and proximity to Ramsar site.  Challenges with respect to acceptibility by customers with respect to cost, chemical usage for treatment, potentially for taste and odour of water. Water for blending a potential issue.</t>
  </si>
  <si>
    <t>Scoped out due to environmental risks associated with the technology and proximity to Ramsar site.  Also, technically difficult to construct and will require significant infrastructure to enable implementation associated with infrastructure development, water treatment and distribution.  Challenges with respect to acceptibility by customers with respect to cost, chemical usage for treatment, taste and odour of water likely. Distribution challenges and water for blending an issue.</t>
  </si>
  <si>
    <t xml:space="preserve">The Environment Agency has previoulsy indicated a hands-off flow that would negatively affect the viability of this scheme.  Additional, the environmental assessment indicates that this is located in a highly populated area and near ALC grade 3 land. </t>
  </si>
  <si>
    <t>Scoped out on environmental grounds.  Chew is designated an SPA for the reed bed habitats and associated breeding bird populations which would be damaged with this option.
The additional land take would also have negative social implications.
Previous investigations of the impact of the reservoir on the downstream watercourse suggests that increasing capacity would be damaging.  The EA have previously expressed concerns regarding this option.</t>
  </si>
  <si>
    <t>Scoped out on environmental grounds which make additional abstraction during summer months implausible.</t>
  </si>
  <si>
    <t>Scoped out on environmental grounds: connected surface water bodies are sensitive to abstraction.</t>
  </si>
  <si>
    <t>Abstraction licences on Gurney Slade and Holes Ash have been revoked and cannot be brought back. Queries on impact on neighbouring watercourse if pumping is re-started at these locations. Honeyhurst however, is still viable (2.4Ml/d), R24.</t>
  </si>
  <si>
    <t>There is no longer the industrial demand for this water. There are no benefits to be realised from this option.</t>
  </si>
  <si>
    <t xml:space="preserve">Option rejected due to the potential impact on the reservoir of inputting high phosphorus water into Cheddar Reservoir, which may affect WFD and SSSI status. There may be issues regarding water treatment and nano-pollutants.  The yield of this source may also be dependent upon the dilution factor from other freshwater sources. Potential customer perception issues may arise.  Bristol Water has been involved with a Wessex Water scheme to reduce the risk of sewage discharges into Blagdon Reservoir and therefore this scheme may bring mixed political messages. </t>
  </si>
  <si>
    <t xml:space="preserve">Option rejected due to the uncertainty of the yield and the engineering complexity of conveyance of the water from the spring (which is on the Welsh side of the estuary) to the Bristol Water supply area. The option also has a high number of dependencies (source owner and potential Welsh Water plans for the use of this source). </t>
  </si>
  <si>
    <t>Originally a WRMP24 feasible option however, a new form of this agreement between Bristol Water and Wessex Water is now being drawn into the baseline plans of both companies and therefore this option is no longer viable.</t>
  </si>
  <si>
    <t>Pressures on South West Water and Wessex Water means that any water transfer from South West Water shouldn't be taken to Bristol Water for the benefit of the regional group as a whole.</t>
  </si>
  <si>
    <t>Not feasible as a supply option. Potential only for the most extreme emergencies.</t>
  </si>
  <si>
    <t>Scoped out on environmental grounds in relation to heritage and natural capital assessment. Dewatering currently supports local river systems that would be damaged if the water use became consumptive.</t>
  </si>
  <si>
    <t>Bristol Water have an ongoing system for identification of third party licences that may be available for tading, known as the Bid Assessment Framework. Despite this, no such licences have ever been identified.</t>
  </si>
  <si>
    <t>Scoped out as this represents approximately 1.5 to 2 times the cost of desalination and would therefore be unacceptable to customers, particularly given the cost of living crisis.</t>
  </si>
  <si>
    <t>Rejected on environmental grounds. The TRaC waterbody would be fundementally and permenantly altered if the option were to go ahead.</t>
  </si>
  <si>
    <t>Wessex is now facing a SDB deficit.  This supply isn't available.</t>
  </si>
  <si>
    <t>Research to resuce water demand will be included in the assessment, as relevant, underpinning all the demand options.</t>
  </si>
  <si>
    <t>v3.1</t>
  </si>
  <si>
    <t>Interim update to correct error identified on table 8 via Ofwat review. Ml/d data updated to accumulative volumes</t>
  </si>
  <si>
    <t>v3.2</t>
  </si>
  <si>
    <t xml:space="preserve">Interim update to include outturn NHH data in table 2a line 3NY </t>
  </si>
  <si>
    <t>v3.3</t>
  </si>
  <si>
    <t>Interim update to include updated table 8 in response to Ofwat query BRL-dWRMP-016</t>
  </si>
  <si>
    <t>HH_W_001</t>
  </si>
  <si>
    <t>HH_A_005</t>
  </si>
  <si>
    <t>HH_E_020</t>
  </si>
  <si>
    <t>HH_E_021</t>
  </si>
  <si>
    <t>HH_E_022</t>
  </si>
  <si>
    <t>HH_E_023</t>
  </si>
  <si>
    <t>Progressive smart metering automatic WCWR switch with Watersmart Technology (personalised billing, behavioural changes) (AMI) (Baseline)</t>
  </si>
  <si>
    <t>Progressive smart metering automatic WCWR switch with Watersmart Technology (personalised billing, behavioural changes) (AMI) (Enhancement)</t>
  </si>
  <si>
    <t>HH_M_009 (AMI) (15) (Baseline)</t>
  </si>
  <si>
    <t>HH_M_009 (AMI) (15) (Enhancement)</t>
  </si>
  <si>
    <t>Under Wessex Water's central “most likely” planning pathway, an increase in the import is selected with an annual average capacity of 4Ml/d and a critical peak capacity of 7Ml/d and under our adaptive pathway this is selected for delivery in 2035.
This  takes the total import then to 8.4Ml/d in the final plan tables as an annual average.</t>
  </si>
  <si>
    <t xml:space="preserve">HH_A_002
HH_A_003
</t>
  </si>
  <si>
    <t xml:space="preserve">HH_E_004
HH_M_009 (AMI) (15) (Baseline)
HH_M_009 (AMI) (15) (Enhancement)
</t>
  </si>
  <si>
    <t>DYAA and DYCP figures reflect drought volumes</t>
  </si>
  <si>
    <t>Resource West Campaign</t>
  </si>
  <si>
    <t>Home efficiency visits (HEV) - HEV/retrofit visits during flow regulator installation visit.</t>
  </si>
  <si>
    <t>Communication and awareness campaign</t>
  </si>
  <si>
    <t>Innovative water saving devices 1 – Installation of flow regulators in supply pipes</t>
  </si>
  <si>
    <t>Innovative water saving devices 2 – Installation of flow regulators with meter installation</t>
  </si>
  <si>
    <t>Innovative water saving devices 3 - Combining installation with home efficiency visits</t>
  </si>
  <si>
    <t>Compiled results from SoLow run Data 131 Linear 50</t>
  </si>
  <si>
    <t>132 SM Linear 50</t>
  </si>
  <si>
    <t>133 Linear 30</t>
  </si>
  <si>
    <t>134 SM Linear 30</t>
  </si>
  <si>
    <t>135 Frontloaded</t>
  </si>
  <si>
    <t>136 Frontloaded SM</t>
  </si>
  <si>
    <t>Compiled results from SoLow run Data 132 Linear 50</t>
  </si>
  <si>
    <t>Compiled results from SoLow run Data 133 Linear 30</t>
  </si>
  <si>
    <t>Compiled results from SoLow run Data 134 SM Linear 30</t>
  </si>
  <si>
    <t>Compiled results from SoLow run Data 135 Frontloaded</t>
  </si>
  <si>
    <t>Compiled results from SoLow run Data 136 Frontloaded SM</t>
  </si>
  <si>
    <t>Compiled results from SoLow run Data 131 Linear 50 by 2050</t>
  </si>
  <si>
    <t>Least Cost</t>
  </si>
  <si>
    <t>Ofwat Core</t>
  </si>
  <si>
    <t>SNR+</t>
  </si>
  <si>
    <t>SNR-</t>
  </si>
  <si>
    <t>WAT+</t>
  </si>
  <si>
    <t>WAT-</t>
  </si>
  <si>
    <t>HSW+</t>
  </si>
  <si>
    <t>HSW-</t>
  </si>
  <si>
    <t>Compiled results from SoLow run Data 138 Linear 45</t>
  </si>
  <si>
    <t xml:space="preserve">131 Linear 50 </t>
  </si>
  <si>
    <t>138 Linear 45</t>
  </si>
  <si>
    <t>Leave Blank</t>
  </si>
  <si>
    <t>DYAA - 1 in 500 from 2025</t>
  </si>
  <si>
    <t>v4</t>
  </si>
  <si>
    <t>Revised draft subject to change once metering programme is complete following Board decision.</t>
  </si>
  <si>
    <t xml:space="preserve">There is no difference between the least cost and preferred programmes.
</t>
  </si>
  <si>
    <t xml:space="preserve">The only difference between Ofwat core and the preferered programme is that the low climate change scenario is used for the Ofwat core assessment.  This results in an increase in WAFU compared to the Preferred scenario.  As the resource zone is in surplus anyway, and the options are focused on delivering the policy targets, there is no difference in the options selection between the Preferred and the Ofwat Core programmes.  
</t>
  </si>
  <si>
    <t>This option has been superseded by Option 131 Linear 50.</t>
  </si>
  <si>
    <t>This option is no longer legally viable/permissable for Bristol Water.</t>
  </si>
  <si>
    <t>HH_A_002, HH_A_003</t>
  </si>
  <si>
    <t>Cheddar 2 has been selected as a preferred option within the WCWR regional plan and is being developed within Bristol Water’s supply area to serve the wider region as part of the RAPID gated process. As a result, this resservoir cannot provide any water to Bristol Water and therefore, this cannot be deemed a feasible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</si>
</sst>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s>
  <fonts count="50" x14ac:knownFonts="1">
    <font>
      <sz val="12"/>
      <color theme="1"/>
      <name val="Arial"/>
      <family val="2"/>
    </font>
    <font>
      <sz val="10"/>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i/>
      <sz val="11"/>
      <color rgb="FF000000"/>
      <name val="Arial"/>
      <family val="2"/>
    </font>
    <font>
      <sz val="11"/>
      <color rgb="FF000000"/>
      <name val="Calibri"/>
      <family val="2"/>
    </font>
    <font>
      <b/>
      <sz val="11"/>
      <color rgb="FF000000"/>
      <name val="Arial"/>
      <family val="2"/>
    </font>
    <font>
      <sz val="11"/>
      <color rgb="FF000000"/>
      <name val="Arial"/>
      <family val="2"/>
    </font>
  </fonts>
  <fills count="4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s>
  <borders count="20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s>
  <cellStyleXfs count="15">
    <xf numFmtId="0" fontId="0" fillId="0" borderId="0"/>
    <xf numFmtId="0" fontId="3" fillId="0" borderId="0"/>
    <xf numFmtId="0" fontId="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14" fillId="0" borderId="0"/>
    <xf numFmtId="0" fontId="3" fillId="0" borderId="0"/>
    <xf numFmtId="0" fontId="15" fillId="0" borderId="0"/>
    <xf numFmtId="0" fontId="15" fillId="0" borderId="0"/>
    <xf numFmtId="0" fontId="14" fillId="0" borderId="0"/>
    <xf numFmtId="0" fontId="2" fillId="0" borderId="0"/>
  </cellStyleXfs>
  <cellXfs count="1593">
    <xf numFmtId="0" fontId="0" fillId="0" borderId="0" xfId="0"/>
    <xf numFmtId="0" fontId="15" fillId="0" borderId="0" xfId="0" applyFont="1" applyAlignment="1">
      <alignment horizontal="left" vertical="center" wrapText="1"/>
    </xf>
    <xf numFmtId="0" fontId="6" fillId="0" borderId="0" xfId="1" applyFont="1" applyAlignment="1" applyProtection="1">
      <alignment horizontal="left" vertical="center" wrapText="1"/>
      <protection locked="0"/>
    </xf>
    <xf numFmtId="0" fontId="1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9" fillId="0" borderId="0" xfId="1" applyFont="1" applyAlignment="1" applyProtection="1">
      <alignment horizontal="left" vertical="center"/>
      <protection locked="0"/>
    </xf>
    <xf numFmtId="0" fontId="8" fillId="0" borderId="0" xfId="1" applyFont="1" applyAlignment="1" applyProtection="1">
      <alignment horizontal="left" vertical="center" wrapText="1"/>
      <protection locked="0"/>
    </xf>
    <xf numFmtId="0" fontId="15" fillId="0" borderId="0" xfId="0" applyFont="1" applyAlignment="1">
      <alignment horizontal="left" vertical="center"/>
    </xf>
    <xf numFmtId="0" fontId="10" fillId="0" borderId="0" xfId="1" applyFont="1" applyAlignment="1" applyProtection="1">
      <alignment horizontal="left" vertical="center"/>
      <protection locked="0"/>
    </xf>
    <xf numFmtId="0" fontId="6" fillId="0" borderId="0" xfId="1" applyFont="1" applyAlignment="1" applyProtection="1">
      <alignment horizontal="left" vertical="center"/>
      <protection locked="0"/>
    </xf>
    <xf numFmtId="0" fontId="10" fillId="0" borderId="0" xfId="1" applyFont="1" applyAlignment="1" applyProtection="1">
      <alignment horizontal="left" vertical="center" wrapText="1"/>
      <protection locked="0"/>
    </xf>
    <xf numFmtId="0" fontId="9" fillId="0" borderId="0" xfId="1" applyFont="1" applyAlignment="1" applyProtection="1">
      <alignment horizontal="left" vertical="center" wrapText="1"/>
      <protection locked="0"/>
    </xf>
    <xf numFmtId="1" fontId="10" fillId="0" borderId="0" xfId="1" applyNumberFormat="1" applyFont="1" applyAlignment="1">
      <alignment horizontal="left" vertical="center" wrapText="1"/>
    </xf>
    <xf numFmtId="49" fontId="6" fillId="0" borderId="6" xfId="1" applyNumberFormat="1" applyFont="1" applyBorder="1" applyAlignment="1" applyProtection="1">
      <alignment horizontal="left" vertical="center" wrapText="1"/>
      <protection locked="0"/>
    </xf>
    <xf numFmtId="2" fontId="6" fillId="0" borderId="6" xfId="1" applyNumberFormat="1" applyFont="1" applyBorder="1" applyAlignment="1" applyProtection="1">
      <alignment horizontal="left" vertical="center" wrapText="1"/>
      <protection locked="0"/>
    </xf>
    <xf numFmtId="165" fontId="10" fillId="0" borderId="0" xfId="1" applyNumberFormat="1" applyFont="1" applyAlignment="1" applyProtection="1">
      <alignment horizontal="left" vertical="center"/>
      <protection locked="0"/>
    </xf>
    <xf numFmtId="0" fontId="8" fillId="0" borderId="6" xfId="1" applyFont="1" applyBorder="1" applyAlignment="1">
      <alignment horizontal="left" vertical="center" wrapText="1"/>
    </xf>
    <xf numFmtId="0" fontId="6" fillId="0" borderId="6" xfId="4" applyFont="1" applyBorder="1" applyAlignment="1" applyProtection="1">
      <alignment horizontal="left" vertical="center"/>
      <protection locked="0"/>
    </xf>
    <xf numFmtId="2" fontId="10" fillId="0" borderId="0" xfId="1" applyNumberFormat="1" applyFont="1" applyAlignment="1" applyProtection="1">
      <alignment horizontal="left" vertical="center"/>
      <protection locked="0"/>
    </xf>
    <xf numFmtId="165" fontId="6" fillId="0" borderId="8" xfId="1" applyNumberFormat="1" applyFont="1" applyBorder="1" applyAlignment="1" applyProtection="1">
      <alignment horizontal="left" vertical="center" wrapText="1"/>
      <protection locked="0"/>
    </xf>
    <xf numFmtId="0" fontId="16" fillId="0" borderId="0" xfId="0" applyFont="1" applyAlignment="1">
      <alignment horizontal="left" vertical="center" wrapText="1"/>
    </xf>
    <xf numFmtId="2" fontId="6" fillId="0" borderId="0" xfId="1" applyNumberFormat="1" applyFont="1" applyAlignment="1" applyProtection="1">
      <alignment horizontal="left" vertical="center" wrapText="1"/>
      <protection locked="0"/>
    </xf>
    <xf numFmtId="0" fontId="6" fillId="0" borderId="23" xfId="1" applyFont="1" applyBorder="1" applyAlignment="1">
      <alignment horizontal="left" vertical="center" wrapText="1"/>
    </xf>
    <xf numFmtId="0" fontId="8" fillId="0" borderId="34" xfId="1" applyFont="1" applyBorder="1" applyAlignment="1">
      <alignment horizontal="left" vertical="center" wrapText="1"/>
    </xf>
    <xf numFmtId="0" fontId="6" fillId="0" borderId="15" xfId="1" applyFont="1" applyBorder="1" applyAlignment="1">
      <alignment horizontal="left" vertical="center" wrapText="1"/>
    </xf>
    <xf numFmtId="49" fontId="6" fillId="0" borderId="25" xfId="1" applyNumberFormat="1" applyFont="1" applyBorder="1" applyAlignment="1" applyProtection="1">
      <alignment horizontal="left" vertical="center" wrapText="1"/>
      <protection locked="0"/>
    </xf>
    <xf numFmtId="2" fontId="6" fillId="0" borderId="25" xfId="1" applyNumberFormat="1" applyFont="1" applyBorder="1" applyAlignment="1" applyProtection="1">
      <alignment horizontal="left" vertical="center" wrapText="1"/>
      <protection locked="0"/>
    </xf>
    <xf numFmtId="49" fontId="6" fillId="0" borderId="10" xfId="1" applyNumberFormat="1" applyFont="1" applyBorder="1" applyAlignment="1" applyProtection="1">
      <alignment horizontal="left" vertical="center" wrapText="1"/>
      <protection locked="0"/>
    </xf>
    <xf numFmtId="2" fontId="6" fillId="0" borderId="10" xfId="1" applyNumberFormat="1" applyFont="1" applyBorder="1" applyAlignment="1" applyProtection="1">
      <alignment horizontal="left" vertical="center" wrapText="1"/>
      <protection locked="0"/>
    </xf>
    <xf numFmtId="2" fontId="6" fillId="0" borderId="10" xfId="1" applyNumberFormat="1" applyFont="1" applyBorder="1" applyAlignment="1" applyProtection="1">
      <alignment horizontal="left" vertical="center"/>
      <protection locked="0"/>
    </xf>
    <xf numFmtId="0" fontId="8" fillId="0" borderId="10" xfId="1" applyFont="1" applyBorder="1" applyAlignment="1">
      <alignment horizontal="left" vertical="center" wrapText="1"/>
    </xf>
    <xf numFmtId="165" fontId="6" fillId="0" borderId="0" xfId="1" applyNumberFormat="1" applyFont="1" applyAlignment="1" applyProtection="1">
      <alignment horizontal="left" vertical="center" wrapText="1"/>
      <protection locked="0"/>
    </xf>
    <xf numFmtId="49" fontId="6" fillId="0" borderId="0" xfId="1" applyNumberFormat="1" applyFont="1" applyAlignment="1" applyProtection="1">
      <alignment horizontal="left" vertical="center" wrapText="1"/>
      <protection locked="0"/>
    </xf>
    <xf numFmtId="0" fontId="6" fillId="0" borderId="0" xfId="4" applyFont="1" applyAlignment="1" applyProtection="1">
      <alignment horizontal="left" vertical="center"/>
      <protection locked="0"/>
    </xf>
    <xf numFmtId="0" fontId="6" fillId="0" borderId="0" xfId="5" applyFont="1" applyAlignment="1" applyProtection="1">
      <alignment horizontal="left" vertical="center"/>
      <protection locked="0"/>
    </xf>
    <xf numFmtId="2" fontId="6" fillId="0" borderId="0" xfId="6" applyNumberFormat="1" applyFont="1" applyAlignment="1">
      <alignment horizontal="left" vertical="center"/>
    </xf>
    <xf numFmtId="2" fontId="6" fillId="0" borderId="0" xfId="7" applyNumberFormat="1" applyFont="1" applyAlignment="1" applyProtection="1">
      <alignment horizontal="left" vertical="center"/>
      <protection locked="0"/>
    </xf>
    <xf numFmtId="0" fontId="6" fillId="0" borderId="34" xfId="1" applyFont="1" applyBorder="1" applyAlignment="1" applyProtection="1">
      <alignment horizontal="left" vertical="center" wrapText="1"/>
      <protection locked="0"/>
    </xf>
    <xf numFmtId="0" fontId="6" fillId="0" borderId="34" xfId="1" applyFont="1" applyBorder="1" applyAlignment="1" applyProtection="1">
      <alignment horizontal="left" vertical="center"/>
      <protection locked="0"/>
    </xf>
    <xf numFmtId="0" fontId="6" fillId="0" borderId="25" xfId="4" applyFont="1" applyBorder="1" applyAlignment="1" applyProtection="1">
      <alignment horizontal="left" vertical="center"/>
      <protection locked="0"/>
    </xf>
    <xf numFmtId="0" fontId="6" fillId="0" borderId="49" xfId="1" applyFont="1" applyBorder="1" applyAlignment="1" applyProtection="1">
      <alignment horizontal="left" vertical="center"/>
      <protection locked="0"/>
    </xf>
    <xf numFmtId="2" fontId="6" fillId="0" borderId="0" xfId="1" applyNumberFormat="1" applyFont="1" applyAlignment="1" applyProtection="1">
      <alignment horizontal="left" vertical="center"/>
      <protection locked="0"/>
    </xf>
    <xf numFmtId="165" fontId="6" fillId="0" borderId="31" xfId="1" applyNumberFormat="1" applyFont="1" applyBorder="1" applyAlignment="1" applyProtection="1">
      <alignment horizontal="left" vertical="center" wrapText="1"/>
      <protection locked="0"/>
    </xf>
    <xf numFmtId="0" fontId="15" fillId="0" borderId="25" xfId="0" applyFont="1" applyBorder="1" applyAlignment="1">
      <alignment horizontal="left" vertical="center"/>
    </xf>
    <xf numFmtId="0" fontId="15" fillId="0" borderId="49" xfId="0" applyFont="1" applyBorder="1" applyAlignment="1">
      <alignment horizontal="left" vertical="center"/>
    </xf>
    <xf numFmtId="1" fontId="8" fillId="0" borderId="9" xfId="1" applyNumberFormat="1" applyFont="1" applyBorder="1" applyAlignment="1" applyProtection="1">
      <alignment horizontal="left" vertical="center" wrapText="1"/>
      <protection locked="0"/>
    </xf>
    <xf numFmtId="1" fontId="8" fillId="0" borderId="10" xfId="1" applyNumberFormat="1" applyFont="1" applyBorder="1" applyAlignment="1" applyProtection="1">
      <alignment horizontal="left" vertical="center" wrapText="1"/>
      <protection locked="0"/>
    </xf>
    <xf numFmtId="0" fontId="6" fillId="14" borderId="6" xfId="10" applyFont="1" applyFill="1" applyBorder="1" applyAlignment="1" applyProtection="1">
      <alignment horizontal="left" vertical="center" wrapText="1" shrinkToFit="1"/>
      <protection locked="0"/>
    </xf>
    <xf numFmtId="0" fontId="6" fillId="14" borderId="27" xfId="10" applyFont="1" applyFill="1" applyBorder="1" applyAlignment="1" applyProtection="1">
      <alignment horizontal="left" vertical="center" wrapText="1" shrinkToFit="1"/>
      <protection locked="0"/>
    </xf>
    <xf numFmtId="0" fontId="15" fillId="15" borderId="21" xfId="0" applyFont="1" applyFill="1" applyBorder="1" applyAlignment="1">
      <alignment vertical="center" wrapText="1"/>
    </xf>
    <xf numFmtId="0" fontId="15" fillId="15" borderId="26" xfId="0" applyFont="1" applyFill="1" applyBorder="1" applyAlignment="1">
      <alignment vertical="center" wrapText="1"/>
    </xf>
    <xf numFmtId="165" fontId="6" fillId="14" borderId="18" xfId="1" applyNumberFormat="1" applyFont="1" applyFill="1" applyBorder="1" applyAlignment="1" applyProtection="1">
      <alignment horizontal="left" vertical="center" wrapText="1"/>
      <protection locked="0"/>
    </xf>
    <xf numFmtId="0" fontId="6" fillId="14" borderId="18" xfId="1" applyFont="1" applyFill="1" applyBorder="1" applyAlignment="1" applyProtection="1">
      <alignment horizontal="left" vertical="center" wrapText="1"/>
      <protection locked="0"/>
    </xf>
    <xf numFmtId="49" fontId="6" fillId="14" borderId="6" xfId="10" applyNumberFormat="1" applyFont="1" applyFill="1" applyBorder="1" applyAlignment="1" applyProtection="1">
      <alignment horizontal="left" vertical="center" wrapText="1" shrinkToFit="1"/>
      <protection locked="0"/>
    </xf>
    <xf numFmtId="0" fontId="6" fillId="14" borderId="6" xfId="10" applyFont="1" applyFill="1" applyBorder="1" applyAlignment="1" applyProtection="1">
      <alignment horizontal="left" vertical="center" shrinkToFit="1"/>
      <protection locked="0"/>
    </xf>
    <xf numFmtId="49" fontId="6" fillId="14" borderId="27" xfId="10" applyNumberFormat="1" applyFont="1" applyFill="1" applyBorder="1" applyAlignment="1" applyProtection="1">
      <alignment horizontal="left" vertical="center" wrapText="1" shrinkToFit="1"/>
      <protection locked="0"/>
    </xf>
    <xf numFmtId="0" fontId="6" fillId="14" borderId="27" xfId="10" applyFont="1" applyFill="1" applyBorder="1" applyAlignment="1" applyProtection="1">
      <alignment horizontal="left" vertical="center" shrinkToFit="1"/>
      <protection locked="0"/>
    </xf>
    <xf numFmtId="49" fontId="6" fillId="0" borderId="0" xfId="10" applyNumberFormat="1" applyFont="1" applyAlignment="1" applyProtection="1">
      <alignment horizontal="left" vertical="center" wrapText="1" shrinkToFit="1"/>
      <protection locked="0"/>
    </xf>
    <xf numFmtId="49" fontId="6" fillId="0" borderId="9" xfId="1" applyNumberFormat="1" applyFont="1" applyBorder="1" applyAlignment="1" applyProtection="1">
      <alignment horizontal="left" vertical="center" wrapText="1"/>
      <protection locked="0"/>
    </xf>
    <xf numFmtId="0" fontId="6" fillId="0" borderId="0" xfId="1" applyFont="1" applyAlignment="1">
      <alignment horizontal="left" vertical="center" wrapText="1"/>
    </xf>
    <xf numFmtId="0" fontId="8" fillId="0" borderId="0" xfId="1" applyFont="1" applyAlignment="1">
      <alignment horizontal="left" vertical="center" wrapText="1"/>
    </xf>
    <xf numFmtId="0" fontId="15" fillId="0" borderId="0" xfId="0" applyFont="1" applyAlignment="1">
      <alignment vertical="center"/>
    </xf>
    <xf numFmtId="2" fontId="15" fillId="0" borderId="90" xfId="0" applyNumberFormat="1" applyFont="1" applyBorder="1" applyAlignment="1">
      <alignment horizontal="left" vertical="center" wrapText="1"/>
    </xf>
    <xf numFmtId="0" fontId="15" fillId="0" borderId="90" xfId="0" applyFont="1" applyBorder="1" applyAlignment="1">
      <alignment horizontal="left" vertical="center" wrapText="1"/>
    </xf>
    <xf numFmtId="0" fontId="21" fillId="20" borderId="35" xfId="0" applyFont="1" applyFill="1" applyBorder="1" applyAlignment="1">
      <alignment horizontal="left" vertical="center" wrapText="1"/>
    </xf>
    <xf numFmtId="0" fontId="15" fillId="18" borderId="35" xfId="0" applyFont="1" applyFill="1" applyBorder="1" applyAlignment="1">
      <alignment horizontal="left" vertical="center"/>
    </xf>
    <xf numFmtId="0" fontId="21" fillId="0" borderId="0" xfId="0" applyFont="1" applyAlignment="1">
      <alignment horizontal="left" vertical="center" wrapText="1"/>
    </xf>
    <xf numFmtId="0" fontId="15" fillId="0" borderId="36" xfId="0" applyFont="1" applyBorder="1" applyAlignment="1">
      <alignment horizontal="left" vertical="center" wrapText="1"/>
    </xf>
    <xf numFmtId="0" fontId="19" fillId="0" borderId="0" xfId="0" applyFont="1" applyAlignment="1">
      <alignment horizontal="left" vertical="center" wrapText="1"/>
    </xf>
    <xf numFmtId="0" fontId="21" fillId="0" borderId="17" xfId="0" applyFont="1" applyBorder="1" applyAlignment="1">
      <alignment horizontal="left" vertical="center" wrapText="1"/>
    </xf>
    <xf numFmtId="0" fontId="19" fillId="0" borderId="17" xfId="0" applyFont="1" applyBorder="1" applyAlignment="1">
      <alignment horizontal="left" vertical="center" wrapText="1"/>
    </xf>
    <xf numFmtId="0" fontId="15" fillId="0" borderId="35" xfId="0" applyFont="1" applyBorder="1" applyAlignment="1">
      <alignment horizontal="left" vertical="center" wrapText="1"/>
    </xf>
    <xf numFmtId="0" fontId="15" fillId="0" borderId="37" xfId="0" applyFont="1" applyBorder="1" applyAlignment="1">
      <alignment horizontal="left" vertical="center"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15" fillId="0" borderId="11" xfId="0" applyFont="1" applyBorder="1" applyAlignment="1">
      <alignment horizontal="left" vertical="center" wrapText="1"/>
    </xf>
    <xf numFmtId="0" fontId="20" fillId="0" borderId="0" xfId="0" applyFont="1" applyAlignment="1">
      <alignment horizontal="left" vertical="center" wrapText="1"/>
    </xf>
    <xf numFmtId="0" fontId="6" fillId="0" borderId="0" xfId="0" applyFont="1" applyAlignment="1">
      <alignment horizontal="left" vertical="center" wrapText="1"/>
    </xf>
    <xf numFmtId="0" fontId="8" fillId="22" borderId="30" xfId="0" applyFont="1" applyFill="1" applyBorder="1" applyAlignment="1">
      <alignment horizontal="left" vertical="center" wrapText="1"/>
    </xf>
    <xf numFmtId="0" fontId="8" fillId="22" borderId="10" xfId="0" applyFont="1" applyFill="1" applyBorder="1" applyAlignment="1">
      <alignment horizontal="left" vertical="center" wrapText="1"/>
    </xf>
    <xf numFmtId="0" fontId="8" fillId="22" borderId="92" xfId="0" applyFont="1" applyFill="1" applyBorder="1" applyAlignment="1">
      <alignment horizontal="left" vertical="center" wrapText="1"/>
    </xf>
    <xf numFmtId="0" fontId="15" fillId="15" borderId="93" xfId="0" applyFont="1" applyFill="1" applyBorder="1" applyAlignment="1">
      <alignment horizontal="left" vertical="center" wrapText="1"/>
    </xf>
    <xf numFmtId="0" fontId="15" fillId="15" borderId="88" xfId="0" applyFont="1" applyFill="1" applyBorder="1" applyAlignment="1">
      <alignment horizontal="left" vertical="center"/>
    </xf>
    <xf numFmtId="0" fontId="15" fillId="0" borderId="94" xfId="0" applyFont="1" applyBorder="1" applyAlignment="1">
      <alignment horizontal="left" vertical="center" wrapText="1"/>
    </xf>
    <xf numFmtId="0" fontId="15" fillId="0" borderId="2" xfId="0" applyFont="1" applyBorder="1" applyAlignment="1">
      <alignment horizontal="left" vertical="center"/>
    </xf>
    <xf numFmtId="0" fontId="15" fillId="0" borderId="10" xfId="0" applyFont="1" applyBorder="1" applyAlignment="1">
      <alignment horizontal="left" vertical="center"/>
    </xf>
    <xf numFmtId="0" fontId="8" fillId="22" borderId="12" xfId="0" applyFont="1" applyFill="1" applyBorder="1" applyAlignment="1">
      <alignment horizontal="left" vertical="center" wrapText="1"/>
    </xf>
    <xf numFmtId="0" fontId="8" fillId="22" borderId="40" xfId="0" applyFont="1" applyFill="1" applyBorder="1" applyAlignment="1">
      <alignment horizontal="left" vertical="center" wrapText="1"/>
    </xf>
    <xf numFmtId="0" fontId="8" fillId="22" borderId="77" xfId="0" applyFont="1" applyFill="1" applyBorder="1" applyAlignment="1">
      <alignment horizontal="left" vertical="center" wrapText="1"/>
    </xf>
    <xf numFmtId="0" fontId="8" fillId="22" borderId="78" xfId="0" applyFont="1" applyFill="1" applyBorder="1" applyAlignment="1">
      <alignment horizontal="left" vertical="center" wrapText="1"/>
    </xf>
    <xf numFmtId="0" fontId="8" fillId="13" borderId="79" xfId="0" applyFont="1" applyFill="1" applyBorder="1" applyAlignment="1">
      <alignment horizontal="left" vertical="center" wrapText="1"/>
    </xf>
    <xf numFmtId="0" fontId="23" fillId="14" borderId="80" xfId="0" applyFont="1" applyFill="1" applyBorder="1" applyAlignment="1">
      <alignment horizontal="left" vertical="center" wrapText="1"/>
    </xf>
    <xf numFmtId="0" fontId="21" fillId="16" borderId="17"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6" fillId="14" borderId="82" xfId="0" applyFont="1" applyFill="1" applyBorder="1" applyAlignment="1">
      <alignment horizontal="left" vertical="center" wrapText="1"/>
    </xf>
    <xf numFmtId="0" fontId="23" fillId="14" borderId="82" xfId="0" applyFont="1" applyFill="1" applyBorder="1" applyAlignment="1">
      <alignment horizontal="left" vertical="center" wrapText="1"/>
    </xf>
    <xf numFmtId="0" fontId="6" fillId="14" borderId="83" xfId="0" applyFont="1" applyFill="1" applyBorder="1" applyAlignment="1">
      <alignment horizontal="left" vertical="center" wrapText="1"/>
    </xf>
    <xf numFmtId="0" fontId="24" fillId="16" borderId="87" xfId="0" applyFont="1" applyFill="1" applyBorder="1" applyAlignment="1">
      <alignment horizontal="left" vertical="center" wrapText="1"/>
    </xf>
    <xf numFmtId="0" fontId="24" fillId="16" borderId="84" xfId="0" applyFont="1" applyFill="1" applyBorder="1" applyAlignment="1">
      <alignment horizontal="left" vertical="center" wrapText="1"/>
    </xf>
    <xf numFmtId="0" fontId="24" fillId="14" borderId="84" xfId="0" applyFont="1" applyFill="1" applyBorder="1" applyAlignment="1">
      <alignment horizontal="left" vertical="center" wrapText="1"/>
    </xf>
    <xf numFmtId="0" fontId="8" fillId="14" borderId="84" xfId="0" applyFont="1" applyFill="1" applyBorder="1" applyAlignment="1">
      <alignment horizontal="left" vertical="center" wrapText="1"/>
    </xf>
    <xf numFmtId="0" fontId="8" fillId="22" borderId="36" xfId="0" applyFont="1" applyFill="1" applyBorder="1" applyAlignment="1">
      <alignment horizontal="left" vertical="center" wrapText="1"/>
    </xf>
    <xf numFmtId="0" fontId="6" fillId="8" borderId="69" xfId="0" applyFont="1" applyFill="1" applyBorder="1" applyAlignment="1">
      <alignment horizontal="left" vertical="center" wrapText="1"/>
    </xf>
    <xf numFmtId="0" fontId="6" fillId="8" borderId="17" xfId="0" applyFont="1" applyFill="1" applyBorder="1" applyAlignment="1">
      <alignment horizontal="left" vertical="center"/>
    </xf>
    <xf numFmtId="0" fontId="6" fillId="17" borderId="7" xfId="0" applyFont="1" applyFill="1" applyBorder="1" applyAlignment="1">
      <alignment horizontal="left" vertical="center" wrapText="1"/>
    </xf>
    <xf numFmtId="0" fontId="6" fillId="17" borderId="17" xfId="0" applyFont="1" applyFill="1" applyBorder="1" applyAlignment="1">
      <alignment horizontal="left" vertical="center" wrapText="1"/>
    </xf>
    <xf numFmtId="0" fontId="6" fillId="17" borderId="69" xfId="0" applyFont="1" applyFill="1" applyBorder="1" applyAlignment="1">
      <alignment horizontal="left" vertical="center" wrapText="1"/>
    </xf>
    <xf numFmtId="0" fontId="6" fillId="17" borderId="17" xfId="0" applyFont="1" applyFill="1" applyBorder="1" applyAlignment="1">
      <alignment horizontal="left" vertical="center"/>
    </xf>
    <xf numFmtId="0" fontId="6" fillId="17" borderId="33" xfId="0" applyFont="1" applyFill="1" applyBorder="1" applyAlignment="1">
      <alignment horizontal="left" vertical="center" wrapText="1"/>
    </xf>
    <xf numFmtId="0" fontId="6" fillId="8" borderId="17" xfId="0" applyFont="1" applyFill="1" applyBorder="1" applyAlignment="1">
      <alignment horizontal="left" vertical="center" wrapText="1"/>
    </xf>
    <xf numFmtId="0" fontId="6" fillId="8" borderId="33" xfId="0" applyFont="1" applyFill="1" applyBorder="1" applyAlignment="1">
      <alignment horizontal="left" vertical="center" wrapText="1"/>
    </xf>
    <xf numFmtId="0" fontId="15" fillId="15" borderId="88" xfId="0" applyFont="1" applyFill="1" applyBorder="1" applyAlignment="1">
      <alignment horizontal="left" vertical="center" wrapText="1"/>
    </xf>
    <xf numFmtId="0" fontId="15" fillId="15" borderId="35" xfId="0" applyFont="1" applyFill="1" applyBorder="1" applyAlignment="1">
      <alignment horizontal="left" vertical="center" wrapText="1"/>
    </xf>
    <xf numFmtId="0" fontId="15" fillId="18" borderId="35" xfId="0" applyFont="1" applyFill="1" applyBorder="1" applyAlignment="1">
      <alignment horizontal="left" vertical="center" wrapText="1"/>
    </xf>
    <xf numFmtId="0" fontId="15" fillId="0" borderId="90" xfId="0" applyFont="1" applyBorder="1" applyAlignment="1">
      <alignment horizontal="left" vertical="center"/>
    </xf>
    <xf numFmtId="0" fontId="15" fillId="21" borderId="12" xfId="0" applyFont="1" applyFill="1" applyBorder="1" applyAlignment="1">
      <alignment horizontal="left" vertical="center" wrapText="1"/>
    </xf>
    <xf numFmtId="0" fontId="15" fillId="0" borderId="19" xfId="0" applyFont="1" applyBorder="1" applyAlignment="1">
      <alignment horizontal="left" vertical="center"/>
    </xf>
    <xf numFmtId="0" fontId="16" fillId="15" borderId="35" xfId="0" applyFont="1" applyFill="1" applyBorder="1" applyAlignment="1">
      <alignment horizontal="left" vertical="center" wrapText="1"/>
    </xf>
    <xf numFmtId="0" fontId="16" fillId="15" borderId="91" xfId="0" applyFont="1" applyFill="1" applyBorder="1" applyAlignment="1">
      <alignment horizontal="left" vertical="center" wrapText="1"/>
    </xf>
    <xf numFmtId="0" fontId="16" fillId="15" borderId="90" xfId="0" applyFont="1" applyFill="1" applyBorder="1" applyAlignment="1">
      <alignment horizontal="left" vertical="center" wrapText="1"/>
    </xf>
    <xf numFmtId="0" fontId="16" fillId="15" borderId="89" xfId="0" applyFont="1" applyFill="1" applyBorder="1" applyAlignment="1">
      <alignment horizontal="left" vertical="center"/>
    </xf>
    <xf numFmtId="0" fontId="16" fillId="15" borderId="90" xfId="0" applyFont="1" applyFill="1" applyBorder="1" applyAlignment="1">
      <alignment horizontal="left" vertical="center"/>
    </xf>
    <xf numFmtId="0" fontId="21" fillId="14" borderId="99" xfId="0" applyFont="1" applyFill="1" applyBorder="1" applyAlignment="1">
      <alignment horizontal="left" vertical="center" wrapText="1"/>
    </xf>
    <xf numFmtId="0" fontId="6" fillId="14" borderId="45" xfId="0" applyFont="1" applyFill="1" applyBorder="1" applyAlignment="1">
      <alignment horizontal="left" vertical="center" wrapText="1"/>
    </xf>
    <xf numFmtId="0" fontId="6" fillId="14" borderId="81" xfId="0" applyFont="1" applyFill="1" applyBorder="1" applyAlignment="1">
      <alignment horizontal="left" vertical="center" wrapText="1"/>
    </xf>
    <xf numFmtId="0" fontId="21" fillId="14" borderId="95" xfId="0" applyFont="1" applyFill="1" applyBorder="1" applyAlignment="1">
      <alignment horizontal="left" vertical="center" wrapText="1"/>
    </xf>
    <xf numFmtId="0" fontId="6" fillId="14" borderId="46" xfId="0" applyFont="1" applyFill="1" applyBorder="1" applyAlignment="1">
      <alignment horizontal="left" vertical="center" wrapText="1"/>
    </xf>
    <xf numFmtId="0" fontId="6" fillId="14" borderId="74" xfId="0" applyFont="1" applyFill="1" applyBorder="1" applyAlignment="1">
      <alignment horizontal="left" vertical="center" wrapText="1"/>
    </xf>
    <xf numFmtId="0" fontId="21" fillId="14" borderId="96" xfId="0" applyFont="1" applyFill="1" applyBorder="1" applyAlignment="1">
      <alignment horizontal="left" vertical="center" wrapText="1"/>
    </xf>
    <xf numFmtId="0" fontId="6" fillId="14" borderId="97" xfId="0" applyFont="1" applyFill="1" applyBorder="1" applyAlignment="1">
      <alignment horizontal="left" vertical="center" wrapText="1"/>
    </xf>
    <xf numFmtId="0" fontId="6" fillId="14" borderId="76" xfId="0" applyFont="1" applyFill="1" applyBorder="1" applyAlignment="1">
      <alignment horizontal="left" vertical="center" wrapText="1"/>
    </xf>
    <xf numFmtId="0" fontId="16" fillId="15" borderId="88" xfId="0" applyFont="1" applyFill="1" applyBorder="1" applyAlignment="1">
      <alignment horizontal="left" vertical="center"/>
    </xf>
    <xf numFmtId="0" fontId="16" fillId="15" borderId="39" xfId="0" applyFont="1" applyFill="1" applyBorder="1" applyAlignment="1">
      <alignment horizontal="left" vertical="center"/>
    </xf>
    <xf numFmtId="0" fontId="25" fillId="7" borderId="0" xfId="2" applyFont="1" applyFill="1" applyBorder="1" applyAlignment="1" applyProtection="1">
      <alignment vertical="center"/>
    </xf>
    <xf numFmtId="0" fontId="6" fillId="7" borderId="0" xfId="1" applyFont="1" applyFill="1" applyAlignment="1">
      <alignment vertical="center"/>
    </xf>
    <xf numFmtId="0" fontId="6" fillId="0" borderId="103" xfId="1" applyFont="1" applyBorder="1" applyAlignment="1">
      <alignment vertical="center"/>
    </xf>
    <xf numFmtId="0" fontId="5" fillId="0" borderId="103" xfId="1" applyFont="1" applyBorder="1" applyAlignment="1">
      <alignment vertical="center"/>
    </xf>
    <xf numFmtId="0" fontId="6" fillId="0" borderId="0" xfId="1" applyFont="1" applyAlignment="1">
      <alignment vertical="center"/>
    </xf>
    <xf numFmtId="0" fontId="25" fillId="0" borderId="0" xfId="2" applyFont="1" applyFill="1" applyBorder="1" applyAlignment="1" applyProtection="1">
      <alignment vertical="center"/>
    </xf>
    <xf numFmtId="0" fontId="6" fillId="0" borderId="0" xfId="1" applyFont="1" applyAlignment="1">
      <alignment vertical="center" wrapText="1"/>
    </xf>
    <xf numFmtId="0" fontId="30" fillId="0" borderId="0" xfId="0" applyFont="1" applyAlignment="1">
      <alignment vertical="center"/>
    </xf>
    <xf numFmtId="0" fontId="8" fillId="0" borderId="0" xfId="1" applyFont="1" applyAlignment="1">
      <alignment vertical="center"/>
    </xf>
    <xf numFmtId="17" fontId="6" fillId="0" borderId="0" xfId="1" applyNumberFormat="1" applyFont="1" applyAlignment="1">
      <alignment horizontal="left" vertical="center"/>
    </xf>
    <xf numFmtId="0" fontId="26" fillId="0" borderId="0" xfId="1" applyFont="1" applyAlignment="1">
      <alignment vertical="center"/>
    </xf>
    <xf numFmtId="0" fontId="18" fillId="0" borderId="0" xfId="3" applyFont="1" applyAlignment="1">
      <alignment vertical="center"/>
    </xf>
    <xf numFmtId="0" fontId="6" fillId="0" borderId="4" xfId="1" applyFont="1" applyBorder="1" applyAlignment="1">
      <alignment vertical="center"/>
    </xf>
    <xf numFmtId="0" fontId="29" fillId="0" borderId="4" xfId="1" applyFont="1" applyBorder="1" applyAlignment="1">
      <alignment vertical="center"/>
    </xf>
    <xf numFmtId="2" fontId="15" fillId="0" borderId="50" xfId="0" applyNumberFormat="1" applyFont="1" applyBorder="1" applyAlignment="1">
      <alignment horizontal="left" vertical="center" wrapText="1"/>
    </xf>
    <xf numFmtId="0" fontId="21" fillId="0" borderId="10" xfId="0" applyFont="1" applyBorder="1" applyAlignment="1">
      <alignment horizontal="left" vertical="center" wrapText="1"/>
    </xf>
    <xf numFmtId="0" fontId="6" fillId="0" borderId="10" xfId="0" applyFont="1" applyBorder="1" applyAlignment="1">
      <alignment horizontal="left" vertical="center" wrapText="1"/>
    </xf>
    <xf numFmtId="0" fontId="6" fillId="0" borderId="9" xfId="0" applyFont="1" applyBorder="1" applyAlignment="1">
      <alignment horizontal="left" vertical="center" wrapText="1"/>
    </xf>
    <xf numFmtId="0" fontId="29" fillId="15" borderId="1" xfId="1" applyFont="1" applyFill="1" applyBorder="1" applyAlignment="1">
      <alignment vertical="center"/>
    </xf>
    <xf numFmtId="0" fontId="29" fillId="15" borderId="2" xfId="1" applyFont="1" applyFill="1" applyBorder="1" applyAlignment="1">
      <alignment vertical="center"/>
    </xf>
    <xf numFmtId="0" fontId="29" fillId="15" borderId="3" xfId="1" applyFont="1" applyFill="1" applyBorder="1" applyAlignment="1">
      <alignment vertical="center"/>
    </xf>
    <xf numFmtId="0" fontId="29" fillId="15" borderId="4" xfId="1" applyFont="1" applyFill="1" applyBorder="1" applyAlignment="1">
      <alignment vertical="center"/>
    </xf>
    <xf numFmtId="0" fontId="29" fillId="15" borderId="5" xfId="1" applyFont="1" applyFill="1" applyBorder="1" applyAlignment="1">
      <alignment vertical="center"/>
    </xf>
    <xf numFmtId="0" fontId="29" fillId="15" borderId="4" xfId="1" applyFont="1" applyFill="1" applyBorder="1" applyAlignment="1">
      <alignment horizontal="center" vertical="center"/>
    </xf>
    <xf numFmtId="0" fontId="15" fillId="15" borderId="4" xfId="0" applyFont="1" applyFill="1" applyBorder="1" applyAlignment="1">
      <alignment vertical="center"/>
    </xf>
    <xf numFmtId="0" fontId="6" fillId="15" borderId="9" xfId="1" applyFont="1" applyFill="1" applyBorder="1" applyAlignment="1">
      <alignment vertical="center"/>
    </xf>
    <xf numFmtId="0" fontId="8" fillId="15" borderId="10" xfId="1" applyFont="1" applyFill="1" applyBorder="1" applyAlignment="1">
      <alignment vertical="center"/>
    </xf>
    <xf numFmtId="17" fontId="6" fillId="15" borderId="10" xfId="1" applyNumberFormat="1" applyFont="1" applyFill="1" applyBorder="1" applyAlignment="1">
      <alignment horizontal="left" vertical="center"/>
    </xf>
    <xf numFmtId="0" fontId="25" fillId="15" borderId="10" xfId="2" applyFont="1" applyFill="1" applyBorder="1" applyAlignment="1" applyProtection="1">
      <alignment vertical="center"/>
    </xf>
    <xf numFmtId="0" fontId="6" fillId="15" borderId="10" xfId="1" applyFont="1" applyFill="1" applyBorder="1" applyAlignment="1">
      <alignment vertical="center" wrapText="1"/>
    </xf>
    <xf numFmtId="0" fontId="6" fillId="15" borderId="10" xfId="1" applyFont="1" applyFill="1" applyBorder="1" applyAlignment="1">
      <alignment vertical="center"/>
    </xf>
    <xf numFmtId="0" fontId="6" fillId="15" borderId="11" xfId="1" applyFont="1" applyFill="1" applyBorder="1" applyAlignment="1">
      <alignment vertical="center"/>
    </xf>
    <xf numFmtId="0" fontId="8" fillId="15" borderId="2" xfId="1" applyFont="1" applyFill="1" applyBorder="1" applyAlignment="1">
      <alignment vertical="center"/>
    </xf>
    <xf numFmtId="17" fontId="6" fillId="15" borderId="2" xfId="1" applyNumberFormat="1" applyFont="1" applyFill="1" applyBorder="1" applyAlignment="1">
      <alignment horizontal="left" vertical="center"/>
    </xf>
    <xf numFmtId="0" fontId="25" fillId="15" borderId="2" xfId="2" applyFont="1" applyFill="1" applyBorder="1" applyAlignment="1" applyProtection="1">
      <alignment vertical="center"/>
    </xf>
    <xf numFmtId="0" fontId="6" fillId="15" borderId="2" xfId="1" applyFont="1" applyFill="1" applyBorder="1" applyAlignment="1">
      <alignment vertical="center" wrapText="1"/>
    </xf>
    <xf numFmtId="0" fontId="6" fillId="15" borderId="2" xfId="1" applyFont="1" applyFill="1" applyBorder="1" applyAlignment="1">
      <alignment vertical="center"/>
    </xf>
    <xf numFmtId="0" fontId="6" fillId="15" borderId="3" xfId="1" applyFont="1" applyFill="1" applyBorder="1" applyAlignment="1">
      <alignment vertical="center"/>
    </xf>
    <xf numFmtId="0" fontId="8" fillId="15" borderId="0" xfId="1" applyFont="1" applyFill="1" applyAlignment="1">
      <alignment vertical="center"/>
    </xf>
    <xf numFmtId="17" fontId="6" fillId="15" borderId="0" xfId="1" applyNumberFormat="1" applyFont="1" applyFill="1" applyAlignment="1">
      <alignment horizontal="left" vertical="center"/>
    </xf>
    <xf numFmtId="0" fontId="25" fillId="15" borderId="0" xfId="2" applyFont="1" applyFill="1" applyBorder="1" applyAlignment="1" applyProtection="1">
      <alignment vertical="center"/>
    </xf>
    <xf numFmtId="0" fontId="6" fillId="15" borderId="0" xfId="1" applyFont="1" applyFill="1" applyAlignment="1">
      <alignment vertical="center" wrapText="1"/>
    </xf>
    <xf numFmtId="0" fontId="6" fillId="15" borderId="0" xfId="1" applyFont="1" applyFill="1" applyAlignment="1">
      <alignment vertical="center"/>
    </xf>
    <xf numFmtId="0" fontId="6" fillId="15" borderId="5" xfId="1" applyFont="1" applyFill="1" applyBorder="1" applyAlignment="1">
      <alignment vertical="center"/>
    </xf>
    <xf numFmtId="0" fontId="15" fillId="15" borderId="5" xfId="0" applyFont="1" applyFill="1" applyBorder="1" applyAlignment="1">
      <alignment vertical="center"/>
    </xf>
    <xf numFmtId="0" fontId="6" fillId="15" borderId="19" xfId="1" applyFont="1" applyFill="1" applyBorder="1" applyAlignment="1">
      <alignment horizontal="left" vertical="center"/>
    </xf>
    <xf numFmtId="0" fontId="6" fillId="15" borderId="10" xfId="1" applyFont="1" applyFill="1" applyBorder="1" applyAlignment="1">
      <alignment horizontal="center" vertical="center" wrapText="1"/>
    </xf>
    <xf numFmtId="0" fontId="6" fillId="15" borderId="10" xfId="1" applyFont="1" applyFill="1" applyBorder="1" applyAlignment="1">
      <alignment horizontal="left" vertical="center" wrapText="1"/>
    </xf>
    <xf numFmtId="0" fontId="6" fillId="15" borderId="1" xfId="1" applyFont="1" applyFill="1" applyBorder="1" applyAlignment="1">
      <alignment vertical="center"/>
    </xf>
    <xf numFmtId="0" fontId="5" fillId="15" borderId="4" xfId="1" applyFont="1" applyFill="1" applyBorder="1" applyAlignment="1">
      <alignment vertical="center"/>
    </xf>
    <xf numFmtId="0" fontId="5" fillId="15" borderId="0" xfId="1" applyFont="1" applyFill="1" applyAlignment="1">
      <alignment vertical="center"/>
    </xf>
    <xf numFmtId="0" fontId="5" fillId="15" borderId="5" xfId="1" applyFont="1" applyFill="1" applyBorder="1" applyAlignment="1">
      <alignment vertical="center"/>
    </xf>
    <xf numFmtId="0" fontId="6" fillId="15" borderId="4" xfId="1" applyFont="1" applyFill="1" applyBorder="1" applyAlignment="1">
      <alignment vertical="center"/>
    </xf>
    <xf numFmtId="0" fontId="8" fillId="15" borderId="4" xfId="1" applyFont="1" applyFill="1" applyBorder="1" applyAlignment="1">
      <alignment vertical="center" wrapText="1"/>
    </xf>
    <xf numFmtId="0" fontId="8" fillId="15" borderId="12" xfId="1" applyFont="1" applyFill="1" applyBorder="1" applyAlignment="1">
      <alignment vertical="center"/>
    </xf>
    <xf numFmtId="0" fontId="26" fillId="15" borderId="0" xfId="1" applyFont="1" applyFill="1" applyAlignment="1">
      <alignment vertical="center"/>
    </xf>
    <xf numFmtId="0" fontId="15" fillId="15" borderId="10" xfId="0" applyFont="1" applyFill="1" applyBorder="1" applyAlignment="1">
      <alignment vertical="center"/>
    </xf>
    <xf numFmtId="0" fontId="31" fillId="15" borderId="0" xfId="2" applyFont="1" applyFill="1" applyBorder="1" applyAlignment="1" applyProtection="1">
      <alignment vertical="center"/>
    </xf>
    <xf numFmtId="0" fontId="8" fillId="15" borderId="1" xfId="1" applyFont="1" applyFill="1" applyBorder="1" applyAlignment="1">
      <alignment vertical="center" wrapText="1"/>
    </xf>
    <xf numFmtId="0" fontId="6" fillId="15" borderId="0" xfId="1" applyFont="1" applyFill="1" applyAlignment="1">
      <alignment horizontal="left" vertical="center"/>
    </xf>
    <xf numFmtId="0" fontId="6" fillId="15" borderId="0" xfId="1" applyFont="1" applyFill="1" applyAlignment="1">
      <alignment horizontal="left" vertical="center" wrapText="1"/>
    </xf>
    <xf numFmtId="0" fontId="15" fillId="0" borderId="93" xfId="0" applyFont="1" applyBorder="1" applyAlignment="1">
      <alignment vertical="center"/>
    </xf>
    <xf numFmtId="0" fontId="15" fillId="0" borderId="104" xfId="0" applyFont="1" applyBorder="1" applyAlignment="1">
      <alignment vertical="center"/>
    </xf>
    <xf numFmtId="0" fontId="15" fillId="0" borderId="33" xfId="0" applyFont="1" applyBorder="1" applyAlignment="1">
      <alignment vertical="center"/>
    </xf>
    <xf numFmtId="0" fontId="15" fillId="15" borderId="2" xfId="0" applyFont="1" applyFill="1" applyBorder="1" applyAlignment="1">
      <alignment vertical="center"/>
    </xf>
    <xf numFmtId="0" fontId="15" fillId="15" borderId="3" xfId="0" applyFont="1" applyFill="1" applyBorder="1" applyAlignment="1">
      <alignment vertical="center"/>
    </xf>
    <xf numFmtId="0" fontId="15" fillId="15" borderId="0" xfId="0" applyFont="1" applyFill="1" applyAlignment="1">
      <alignment vertical="center"/>
    </xf>
    <xf numFmtId="0" fontId="16" fillId="15" borderId="39" xfId="0" applyFont="1" applyFill="1" applyBorder="1" applyAlignment="1">
      <alignment vertical="center"/>
    </xf>
    <xf numFmtId="0" fontId="16" fillId="15" borderId="35" xfId="0" applyFont="1" applyFill="1" applyBorder="1" applyAlignment="1">
      <alignment vertical="center"/>
    </xf>
    <xf numFmtId="0" fontId="15" fillId="15" borderId="9" xfId="0" applyFont="1" applyFill="1" applyBorder="1" applyAlignment="1">
      <alignment vertical="center"/>
    </xf>
    <xf numFmtId="0" fontId="15" fillId="15" borderId="11" xfId="0" applyFont="1" applyFill="1" applyBorder="1" applyAlignment="1">
      <alignment vertical="center"/>
    </xf>
    <xf numFmtId="0" fontId="26" fillId="15" borderId="4" xfId="1" applyFont="1" applyFill="1" applyBorder="1" applyAlignment="1">
      <alignment vertical="center"/>
    </xf>
    <xf numFmtId="0" fontId="8" fillId="24" borderId="20" xfId="1" applyFont="1" applyFill="1" applyBorder="1" applyAlignment="1" applyProtection="1">
      <alignment horizontal="left" vertical="center" wrapText="1"/>
      <protection locked="0"/>
    </xf>
    <xf numFmtId="0" fontId="8" fillId="24" borderId="37" xfId="1" applyFont="1" applyFill="1" applyBorder="1" applyAlignment="1" applyProtection="1">
      <alignment horizontal="left" vertical="center"/>
      <protection locked="0"/>
    </xf>
    <xf numFmtId="0" fontId="21" fillId="14" borderId="108" xfId="0" applyFont="1" applyFill="1" applyBorder="1" applyAlignment="1">
      <alignment horizontal="left" vertical="center" wrapText="1"/>
    </xf>
    <xf numFmtId="0" fontId="6" fillId="14" borderId="73" xfId="0" applyFont="1" applyFill="1" applyBorder="1" applyAlignment="1">
      <alignment horizontal="left" vertical="center" wrapText="1"/>
    </xf>
    <xf numFmtId="0" fontId="8" fillId="22" borderId="55" xfId="0" applyFont="1" applyFill="1" applyBorder="1" applyAlignment="1">
      <alignment horizontal="left" vertical="center" wrapText="1"/>
    </xf>
    <xf numFmtId="0" fontId="8" fillId="22" borderId="111" xfId="0" applyFont="1" applyFill="1" applyBorder="1" applyAlignment="1">
      <alignment horizontal="left" vertical="center" wrapText="1"/>
    </xf>
    <xf numFmtId="0" fontId="6" fillId="17" borderId="112" xfId="0" applyFont="1" applyFill="1" applyBorder="1" applyAlignment="1">
      <alignment horizontal="left" vertical="center" wrapText="1"/>
    </xf>
    <xf numFmtId="0" fontId="6" fillId="8" borderId="112" xfId="0" applyFont="1" applyFill="1" applyBorder="1" applyAlignment="1">
      <alignment horizontal="left" vertical="center" wrapText="1"/>
    </xf>
    <xf numFmtId="0" fontId="8" fillId="22" borderId="2" xfId="0" applyFont="1" applyFill="1" applyBorder="1" applyAlignment="1">
      <alignment horizontal="left" vertical="center" wrapText="1"/>
    </xf>
    <xf numFmtId="0" fontId="8" fillId="22" borderId="3" xfId="0" applyFont="1" applyFill="1" applyBorder="1" applyAlignment="1">
      <alignment horizontal="left" vertical="center" wrapText="1"/>
    </xf>
    <xf numFmtId="0" fontId="8" fillId="13" borderId="113" xfId="0" applyFont="1" applyFill="1" applyBorder="1" applyAlignment="1">
      <alignment horizontal="left" vertical="center" wrapText="1"/>
    </xf>
    <xf numFmtId="2" fontId="6" fillId="10" borderId="7" xfId="0" applyNumberFormat="1" applyFont="1" applyFill="1" applyBorder="1" applyAlignment="1">
      <alignment vertical="center" wrapText="1"/>
    </xf>
    <xf numFmtId="2" fontId="6" fillId="10" borderId="41" xfId="0" applyNumberFormat="1" applyFont="1" applyFill="1" applyBorder="1" applyAlignment="1">
      <alignment vertical="center" wrapText="1"/>
    </xf>
    <xf numFmtId="0" fontId="6" fillId="17" borderId="114" xfId="0" applyFont="1" applyFill="1" applyBorder="1" applyAlignment="1">
      <alignment horizontal="left" vertical="center" wrapText="1"/>
    </xf>
    <xf numFmtId="0" fontId="6" fillId="17" borderId="115" xfId="0" applyFont="1" applyFill="1" applyBorder="1" applyAlignment="1">
      <alignment horizontal="left" vertical="center" wrapText="1"/>
    </xf>
    <xf numFmtId="0" fontId="6" fillId="17" borderId="16" xfId="0" applyFont="1" applyFill="1" applyBorder="1" applyAlignment="1">
      <alignment horizontal="left" vertical="center" wrapText="1"/>
    </xf>
    <xf numFmtId="0" fontId="15" fillId="0" borderId="117" xfId="0" applyFont="1" applyBorder="1" applyAlignment="1">
      <alignment horizontal="left" vertical="center"/>
    </xf>
    <xf numFmtId="0" fontId="6" fillId="17" borderId="67" xfId="0" applyFont="1" applyFill="1" applyBorder="1" applyAlignment="1">
      <alignment horizontal="left" vertical="center" wrapText="1"/>
    </xf>
    <xf numFmtId="0" fontId="6" fillId="17" borderId="16" xfId="0" applyFont="1" applyFill="1" applyBorder="1" applyAlignment="1">
      <alignment horizontal="left" vertical="center"/>
    </xf>
    <xf numFmtId="0" fontId="6" fillId="17" borderId="114" xfId="0" applyFont="1" applyFill="1" applyBorder="1" applyAlignment="1">
      <alignment horizontal="left" vertical="center"/>
    </xf>
    <xf numFmtId="2" fontId="6" fillId="6" borderId="41" xfId="0" applyNumberFormat="1" applyFont="1" applyFill="1" applyBorder="1" applyAlignment="1">
      <alignment vertical="center" wrapText="1"/>
    </xf>
    <xf numFmtId="2" fontId="6" fillId="6" borderId="46" xfId="0" applyNumberFormat="1" applyFont="1" applyFill="1" applyBorder="1" applyAlignment="1">
      <alignment vertical="center" wrapText="1"/>
    </xf>
    <xf numFmtId="2" fontId="6" fillId="6" borderId="14" xfId="0" applyNumberFormat="1" applyFont="1" applyFill="1" applyBorder="1" applyAlignment="1">
      <alignment vertical="center" wrapText="1"/>
    </xf>
    <xf numFmtId="2" fontId="6" fillId="6" borderId="17" xfId="0" applyNumberFormat="1" applyFont="1" applyFill="1" applyBorder="1" applyAlignment="1">
      <alignment vertical="center" wrapText="1"/>
    </xf>
    <xf numFmtId="2" fontId="6" fillId="6" borderId="7" xfId="0" applyNumberFormat="1" applyFont="1" applyFill="1" applyBorder="1" applyAlignment="1">
      <alignment vertical="center" wrapText="1"/>
    </xf>
    <xf numFmtId="2" fontId="6" fillId="12" borderId="44" xfId="0" applyNumberFormat="1" applyFont="1" applyFill="1" applyBorder="1" applyAlignment="1">
      <alignment vertical="center" wrapText="1"/>
    </xf>
    <xf numFmtId="2" fontId="6" fillId="0" borderId="118" xfId="0" applyNumberFormat="1" applyFont="1" applyBorder="1" applyAlignment="1">
      <alignment vertical="center" wrapText="1"/>
    </xf>
    <xf numFmtId="2" fontId="6" fillId="0" borderId="119" xfId="0" applyNumberFormat="1" applyFont="1" applyBorder="1" applyAlignment="1">
      <alignment vertical="center" wrapText="1"/>
    </xf>
    <xf numFmtId="2" fontId="6" fillId="10" borderId="120" xfId="0" applyNumberFormat="1" applyFont="1" applyFill="1" applyBorder="1" applyAlignment="1">
      <alignment vertical="center" wrapText="1"/>
    </xf>
    <xf numFmtId="2" fontId="6" fillId="6" borderId="119" xfId="0" applyNumberFormat="1" applyFont="1" applyFill="1" applyBorder="1" applyAlignment="1">
      <alignment vertical="center" wrapText="1"/>
    </xf>
    <xf numFmtId="0" fontId="16" fillId="0" borderId="0" xfId="11" applyFont="1"/>
    <xf numFmtId="0" fontId="6" fillId="14" borderId="14" xfId="10" applyFont="1" applyFill="1" applyBorder="1" applyAlignment="1" applyProtection="1">
      <alignment horizontal="left" vertical="center" wrapText="1" shrinkToFit="1"/>
      <protection locked="0"/>
    </xf>
    <xf numFmtId="49" fontId="6" fillId="14" borderId="14" xfId="10" applyNumberFormat="1" applyFont="1" applyFill="1" applyBorder="1" applyAlignment="1" applyProtection="1">
      <alignment horizontal="left" vertical="center" wrapText="1" shrinkToFit="1"/>
      <protection locked="0"/>
    </xf>
    <xf numFmtId="0" fontId="6" fillId="14" borderId="8" xfId="10" applyFont="1" applyFill="1" applyBorder="1" applyAlignment="1">
      <alignment horizontal="left" vertical="center" shrinkToFit="1"/>
    </xf>
    <xf numFmtId="49" fontId="6" fillId="14" borderId="8" xfId="10" applyNumberFormat="1" applyFont="1" applyFill="1" applyBorder="1" applyAlignment="1" applyProtection="1">
      <alignment horizontal="left" vertical="center" shrinkToFit="1"/>
      <protection locked="0"/>
    </xf>
    <xf numFmtId="49" fontId="6" fillId="14" borderId="26" xfId="10" applyNumberFormat="1" applyFont="1" applyFill="1" applyBorder="1" applyAlignment="1" applyProtection="1">
      <alignment horizontal="left" vertical="center" shrinkToFit="1"/>
      <protection locked="0"/>
    </xf>
    <xf numFmtId="49" fontId="6" fillId="0" borderId="0" xfId="10" applyNumberFormat="1" applyFont="1" applyAlignment="1" applyProtection="1">
      <alignment horizontal="left" vertical="center" shrinkToFit="1"/>
      <protection locked="0"/>
    </xf>
    <xf numFmtId="0" fontId="6" fillId="0" borderId="0" xfId="10" applyFont="1" applyAlignment="1" applyProtection="1">
      <alignment horizontal="left" vertical="center" wrapText="1" shrinkToFit="1"/>
      <protection locked="0"/>
    </xf>
    <xf numFmtId="0" fontId="6" fillId="0" borderId="0" xfId="10" applyFont="1" applyAlignment="1" applyProtection="1">
      <alignment horizontal="left" vertical="center" shrinkToFit="1"/>
      <protection locked="0"/>
    </xf>
    <xf numFmtId="1" fontId="6" fillId="0" borderId="0" xfId="10" applyNumberFormat="1" applyFont="1" applyAlignment="1" applyProtection="1">
      <alignment horizontal="center" vertical="center" shrinkToFit="1"/>
      <protection locked="0"/>
    </xf>
    <xf numFmtId="0" fontId="6" fillId="14" borderId="69" xfId="10" applyFont="1" applyFill="1" applyBorder="1" applyAlignment="1">
      <alignment horizontal="left" vertical="center" shrinkToFit="1"/>
    </xf>
    <xf numFmtId="1" fontId="8" fillId="15" borderId="12" xfId="10" applyNumberFormat="1" applyFont="1" applyFill="1" applyBorder="1" applyAlignment="1" applyProtection="1">
      <alignment horizontal="left" vertical="center" wrapText="1"/>
      <protection locked="0"/>
    </xf>
    <xf numFmtId="1" fontId="8" fillId="15" borderId="13" xfId="10" applyNumberFormat="1" applyFont="1" applyFill="1" applyBorder="1" applyAlignment="1" applyProtection="1">
      <alignment horizontal="left" vertical="center" wrapText="1"/>
      <protection locked="0"/>
    </xf>
    <xf numFmtId="1" fontId="8" fillId="15" borderId="19" xfId="10" applyNumberFormat="1" applyFont="1" applyFill="1" applyBorder="1" applyAlignment="1" applyProtection="1">
      <alignment horizontal="left" vertical="center" wrapText="1"/>
      <protection locked="0"/>
    </xf>
    <xf numFmtId="1" fontId="8" fillId="15" borderId="13" xfId="10" applyNumberFormat="1" applyFont="1" applyFill="1" applyBorder="1" applyAlignment="1" applyProtection="1">
      <alignment horizontal="center" vertical="center" wrapText="1"/>
      <protection locked="0"/>
    </xf>
    <xf numFmtId="1" fontId="8" fillId="15" borderId="19" xfId="10" applyNumberFormat="1" applyFont="1" applyFill="1" applyBorder="1" applyAlignment="1" applyProtection="1">
      <alignment horizontal="center" vertical="center" wrapText="1"/>
      <protection locked="0"/>
    </xf>
    <xf numFmtId="1" fontId="8" fillId="15" borderId="40" xfId="10" applyNumberFormat="1" applyFont="1" applyFill="1" applyBorder="1" applyAlignment="1" applyProtection="1">
      <alignment horizontal="center" vertical="center" wrapText="1"/>
      <protection locked="0"/>
    </xf>
    <xf numFmtId="0" fontId="15" fillId="0" borderId="0" xfId="11"/>
    <xf numFmtId="2" fontId="21" fillId="0" borderId="0" xfId="11" applyNumberFormat="1" applyFont="1" applyAlignment="1">
      <alignment horizontal="left" vertical="center" wrapText="1"/>
    </xf>
    <xf numFmtId="0" fontId="19" fillId="0" borderId="0" xfId="11" applyFont="1" applyAlignment="1">
      <alignment horizontal="left" vertical="center" wrapText="1"/>
    </xf>
    <xf numFmtId="0" fontId="6" fillId="0" borderId="2" xfId="1" applyFont="1" applyBorder="1" applyAlignment="1">
      <alignment vertical="center"/>
    </xf>
    <xf numFmtId="0" fontId="8" fillId="22" borderId="88" xfId="0" applyFont="1" applyFill="1" applyBorder="1" applyAlignment="1">
      <alignment horizontal="left" vertical="center" wrapText="1"/>
    </xf>
    <xf numFmtId="0" fontId="8" fillId="22" borderId="121" xfId="0" applyFont="1" applyFill="1" applyBorder="1" applyAlignment="1">
      <alignment horizontal="left" vertical="center" wrapText="1"/>
    </xf>
    <xf numFmtId="0" fontId="8" fillId="22" borderId="37" xfId="0" applyFont="1" applyFill="1" applyBorder="1" applyAlignment="1">
      <alignment horizontal="left" vertical="center" wrapText="1"/>
    </xf>
    <xf numFmtId="0" fontId="21" fillId="14" borderId="124" xfId="0" applyFont="1" applyFill="1" applyBorder="1" applyAlignment="1">
      <alignment horizontal="left" vertical="center" wrapText="1"/>
    </xf>
    <xf numFmtId="0" fontId="6" fillId="14" borderId="125" xfId="0" applyFont="1" applyFill="1" applyBorder="1" applyAlignment="1">
      <alignment horizontal="left" vertical="center" wrapText="1"/>
    </xf>
    <xf numFmtId="2" fontId="6" fillId="6" borderId="42" xfId="0" applyNumberFormat="1" applyFont="1" applyFill="1" applyBorder="1" applyAlignment="1">
      <alignment vertical="center" wrapText="1"/>
    </xf>
    <xf numFmtId="0" fontId="8" fillId="13" borderId="131" xfId="0" applyFont="1" applyFill="1" applyBorder="1" applyAlignment="1">
      <alignment horizontal="left" vertical="center" wrapText="1"/>
    </xf>
    <xf numFmtId="0" fontId="8" fillId="22" borderId="13" xfId="0" applyFont="1" applyFill="1" applyBorder="1" applyAlignment="1">
      <alignment horizontal="left" vertical="center" wrapText="1"/>
    </xf>
    <xf numFmtId="2" fontId="6" fillId="15" borderId="22" xfId="1" applyNumberFormat="1" applyFont="1" applyFill="1" applyBorder="1" applyAlignment="1" applyProtection="1">
      <alignment horizontal="right" vertical="center" shrinkToFit="1"/>
      <protection locked="0"/>
    </xf>
    <xf numFmtId="2" fontId="6" fillId="15" borderId="18" xfId="1" applyNumberFormat="1" applyFont="1" applyFill="1" applyBorder="1" applyAlignment="1" applyProtection="1">
      <alignment horizontal="right" vertical="center" shrinkToFit="1"/>
      <protection locked="0"/>
    </xf>
    <xf numFmtId="2" fontId="6" fillId="15" borderId="27" xfId="1" applyNumberFormat="1" applyFont="1" applyFill="1" applyBorder="1" applyAlignment="1">
      <alignment horizontal="right" vertical="center" shrinkToFit="1"/>
    </xf>
    <xf numFmtId="2" fontId="6" fillId="0" borderId="27" xfId="1" applyNumberFormat="1" applyFont="1" applyBorder="1" applyAlignment="1">
      <alignment horizontal="right" vertical="center" shrinkToFit="1"/>
    </xf>
    <xf numFmtId="2" fontId="6" fillId="15" borderId="40" xfId="1" applyNumberFormat="1" applyFont="1" applyFill="1" applyBorder="1" applyAlignment="1" applyProtection="1">
      <alignment horizontal="right" vertical="center" shrinkToFit="1"/>
      <protection locked="0"/>
    </xf>
    <xf numFmtId="2" fontId="6" fillId="0" borderId="39" xfId="1" applyNumberFormat="1" applyFont="1" applyBorder="1" applyAlignment="1" applyProtection="1">
      <alignment horizontal="right" vertical="center" shrinkToFit="1"/>
      <protection locked="0"/>
    </xf>
    <xf numFmtId="2" fontId="6" fillId="15" borderId="16" xfId="1" applyNumberFormat="1" applyFont="1" applyFill="1" applyBorder="1" applyAlignment="1" applyProtection="1">
      <alignment horizontal="right" vertical="center" shrinkToFit="1"/>
      <protection locked="0"/>
    </xf>
    <xf numFmtId="2" fontId="6" fillId="15" borderId="47" xfId="1" applyNumberFormat="1" applyFont="1" applyFill="1" applyBorder="1" applyAlignment="1" applyProtection="1">
      <alignment horizontal="right" vertical="center" wrapText="1"/>
      <protection locked="0"/>
    </xf>
    <xf numFmtId="2" fontId="6" fillId="3" borderId="14" xfId="1" applyNumberFormat="1" applyFont="1" applyFill="1" applyBorder="1" applyAlignment="1">
      <alignment horizontal="right" vertical="center"/>
    </xf>
    <xf numFmtId="2" fontId="6" fillId="0" borderId="6" xfId="1" applyNumberFormat="1" applyFont="1" applyBorder="1" applyAlignment="1" applyProtection="1">
      <alignment horizontal="right" vertical="center"/>
      <protection locked="0"/>
    </xf>
    <xf numFmtId="2" fontId="6" fillId="0" borderId="25" xfId="1" applyNumberFormat="1" applyFont="1" applyBorder="1" applyAlignment="1" applyProtection="1">
      <alignment horizontal="right" vertical="center"/>
      <protection locked="0"/>
    </xf>
    <xf numFmtId="2" fontId="6" fillId="3" borderId="14" xfId="1" applyNumberFormat="1" applyFont="1" applyFill="1" applyBorder="1" applyAlignment="1" applyProtection="1">
      <alignment horizontal="right" vertical="center"/>
      <protection locked="0"/>
    </xf>
    <xf numFmtId="2" fontId="6" fillId="0" borderId="6" xfId="6" applyNumberFormat="1" applyFont="1" applyBorder="1" applyAlignment="1">
      <alignment horizontal="right" vertical="center"/>
    </xf>
    <xf numFmtId="2" fontId="6" fillId="0" borderId="6" xfId="7" applyNumberFormat="1" applyFont="1" applyBorder="1" applyAlignment="1" applyProtection="1">
      <alignment horizontal="right" vertical="center"/>
      <protection locked="0"/>
    </xf>
    <xf numFmtId="2" fontId="6" fillId="0" borderId="25" xfId="6" applyNumberFormat="1" applyFont="1" applyBorder="1" applyAlignment="1">
      <alignment horizontal="right" vertical="center"/>
    </xf>
    <xf numFmtId="2" fontId="6" fillId="0" borderId="25" xfId="7" applyNumberFormat="1" applyFont="1" applyBorder="1" applyAlignment="1" applyProtection="1">
      <alignment horizontal="right" vertical="center"/>
      <protection locked="0"/>
    </xf>
    <xf numFmtId="0" fontId="15" fillId="0" borderId="25" xfId="0" applyFont="1" applyBorder="1" applyAlignment="1">
      <alignment horizontal="right" vertical="center"/>
    </xf>
    <xf numFmtId="1" fontId="6" fillId="14" borderId="24" xfId="10" applyNumberFormat="1" applyFont="1" applyFill="1" applyBorder="1" applyAlignment="1" applyProtection="1">
      <alignment horizontal="right" vertical="center" shrinkToFit="1"/>
      <protection locked="0"/>
    </xf>
    <xf numFmtId="1" fontId="6" fillId="14" borderId="28" xfId="10" applyNumberFormat="1" applyFont="1" applyFill="1" applyBorder="1" applyAlignment="1" applyProtection="1">
      <alignment horizontal="right" vertical="center" shrinkToFit="1"/>
      <protection locked="0"/>
    </xf>
    <xf numFmtId="0" fontId="6" fillId="14" borderId="7" xfId="0" applyFont="1" applyFill="1" applyBorder="1" applyAlignment="1">
      <alignment horizontal="right" vertical="center" wrapText="1"/>
    </xf>
    <xf numFmtId="0" fontId="8" fillId="14" borderId="85" xfId="0" applyFont="1" applyFill="1" applyBorder="1" applyAlignment="1">
      <alignment horizontal="right" vertical="center" wrapText="1"/>
    </xf>
    <xf numFmtId="0" fontId="6" fillId="17" borderId="32" xfId="0" applyFont="1" applyFill="1" applyBorder="1" applyAlignment="1">
      <alignment horizontal="right" vertical="center" wrapText="1"/>
    </xf>
    <xf numFmtId="0" fontId="6" fillId="17" borderId="7" xfId="0" applyFont="1" applyFill="1" applyBorder="1" applyAlignment="1">
      <alignment horizontal="right" vertical="center" wrapText="1"/>
    </xf>
    <xf numFmtId="0" fontId="6" fillId="8" borderId="7" xfId="0" applyFont="1" applyFill="1" applyBorder="1" applyAlignment="1">
      <alignment horizontal="right" vertical="center" wrapText="1"/>
    </xf>
    <xf numFmtId="0" fontId="6" fillId="17" borderId="0" xfId="0" applyFont="1" applyFill="1" applyAlignment="1">
      <alignment horizontal="right" vertical="center" wrapText="1"/>
    </xf>
    <xf numFmtId="0" fontId="6" fillId="14" borderId="126" xfId="0" applyFont="1" applyFill="1" applyBorder="1" applyAlignment="1">
      <alignment horizontal="right" vertical="center" wrapText="1"/>
    </xf>
    <xf numFmtId="0" fontId="6" fillId="14" borderId="74" xfId="0" applyFont="1" applyFill="1" applyBorder="1" applyAlignment="1">
      <alignment horizontal="right" vertical="center" wrapText="1"/>
    </xf>
    <xf numFmtId="0" fontId="6" fillId="14" borderId="76" xfId="0" applyFont="1" applyFill="1" applyBorder="1" applyAlignment="1">
      <alignment horizontal="right" vertical="center" wrapText="1"/>
    </xf>
    <xf numFmtId="1" fontId="6" fillId="14" borderId="54" xfId="10" applyNumberFormat="1" applyFont="1" applyFill="1" applyBorder="1" applyAlignment="1" applyProtection="1">
      <alignment horizontal="right" vertical="center" shrinkToFit="1"/>
      <protection locked="0"/>
    </xf>
    <xf numFmtId="0" fontId="6" fillId="14" borderId="6" xfId="10" applyFont="1" applyFill="1" applyBorder="1" applyAlignment="1" applyProtection="1">
      <alignment horizontal="right" vertical="center" shrinkToFit="1"/>
      <protection locked="0"/>
    </xf>
    <xf numFmtId="167" fontId="15" fillId="0" borderId="127" xfId="0" applyNumberFormat="1" applyFont="1" applyBorder="1" applyAlignment="1">
      <alignment horizontal="right" vertical="center"/>
    </xf>
    <xf numFmtId="167" fontId="15" fillId="0" borderId="128" xfId="0" applyNumberFormat="1" applyFont="1" applyBorder="1" applyAlignment="1">
      <alignment horizontal="right" vertical="center"/>
    </xf>
    <xf numFmtId="167" fontId="15" fillId="0" borderId="126" xfId="0" applyNumberFormat="1" applyFont="1" applyBorder="1" applyAlignment="1">
      <alignment horizontal="right" vertical="center"/>
    </xf>
    <xf numFmtId="167" fontId="15" fillId="0" borderId="129" xfId="0" applyNumberFormat="1" applyFont="1" applyBorder="1" applyAlignment="1">
      <alignment horizontal="right" vertical="center"/>
    </xf>
    <xf numFmtId="167" fontId="15" fillId="0" borderId="82" xfId="0" applyNumberFormat="1" applyFont="1" applyBorder="1" applyAlignment="1">
      <alignment horizontal="right" vertical="center"/>
    </xf>
    <xf numFmtId="167" fontId="15" fillId="0" borderId="41" xfId="0" applyNumberFormat="1" applyFont="1" applyBorder="1" applyAlignment="1">
      <alignment horizontal="right" vertical="center"/>
    </xf>
    <xf numFmtId="167" fontId="15" fillId="0" borderId="74" xfId="0" applyNumberFormat="1" applyFont="1" applyBorder="1" applyAlignment="1">
      <alignment horizontal="right" vertical="center"/>
    </xf>
    <xf numFmtId="167" fontId="15" fillId="0" borderId="101" xfId="0" applyNumberFormat="1" applyFont="1" applyBorder="1" applyAlignment="1">
      <alignment horizontal="right" vertical="center"/>
    </xf>
    <xf numFmtId="167" fontId="15" fillId="0" borderId="83" xfId="0" applyNumberFormat="1" applyFont="1" applyBorder="1" applyAlignment="1">
      <alignment horizontal="right" vertical="center"/>
    </xf>
    <xf numFmtId="167" fontId="15" fillId="0" borderId="98" xfId="0" applyNumberFormat="1" applyFont="1" applyBorder="1" applyAlignment="1">
      <alignment horizontal="right" vertical="center"/>
    </xf>
    <xf numFmtId="167" fontId="15" fillId="0" borderId="76" xfId="0" applyNumberFormat="1" applyFont="1" applyBorder="1" applyAlignment="1">
      <alignment horizontal="right" vertical="center"/>
    </xf>
    <xf numFmtId="167" fontId="15" fillId="0" borderId="102" xfId="0" applyNumberFormat="1" applyFont="1" applyBorder="1" applyAlignment="1">
      <alignment horizontal="right" vertical="center"/>
    </xf>
    <xf numFmtId="2" fontId="15" fillId="0" borderId="80" xfId="0" applyNumberFormat="1" applyFont="1" applyBorder="1" applyAlignment="1">
      <alignment horizontal="right" vertical="center"/>
    </xf>
    <xf numFmtId="2" fontId="15" fillId="0" borderId="42" xfId="0" applyNumberFormat="1" applyFont="1" applyBorder="1" applyAlignment="1">
      <alignment horizontal="right" vertical="center"/>
    </xf>
    <xf numFmtId="2" fontId="15" fillId="0" borderId="81" xfId="0" applyNumberFormat="1" applyFont="1" applyBorder="1" applyAlignment="1">
      <alignment horizontal="right" vertical="center"/>
    </xf>
    <xf numFmtId="2" fontId="15" fillId="0" borderId="100" xfId="0" applyNumberFormat="1" applyFont="1" applyBorder="1" applyAlignment="1">
      <alignment horizontal="right" vertical="center"/>
    </xf>
    <xf numFmtId="2" fontId="15" fillId="0" borderId="82" xfId="0" applyNumberFormat="1" applyFont="1" applyBorder="1" applyAlignment="1">
      <alignment horizontal="right" vertical="center"/>
    </xf>
    <xf numFmtId="2" fontId="15" fillId="0" borderId="41" xfId="0" applyNumberFormat="1" applyFont="1" applyBorder="1" applyAlignment="1">
      <alignment horizontal="right" vertical="center"/>
    </xf>
    <xf numFmtId="2" fontId="15" fillId="0" borderId="74" xfId="0" applyNumberFormat="1" applyFont="1" applyBorder="1" applyAlignment="1">
      <alignment horizontal="right" vertical="center"/>
    </xf>
    <xf numFmtId="2" fontId="15" fillId="0" borderId="101" xfId="0" applyNumberFormat="1" applyFont="1" applyBorder="1" applyAlignment="1">
      <alignment horizontal="right" vertical="center"/>
    </xf>
    <xf numFmtId="2" fontId="15" fillId="0" borderId="109" xfId="0" applyNumberFormat="1" applyFont="1" applyBorder="1" applyAlignment="1">
      <alignment horizontal="right" vertical="center"/>
    </xf>
    <xf numFmtId="2" fontId="15" fillId="0" borderId="72" xfId="0" applyNumberFormat="1" applyFont="1" applyBorder="1" applyAlignment="1">
      <alignment horizontal="right" vertical="center"/>
    </xf>
    <xf numFmtId="2" fontId="15" fillId="0" borderId="75" xfId="0" applyNumberFormat="1" applyFont="1" applyBorder="1" applyAlignment="1">
      <alignment horizontal="right" vertical="center"/>
    </xf>
    <xf numFmtId="2" fontId="15" fillId="0" borderId="110" xfId="0" applyNumberFormat="1" applyFont="1" applyBorder="1" applyAlignment="1">
      <alignment horizontal="right" vertical="center"/>
    </xf>
    <xf numFmtId="2" fontId="15" fillId="0" borderId="83" xfId="0" applyNumberFormat="1" applyFont="1" applyBorder="1" applyAlignment="1">
      <alignment horizontal="right" vertical="center"/>
    </xf>
    <xf numFmtId="2" fontId="15" fillId="0" borderId="98" xfId="0" applyNumberFormat="1" applyFont="1" applyBorder="1" applyAlignment="1">
      <alignment horizontal="right" vertical="center"/>
    </xf>
    <xf numFmtId="2" fontId="15" fillId="0" borderId="76" xfId="0" applyNumberFormat="1" applyFont="1" applyBorder="1" applyAlignment="1">
      <alignment horizontal="right" vertical="center"/>
    </xf>
    <xf numFmtId="2" fontId="15" fillId="0" borderId="102" xfId="0" applyNumberFormat="1" applyFont="1" applyBorder="1" applyAlignment="1">
      <alignment horizontal="right" vertical="center"/>
    </xf>
    <xf numFmtId="2" fontId="6" fillId="0" borderId="44" xfId="0" applyNumberFormat="1" applyFont="1" applyBorder="1" applyAlignment="1">
      <alignment horizontal="right" vertical="center" wrapText="1"/>
    </xf>
    <xf numFmtId="2" fontId="6" fillId="0" borderId="41" xfId="0" applyNumberFormat="1" applyFont="1" applyBorder="1" applyAlignment="1">
      <alignment horizontal="right" vertical="center" wrapText="1"/>
    </xf>
    <xf numFmtId="2" fontId="6" fillId="0" borderId="46" xfId="0" applyNumberFormat="1" applyFont="1" applyBorder="1" applyAlignment="1">
      <alignment horizontal="right" vertical="center" wrapText="1"/>
    </xf>
    <xf numFmtId="2" fontId="6" fillId="0" borderId="43" xfId="0" applyNumberFormat="1" applyFont="1" applyBorder="1" applyAlignment="1">
      <alignment horizontal="right" vertical="center" wrapText="1"/>
    </xf>
    <xf numFmtId="2" fontId="6" fillId="0" borderId="42" xfId="0" applyNumberFormat="1" applyFont="1" applyBorder="1" applyAlignment="1">
      <alignment horizontal="right" vertical="center" wrapText="1"/>
    </xf>
    <xf numFmtId="2" fontId="6" fillId="0" borderId="45" xfId="0" applyNumberFormat="1" applyFont="1" applyBorder="1" applyAlignment="1">
      <alignment horizontal="right" vertical="center" wrapText="1"/>
    </xf>
    <xf numFmtId="2" fontId="6" fillId="10" borderId="116" xfId="0" applyNumberFormat="1" applyFont="1" applyFill="1" applyBorder="1" applyAlignment="1">
      <alignment horizontal="right" vertical="center" wrapText="1"/>
    </xf>
    <xf numFmtId="2" fontId="6" fillId="10" borderId="72" xfId="0" applyNumberFormat="1" applyFont="1" applyFill="1" applyBorder="1" applyAlignment="1">
      <alignment horizontal="right" vertical="center" wrapText="1"/>
    </xf>
    <xf numFmtId="2" fontId="6" fillId="10" borderId="73" xfId="0" applyNumberFormat="1" applyFont="1" applyFill="1" applyBorder="1" applyAlignment="1">
      <alignment horizontal="right" vertical="center" wrapText="1"/>
    </xf>
    <xf numFmtId="2" fontId="6" fillId="10" borderId="130" xfId="0" applyNumberFormat="1" applyFont="1" applyFill="1" applyBorder="1" applyAlignment="1">
      <alignment horizontal="right" vertical="center" wrapText="1"/>
    </xf>
    <xf numFmtId="2" fontId="6" fillId="10" borderId="84" xfId="0" applyNumberFormat="1" applyFont="1" applyFill="1" applyBorder="1" applyAlignment="1">
      <alignment horizontal="right" vertical="center" wrapText="1"/>
    </xf>
    <xf numFmtId="2" fontId="6" fillId="10" borderId="85" xfId="0" applyNumberFormat="1" applyFont="1" applyFill="1" applyBorder="1" applyAlignment="1">
      <alignment horizontal="right" vertical="center" wrapText="1"/>
    </xf>
    <xf numFmtId="2" fontId="6" fillId="10" borderId="86" xfId="0" applyNumberFormat="1" applyFont="1" applyFill="1" applyBorder="1" applyAlignment="1">
      <alignment horizontal="right" vertical="center" wrapText="1"/>
    </xf>
    <xf numFmtId="2" fontId="6" fillId="0" borderId="17" xfId="0" applyNumberFormat="1" applyFont="1" applyBorder="1" applyAlignment="1">
      <alignment horizontal="right" vertical="center" wrapText="1"/>
    </xf>
    <xf numFmtId="10" fontId="15" fillId="0" borderId="71" xfId="0" applyNumberFormat="1" applyFont="1" applyBorder="1" applyAlignment="1">
      <alignment horizontal="right" vertical="center" wrapText="1"/>
    </xf>
    <xf numFmtId="10" fontId="15" fillId="0" borderId="42" xfId="0" applyNumberFormat="1" applyFont="1" applyBorder="1" applyAlignment="1">
      <alignment horizontal="right" vertical="center" wrapText="1"/>
    </xf>
    <xf numFmtId="10" fontId="15" fillId="0" borderId="112" xfId="0" applyNumberFormat="1" applyFont="1" applyBorder="1" applyAlignment="1">
      <alignment horizontal="right" vertical="center" wrapText="1"/>
    </xf>
    <xf numFmtId="10" fontId="15" fillId="0" borderId="41" xfId="0" applyNumberFormat="1" applyFont="1" applyBorder="1" applyAlignment="1">
      <alignment horizontal="right" vertical="center" wrapText="1"/>
    </xf>
    <xf numFmtId="10" fontId="15" fillId="0" borderId="115" xfId="0" applyNumberFormat="1" applyFont="1" applyBorder="1" applyAlignment="1">
      <alignment horizontal="right" vertical="center" wrapText="1"/>
    </xf>
    <xf numFmtId="10" fontId="15" fillId="0" borderId="72" xfId="0" applyNumberFormat="1" applyFont="1" applyBorder="1" applyAlignment="1">
      <alignment horizontal="right" vertical="center" wrapText="1"/>
    </xf>
    <xf numFmtId="165" fontId="15" fillId="9" borderId="22" xfId="0" applyNumberFormat="1" applyFont="1" applyFill="1" applyBorder="1" applyAlignment="1">
      <alignment horizontal="right" vertical="center" wrapText="1"/>
    </xf>
    <xf numFmtId="165" fontId="15" fillId="9" borderId="18" xfId="0" applyNumberFormat="1" applyFont="1" applyFill="1" applyBorder="1" applyAlignment="1">
      <alignment horizontal="right" vertical="center" wrapText="1"/>
    </xf>
    <xf numFmtId="165" fontId="15" fillId="15" borderId="23" xfId="0" applyNumberFormat="1" applyFont="1" applyFill="1" applyBorder="1" applyAlignment="1">
      <alignment horizontal="right" vertical="center" wrapText="1"/>
    </xf>
    <xf numFmtId="165" fontId="15" fillId="15" borderId="6" xfId="0" applyNumberFormat="1" applyFont="1" applyFill="1" applyBorder="1" applyAlignment="1">
      <alignment horizontal="right" vertical="center" wrapText="1"/>
    </xf>
    <xf numFmtId="165" fontId="15" fillId="0" borderId="6" xfId="0" applyNumberFormat="1" applyFont="1" applyBorder="1" applyAlignment="1">
      <alignment horizontal="right" vertical="center" wrapText="1"/>
    </xf>
    <xf numFmtId="165" fontId="15" fillId="15" borderId="15" xfId="0" applyNumberFormat="1" applyFont="1" applyFill="1" applyBorder="1" applyAlignment="1">
      <alignment horizontal="right" vertical="center" wrapText="1"/>
    </xf>
    <xf numFmtId="165" fontId="15" fillId="15" borderId="25" xfId="0" applyNumberFormat="1" applyFont="1" applyFill="1" applyBorder="1" applyAlignment="1">
      <alignment horizontal="right" vertical="center" wrapText="1"/>
    </xf>
    <xf numFmtId="165" fontId="15" fillId="0" borderId="25" xfId="0" applyNumberFormat="1" applyFont="1" applyBorder="1" applyAlignment="1">
      <alignment horizontal="right" vertical="center" wrapText="1"/>
    </xf>
    <xf numFmtId="165" fontId="15" fillId="15" borderId="56" xfId="0" applyNumberFormat="1" applyFont="1" applyFill="1" applyBorder="1" applyAlignment="1">
      <alignment horizontal="right" vertical="center" wrapText="1"/>
    </xf>
    <xf numFmtId="165" fontId="15" fillId="15" borderId="27" xfId="0" applyNumberFormat="1" applyFont="1" applyFill="1" applyBorder="1" applyAlignment="1">
      <alignment horizontal="right" vertical="center" wrapText="1"/>
    </xf>
    <xf numFmtId="165" fontId="15" fillId="0" borderId="27" xfId="0" applyNumberFormat="1" applyFont="1" applyBorder="1" applyAlignment="1">
      <alignment horizontal="right" vertical="center" wrapText="1"/>
    </xf>
    <xf numFmtId="165" fontId="15" fillId="9" borderId="17" xfId="0" applyNumberFormat="1" applyFont="1" applyFill="1" applyBorder="1" applyAlignment="1">
      <alignment horizontal="right" vertical="center" wrapText="1"/>
    </xf>
    <xf numFmtId="165" fontId="15" fillId="9" borderId="14" xfId="0" applyNumberFormat="1" applyFont="1" applyFill="1" applyBorder="1" applyAlignment="1">
      <alignment horizontal="right" vertical="center" wrapText="1"/>
    </xf>
    <xf numFmtId="165" fontId="6" fillId="15" borderId="23" xfId="1" applyNumberFormat="1" applyFont="1" applyFill="1" applyBorder="1" applyAlignment="1">
      <alignment horizontal="right" vertical="center" shrinkToFit="1"/>
    </xf>
    <xf numFmtId="165" fontId="6" fillId="15" borderId="6" xfId="1" applyNumberFormat="1" applyFont="1" applyFill="1" applyBorder="1" applyAlignment="1">
      <alignment horizontal="right" vertical="center" shrinkToFit="1"/>
    </xf>
    <xf numFmtId="2" fontId="6" fillId="0" borderId="6" xfId="1" applyNumberFormat="1" applyFont="1" applyBorder="1" applyAlignment="1" applyProtection="1">
      <alignment horizontal="right" vertical="center" wrapText="1"/>
      <protection locked="0"/>
    </xf>
    <xf numFmtId="0" fontId="33" fillId="0" borderId="0" xfId="0" applyFont="1" applyAlignment="1">
      <alignment wrapText="1"/>
    </xf>
    <xf numFmtId="0" fontId="21" fillId="14" borderId="138" xfId="0" applyFont="1" applyFill="1" applyBorder="1" applyAlignment="1">
      <alignment horizontal="left" vertical="center" wrapText="1"/>
    </xf>
    <xf numFmtId="0" fontId="6" fillId="14" borderId="139" xfId="0" applyFont="1" applyFill="1" applyBorder="1" applyAlignment="1">
      <alignment horizontal="left" vertical="center" wrapText="1"/>
    </xf>
    <xf numFmtId="0" fontId="6" fillId="14" borderId="140" xfId="0" applyFont="1" applyFill="1" applyBorder="1" applyAlignment="1">
      <alignment horizontal="left" vertical="center" wrapText="1"/>
    </xf>
    <xf numFmtId="2" fontId="15" fillId="0" borderId="141" xfId="0" applyNumberFormat="1" applyFont="1" applyBorder="1" applyAlignment="1">
      <alignment horizontal="right" vertical="center"/>
    </xf>
    <xf numFmtId="2" fontId="15" fillId="0" borderId="142" xfId="0" applyNumberFormat="1" applyFont="1" applyBorder="1" applyAlignment="1">
      <alignment horizontal="right" vertical="center"/>
    </xf>
    <xf numFmtId="2" fontId="15" fillId="0" borderId="140" xfId="0" applyNumberFormat="1" applyFont="1" applyBorder="1" applyAlignment="1">
      <alignment horizontal="right" vertical="center"/>
    </xf>
    <xf numFmtId="2" fontId="15" fillId="0" borderId="143" xfId="0" applyNumberFormat="1" applyFont="1" applyBorder="1" applyAlignment="1">
      <alignment horizontal="right" vertical="center"/>
    </xf>
    <xf numFmtId="2" fontId="15" fillId="0" borderId="144" xfId="0" applyNumberFormat="1" applyFont="1" applyBorder="1" applyAlignment="1">
      <alignment horizontal="right" vertical="center"/>
    </xf>
    <xf numFmtId="0" fontId="21" fillId="14" borderId="145" xfId="0" applyFont="1" applyFill="1" applyBorder="1" applyAlignment="1">
      <alignment horizontal="left" vertical="center" wrapText="1"/>
    </xf>
    <xf numFmtId="2" fontId="15" fillId="0" borderId="146" xfId="0" applyNumberFormat="1" applyFont="1" applyBorder="1" applyAlignment="1">
      <alignment horizontal="right" vertical="center"/>
    </xf>
    <xf numFmtId="0" fontId="21" fillId="14" borderId="147" xfId="0" applyFont="1" applyFill="1" applyBorder="1" applyAlignment="1">
      <alignment horizontal="left" vertical="center" wrapText="1"/>
    </xf>
    <xf numFmtId="2" fontId="15" fillId="0" borderId="148" xfId="0" applyNumberFormat="1" applyFont="1" applyBorder="1" applyAlignment="1">
      <alignment horizontal="right" vertical="center"/>
    </xf>
    <xf numFmtId="0" fontId="21" fillId="14" borderId="149" xfId="0" applyFont="1" applyFill="1" applyBorder="1" applyAlignment="1">
      <alignment horizontal="left" vertical="center" wrapText="1"/>
    </xf>
    <xf numFmtId="0" fontId="6" fillId="14" borderId="150" xfId="0" applyFont="1" applyFill="1" applyBorder="1" applyAlignment="1">
      <alignment horizontal="left" vertical="center" wrapText="1"/>
    </xf>
    <xf numFmtId="0" fontId="6" fillId="14" borderId="151" xfId="0" applyFont="1" applyFill="1" applyBorder="1" applyAlignment="1">
      <alignment horizontal="left" vertical="center" wrapText="1"/>
    </xf>
    <xf numFmtId="2" fontId="15" fillId="0" borderId="152" xfId="0" applyNumberFormat="1" applyFont="1" applyBorder="1" applyAlignment="1">
      <alignment horizontal="right" vertical="center"/>
    </xf>
    <xf numFmtId="2" fontId="15" fillId="0" borderId="153" xfId="0" applyNumberFormat="1" applyFont="1" applyBorder="1" applyAlignment="1">
      <alignment horizontal="right" vertical="center"/>
    </xf>
    <xf numFmtId="2" fontId="15" fillId="0" borderId="151" xfId="0" applyNumberFormat="1" applyFont="1" applyBorder="1" applyAlignment="1">
      <alignment horizontal="right" vertical="center"/>
    </xf>
    <xf numFmtId="2" fontId="15" fillId="0" borderId="154" xfId="0" applyNumberFormat="1" applyFont="1" applyBorder="1" applyAlignment="1">
      <alignment horizontal="right" vertical="center"/>
    </xf>
    <xf numFmtId="2" fontId="15" fillId="0" borderId="155" xfId="0" applyNumberFormat="1" applyFont="1" applyBorder="1" applyAlignment="1">
      <alignment horizontal="right" vertical="center"/>
    </xf>
    <xf numFmtId="0" fontId="16" fillId="15" borderId="1" xfId="0" applyFont="1" applyFill="1" applyBorder="1" applyAlignment="1">
      <alignment horizontal="left" vertical="center" wrapText="1"/>
    </xf>
    <xf numFmtId="0" fontId="16" fillId="15" borderId="156" xfId="0" applyFont="1" applyFill="1" applyBorder="1" applyAlignment="1">
      <alignment horizontal="left" vertical="center" wrapText="1"/>
    </xf>
    <xf numFmtId="0" fontId="16" fillId="15" borderId="157" xfId="0" applyFont="1" applyFill="1" applyBorder="1" applyAlignment="1">
      <alignment horizontal="left" vertical="center" wrapText="1"/>
    </xf>
    <xf numFmtId="0" fontId="16" fillId="15" borderId="158" xfId="0" applyFont="1" applyFill="1" applyBorder="1" applyAlignment="1">
      <alignment horizontal="left" vertical="center"/>
    </xf>
    <xf numFmtId="0" fontId="16" fillId="15" borderId="159" xfId="0" applyFont="1" applyFill="1" applyBorder="1" applyAlignment="1">
      <alignment horizontal="left" vertical="center"/>
    </xf>
    <xf numFmtId="0" fontId="16" fillId="15" borderId="157" xfId="0" applyFont="1" applyFill="1" applyBorder="1" applyAlignment="1">
      <alignment horizontal="left" vertical="center"/>
    </xf>
    <xf numFmtId="0" fontId="16" fillId="15" borderId="20" xfId="0" applyFont="1" applyFill="1" applyBorder="1" applyAlignment="1">
      <alignment horizontal="left" vertical="center"/>
    </xf>
    <xf numFmtId="0" fontId="21" fillId="26" borderId="35" xfId="0" applyFont="1" applyFill="1" applyBorder="1" applyAlignment="1">
      <alignment wrapText="1"/>
    </xf>
    <xf numFmtId="0" fontId="21" fillId="0" borderId="90" xfId="0" applyFont="1" applyBorder="1" applyAlignment="1">
      <alignment wrapText="1"/>
    </xf>
    <xf numFmtId="0" fontId="8" fillId="22" borderId="162" xfId="0" applyFont="1" applyFill="1" applyBorder="1" applyAlignment="1">
      <alignment horizontal="left" vertical="center" wrapText="1"/>
    </xf>
    <xf numFmtId="0" fontId="8" fillId="22" borderId="163" xfId="0" applyFont="1" applyFill="1" applyBorder="1" applyAlignment="1">
      <alignment horizontal="left" vertical="center" wrapText="1"/>
    </xf>
    <xf numFmtId="0" fontId="21" fillId="0" borderId="37" xfId="0" applyFont="1" applyBorder="1" applyAlignment="1">
      <alignment wrapText="1"/>
    </xf>
    <xf numFmtId="0" fontId="15" fillId="15" borderId="12" xfId="11" applyFill="1" applyBorder="1" applyAlignment="1">
      <alignment horizontal="left" vertical="center" wrapText="1"/>
    </xf>
    <xf numFmtId="0" fontId="15" fillId="15" borderId="70" xfId="11" applyFill="1" applyBorder="1" applyAlignment="1">
      <alignment vertical="center" wrapText="1"/>
    </xf>
    <xf numFmtId="0" fontId="15" fillId="15" borderId="88" xfId="11" applyFill="1" applyBorder="1" applyAlignment="1">
      <alignment vertical="center" wrapText="1"/>
    </xf>
    <xf numFmtId="2" fontId="6" fillId="3" borderId="1" xfId="1" applyNumberFormat="1" applyFont="1" applyFill="1" applyBorder="1" applyAlignment="1">
      <alignment horizontal="right" vertical="center" shrinkToFit="1"/>
    </xf>
    <xf numFmtId="165" fontId="6" fillId="3" borderId="1" xfId="1" applyNumberFormat="1" applyFont="1" applyFill="1" applyBorder="1" applyAlignment="1">
      <alignment horizontal="right" vertical="center" shrinkToFit="1"/>
    </xf>
    <xf numFmtId="166" fontId="6" fillId="3" borderId="165" xfId="1" applyNumberFormat="1" applyFont="1" applyFill="1" applyBorder="1" applyAlignment="1">
      <alignment horizontal="right" vertical="center" shrinkToFit="1"/>
    </xf>
    <xf numFmtId="2" fontId="6" fillId="3" borderId="165" xfId="1" applyNumberFormat="1" applyFont="1" applyFill="1" applyBorder="1" applyAlignment="1">
      <alignment horizontal="right" vertical="center" shrinkToFit="1"/>
    </xf>
    <xf numFmtId="2" fontId="6" fillId="3" borderId="1" xfId="1" applyNumberFormat="1" applyFont="1" applyFill="1" applyBorder="1" applyAlignment="1">
      <alignment horizontal="right" vertical="center" wrapText="1"/>
    </xf>
    <xf numFmtId="2" fontId="6" fillId="3" borderId="165" xfId="1" applyNumberFormat="1" applyFont="1" applyFill="1" applyBorder="1" applyAlignment="1">
      <alignment horizontal="right" vertical="center" wrapText="1"/>
    </xf>
    <xf numFmtId="0" fontId="35" fillId="0" borderId="0" xfId="0" applyFont="1" applyAlignment="1">
      <alignment horizontal="left" vertical="center"/>
    </xf>
    <xf numFmtId="2" fontId="6" fillId="27" borderId="43" xfId="0" applyNumberFormat="1" applyFont="1" applyFill="1" applyBorder="1" applyAlignment="1">
      <alignment horizontal="right" vertical="center" wrapText="1"/>
    </xf>
    <xf numFmtId="2" fontId="6" fillId="27" borderId="44" xfId="0" applyNumberFormat="1" applyFont="1" applyFill="1" applyBorder="1" applyAlignment="1">
      <alignment horizontal="right" vertical="center" wrapText="1"/>
    </xf>
    <xf numFmtId="2" fontId="6" fillId="27" borderId="44" xfId="0" applyNumberFormat="1" applyFont="1" applyFill="1" applyBorder="1" applyAlignment="1">
      <alignment horizontal="right" vertical="center"/>
    </xf>
    <xf numFmtId="0" fontId="15" fillId="0" borderId="166" xfId="0" applyFont="1" applyBorder="1" applyAlignment="1">
      <alignment horizontal="left" vertical="center"/>
    </xf>
    <xf numFmtId="2" fontId="6" fillId="6" borderId="128" xfId="0" applyNumberFormat="1" applyFont="1" applyFill="1" applyBorder="1" applyAlignment="1">
      <alignment vertical="center" wrapText="1"/>
    </xf>
    <xf numFmtId="2" fontId="6" fillId="6" borderId="167" xfId="0" applyNumberFormat="1" applyFont="1" applyFill="1" applyBorder="1" applyAlignment="1">
      <alignment vertical="center" wrapText="1"/>
    </xf>
    <xf numFmtId="0" fontId="8" fillId="22" borderId="38" xfId="0" applyFont="1" applyFill="1" applyBorder="1" applyAlignment="1">
      <alignment horizontal="left" vertical="center" wrapText="1"/>
    </xf>
    <xf numFmtId="0" fontId="6" fillId="17" borderId="168" xfId="0" applyFont="1" applyFill="1" applyBorder="1" applyAlignment="1">
      <alignment horizontal="left" vertical="center" wrapText="1"/>
    </xf>
    <xf numFmtId="2" fontId="6" fillId="12" borderId="169" xfId="0" applyNumberFormat="1" applyFont="1" applyFill="1" applyBorder="1" applyAlignment="1">
      <alignment vertical="center" wrapText="1"/>
    </xf>
    <xf numFmtId="0" fontId="8" fillId="22" borderId="170" xfId="0" applyFont="1" applyFill="1" applyBorder="1" applyAlignment="1">
      <alignment horizontal="left" vertical="center" wrapText="1"/>
    </xf>
    <xf numFmtId="2" fontId="6" fillId="27" borderId="169" xfId="0" applyNumberFormat="1" applyFont="1" applyFill="1" applyBorder="1" applyAlignment="1">
      <alignment horizontal="right" vertical="center" wrapText="1"/>
    </xf>
    <xf numFmtId="2" fontId="6" fillId="0" borderId="128" xfId="0" applyNumberFormat="1" applyFont="1" applyBorder="1" applyAlignment="1">
      <alignment horizontal="right" vertical="center" wrapText="1"/>
    </xf>
    <xf numFmtId="0" fontId="8" fillId="22" borderId="171" xfId="0" applyFont="1" applyFill="1" applyBorder="1" applyAlignment="1">
      <alignment horizontal="left" vertical="center" wrapText="1"/>
    </xf>
    <xf numFmtId="2" fontId="6" fillId="12" borderId="172" xfId="0" applyNumberFormat="1" applyFont="1" applyFill="1" applyBorder="1" applyAlignment="1">
      <alignment vertical="center" wrapText="1"/>
    </xf>
    <xf numFmtId="2" fontId="6" fillId="12" borderId="173" xfId="0" applyNumberFormat="1" applyFont="1" applyFill="1" applyBorder="1" applyAlignment="1">
      <alignment vertical="center" wrapText="1"/>
    </xf>
    <xf numFmtId="2" fontId="6" fillId="12" borderId="174" xfId="0" applyNumberFormat="1" applyFont="1" applyFill="1" applyBorder="1" applyAlignment="1">
      <alignment vertical="center" wrapText="1"/>
    </xf>
    <xf numFmtId="2" fontId="6" fillId="6" borderId="125" xfId="0" applyNumberFormat="1" applyFont="1" applyFill="1" applyBorder="1" applyAlignment="1">
      <alignment vertical="center" wrapText="1"/>
    </xf>
    <xf numFmtId="2" fontId="6" fillId="12" borderId="23" xfId="0" applyNumberFormat="1" applyFont="1" applyFill="1" applyBorder="1" applyAlignment="1">
      <alignment vertical="center" wrapText="1"/>
    </xf>
    <xf numFmtId="2" fontId="6" fillId="6" borderId="175" xfId="0" applyNumberFormat="1" applyFont="1" applyFill="1" applyBorder="1" applyAlignment="1">
      <alignment vertical="center" wrapText="1"/>
    </xf>
    <xf numFmtId="0" fontId="15" fillId="15" borderId="12" xfId="9" applyFont="1" applyFill="1" applyBorder="1" applyAlignment="1">
      <alignment horizontal="left" vertical="top" wrapText="1"/>
    </xf>
    <xf numFmtId="2" fontId="15" fillId="0" borderId="19" xfId="9" applyNumberFormat="1" applyFont="1" applyBorder="1" applyAlignment="1">
      <alignment horizontal="left" vertical="top" wrapText="1"/>
    </xf>
    <xf numFmtId="0" fontId="15" fillId="0" borderId="19" xfId="9" applyFont="1" applyBorder="1" applyAlignment="1">
      <alignment horizontal="left" vertical="top" wrapText="1"/>
    </xf>
    <xf numFmtId="0" fontId="15" fillId="15" borderId="12" xfId="9" applyFont="1" applyFill="1" applyBorder="1" applyAlignment="1">
      <alignment horizontal="left" vertical="top"/>
    </xf>
    <xf numFmtId="2" fontId="15" fillId="0" borderId="19" xfId="9" applyNumberFormat="1" applyFont="1" applyBorder="1" applyAlignment="1">
      <alignment horizontal="left" vertical="top"/>
    </xf>
    <xf numFmtId="0" fontId="15" fillId="0" borderId="19" xfId="9" applyFont="1" applyBorder="1" applyAlignment="1">
      <alignment horizontal="left" vertical="top"/>
    </xf>
    <xf numFmtId="0" fontId="15" fillId="15" borderId="93" xfId="0" applyFont="1" applyFill="1" applyBorder="1" applyAlignment="1">
      <alignment horizontal="left" vertical="top" wrapText="1"/>
    </xf>
    <xf numFmtId="0" fontId="15" fillId="15" borderId="21" xfId="0" applyFont="1" applyFill="1" applyBorder="1" applyAlignment="1">
      <alignment vertical="top" wrapText="1"/>
    </xf>
    <xf numFmtId="2" fontId="15" fillId="0" borderId="50" xfId="0" applyNumberFormat="1" applyFont="1" applyBorder="1" applyAlignment="1">
      <alignment horizontal="left" vertical="top" wrapText="1"/>
    </xf>
    <xf numFmtId="0" fontId="8" fillId="28" borderId="39" xfId="1" applyFont="1" applyFill="1" applyBorder="1" applyAlignment="1" applyProtection="1">
      <alignment horizontal="left" vertical="center" wrapText="1"/>
      <protection locked="0"/>
    </xf>
    <xf numFmtId="1" fontId="8" fillId="29" borderId="16" xfId="1" applyNumberFormat="1" applyFont="1" applyFill="1" applyBorder="1" applyAlignment="1" applyProtection="1">
      <alignment horizontal="left" vertical="center" wrapText="1"/>
      <protection locked="0"/>
    </xf>
    <xf numFmtId="1" fontId="8" fillId="29" borderId="47" xfId="1" applyNumberFormat="1" applyFont="1" applyFill="1" applyBorder="1" applyAlignment="1" applyProtection="1">
      <alignment horizontal="left" vertical="center" wrapText="1"/>
      <protection locked="0"/>
    </xf>
    <xf numFmtId="1" fontId="8" fillId="29" borderId="66" xfId="1" applyNumberFormat="1" applyFont="1" applyFill="1" applyBorder="1" applyAlignment="1" applyProtection="1">
      <alignment horizontal="left" vertical="center" wrapText="1"/>
      <protection locked="0"/>
    </xf>
    <xf numFmtId="0" fontId="15" fillId="28" borderId="68" xfId="0" applyFont="1" applyFill="1" applyBorder="1" applyAlignment="1">
      <alignment horizontal="left" vertical="center" wrapText="1"/>
    </xf>
    <xf numFmtId="1" fontId="8" fillId="31" borderId="47" xfId="1" applyNumberFormat="1" applyFont="1" applyFill="1" applyBorder="1" applyAlignment="1" applyProtection="1">
      <alignment horizontal="left" vertical="center" wrapText="1"/>
      <protection locked="0"/>
    </xf>
    <xf numFmtId="1" fontId="8" fillId="31" borderId="66" xfId="1" applyNumberFormat="1" applyFont="1" applyFill="1" applyBorder="1" applyAlignment="1" applyProtection="1">
      <alignment horizontal="left" vertical="center" wrapText="1"/>
      <protection locked="0"/>
    </xf>
    <xf numFmtId="1" fontId="8" fillId="31" borderId="16" xfId="1" applyNumberFormat="1" applyFont="1" applyFill="1" applyBorder="1" applyAlignment="1" applyProtection="1">
      <alignment horizontal="left" vertical="center" wrapText="1"/>
      <protection locked="0"/>
    </xf>
    <xf numFmtId="1" fontId="8" fillId="31" borderId="51" xfId="1" applyNumberFormat="1" applyFont="1" applyFill="1" applyBorder="1" applyAlignment="1" applyProtection="1">
      <alignment horizontal="left" vertical="center" wrapText="1"/>
      <protection locked="0"/>
    </xf>
    <xf numFmtId="0" fontId="15" fillId="30" borderId="68" xfId="0" applyFont="1" applyFill="1" applyBorder="1" applyAlignment="1">
      <alignment horizontal="left" vertical="center" wrapText="1"/>
    </xf>
    <xf numFmtId="0" fontId="8" fillId="30" borderId="39" xfId="1" applyFont="1" applyFill="1" applyBorder="1" applyAlignment="1" applyProtection="1">
      <alignment horizontal="left" vertical="center" wrapText="1"/>
      <protection locked="0"/>
    </xf>
    <xf numFmtId="2" fontId="6" fillId="31" borderId="13" xfId="1" applyNumberFormat="1" applyFont="1" applyFill="1" applyBorder="1" applyAlignment="1" applyProtection="1">
      <alignment horizontal="left" vertical="center" shrinkToFit="1"/>
      <protection locked="0"/>
    </xf>
    <xf numFmtId="2" fontId="6" fillId="31" borderId="13" xfId="1" applyNumberFormat="1" applyFont="1" applyFill="1" applyBorder="1" applyAlignment="1" applyProtection="1">
      <alignment horizontal="left" vertical="center" wrapText="1" shrinkToFit="1"/>
      <protection locked="0"/>
    </xf>
    <xf numFmtId="1" fontId="6" fillId="31" borderId="19" xfId="1" applyNumberFormat="1" applyFont="1" applyFill="1" applyBorder="1" applyAlignment="1" applyProtection="1">
      <alignment horizontal="right" vertical="center" shrinkToFit="1"/>
      <protection locked="0"/>
    </xf>
    <xf numFmtId="2" fontId="6" fillId="23" borderId="6" xfId="1" applyNumberFormat="1" applyFont="1" applyFill="1" applyBorder="1" applyAlignment="1" applyProtection="1">
      <alignment horizontal="left" vertical="center" shrinkToFit="1"/>
      <protection locked="0"/>
    </xf>
    <xf numFmtId="2" fontId="6" fillId="23" borderId="6" xfId="1" applyNumberFormat="1" applyFont="1" applyFill="1" applyBorder="1" applyAlignment="1" applyProtection="1">
      <alignment horizontal="left" vertical="center" wrapText="1" shrinkToFit="1"/>
      <protection locked="0"/>
    </xf>
    <xf numFmtId="1" fontId="8" fillId="31" borderId="103" xfId="1" applyNumberFormat="1" applyFont="1" applyFill="1" applyBorder="1" applyAlignment="1" applyProtection="1">
      <alignment horizontal="left" vertical="center" wrapText="1"/>
      <protection locked="0"/>
    </xf>
    <xf numFmtId="0" fontId="6" fillId="31" borderId="40" xfId="1" applyFont="1" applyFill="1" applyBorder="1" applyAlignment="1" applyProtection="1">
      <alignment horizontal="left" vertical="center" shrinkToFit="1"/>
      <protection locked="0"/>
    </xf>
    <xf numFmtId="0" fontId="6" fillId="31" borderId="13" xfId="1" applyFont="1" applyFill="1" applyBorder="1" applyAlignment="1" applyProtection="1">
      <alignment horizontal="left" vertical="center" shrinkToFit="1"/>
      <protection locked="0"/>
    </xf>
    <xf numFmtId="2" fontId="6" fillId="23" borderId="22" xfId="1" applyNumberFormat="1" applyFont="1" applyFill="1" applyBorder="1" applyAlignment="1" applyProtection="1">
      <alignment horizontal="left" vertical="center" shrinkToFit="1"/>
      <protection locked="0"/>
    </xf>
    <xf numFmtId="2" fontId="6" fillId="23" borderId="18" xfId="1" applyNumberFormat="1" applyFont="1" applyFill="1" applyBorder="1" applyAlignment="1" applyProtection="1">
      <alignment horizontal="left" vertical="center" shrinkToFit="1"/>
      <protection locked="0"/>
    </xf>
    <xf numFmtId="2" fontId="6" fillId="23" borderId="18" xfId="1" applyNumberFormat="1" applyFont="1" applyFill="1" applyBorder="1" applyAlignment="1" applyProtection="1">
      <alignment horizontal="left" vertical="center" wrapText="1" shrinkToFit="1"/>
      <protection locked="0"/>
    </xf>
    <xf numFmtId="0" fontId="6" fillId="23" borderId="18" xfId="1" applyFont="1" applyFill="1" applyBorder="1" applyAlignment="1" applyProtection="1">
      <alignment horizontal="left" vertical="center" shrinkToFit="1"/>
      <protection locked="0"/>
    </xf>
    <xf numFmtId="1" fontId="6" fillId="23" borderId="29" xfId="1" applyNumberFormat="1" applyFont="1" applyFill="1" applyBorder="1" applyAlignment="1" applyProtection="1">
      <alignment horizontal="right" vertical="center" shrinkToFit="1"/>
      <protection locked="0"/>
    </xf>
    <xf numFmtId="0" fontId="6" fillId="23" borderId="23" xfId="1" applyFont="1" applyFill="1" applyBorder="1" applyAlignment="1" applyProtection="1">
      <alignment horizontal="left" vertical="center" shrinkToFit="1"/>
      <protection locked="0"/>
    </xf>
    <xf numFmtId="0" fontId="6" fillId="23" borderId="6" xfId="1" applyFont="1" applyFill="1" applyBorder="1" applyAlignment="1">
      <alignment horizontal="left" vertical="center" shrinkToFit="1"/>
    </xf>
    <xf numFmtId="1" fontId="6" fillId="23" borderId="24" xfId="1" applyNumberFormat="1" applyFont="1" applyFill="1" applyBorder="1" applyAlignment="1">
      <alignment horizontal="right" vertical="center" shrinkToFit="1"/>
    </xf>
    <xf numFmtId="0" fontId="6" fillId="23" borderId="56" xfId="1" applyFont="1" applyFill="1" applyBorder="1" applyAlignment="1" applyProtection="1">
      <alignment horizontal="left" vertical="center" shrinkToFit="1"/>
      <protection locked="0"/>
    </xf>
    <xf numFmtId="2" fontId="6" fillId="23" borderId="27" xfId="1" applyNumberFormat="1" applyFont="1" applyFill="1" applyBorder="1" applyAlignment="1" applyProtection="1">
      <alignment horizontal="left" vertical="center" shrinkToFit="1"/>
      <protection locked="0"/>
    </xf>
    <xf numFmtId="2" fontId="6" fillId="23" borderId="27" xfId="1" applyNumberFormat="1" applyFont="1" applyFill="1" applyBorder="1" applyAlignment="1" applyProtection="1">
      <alignment horizontal="left" vertical="center" wrapText="1" shrinkToFit="1"/>
      <protection locked="0"/>
    </xf>
    <xf numFmtId="0" fontId="6" fillId="23" borderId="27" xfId="1" applyFont="1" applyFill="1" applyBorder="1" applyAlignment="1" applyProtection="1">
      <alignment horizontal="left" vertical="center" shrinkToFit="1"/>
      <protection locked="0"/>
    </xf>
    <xf numFmtId="1" fontId="6" fillId="23" borderId="28" xfId="1" applyNumberFormat="1" applyFont="1" applyFill="1" applyBorder="1" applyAlignment="1">
      <alignment horizontal="right" vertical="center" shrinkToFit="1"/>
    </xf>
    <xf numFmtId="0" fontId="6" fillId="23" borderId="16" xfId="1" applyFont="1" applyFill="1" applyBorder="1" applyAlignment="1" applyProtection="1">
      <alignment horizontal="left" vertical="center" shrinkToFit="1"/>
      <protection locked="0"/>
    </xf>
    <xf numFmtId="2" fontId="6" fillId="23" borderId="47" xfId="1" applyNumberFormat="1" applyFont="1" applyFill="1" applyBorder="1" applyAlignment="1" applyProtection="1">
      <alignment horizontal="left" vertical="center" shrinkToFit="1"/>
      <protection locked="0"/>
    </xf>
    <xf numFmtId="2" fontId="6" fillId="23" borderId="47" xfId="1" applyNumberFormat="1" applyFont="1" applyFill="1" applyBorder="1" applyAlignment="1" applyProtection="1">
      <alignment horizontal="left" vertical="center" wrapText="1" shrinkToFit="1"/>
      <protection locked="0"/>
    </xf>
    <xf numFmtId="0" fontId="6" fillId="23" borderId="47" xfId="1" applyFont="1" applyFill="1" applyBorder="1" applyAlignment="1" applyProtection="1">
      <alignment horizontal="left" vertical="center" shrinkToFit="1"/>
      <protection locked="0"/>
    </xf>
    <xf numFmtId="1" fontId="6" fillId="23" borderId="66" xfId="1" applyNumberFormat="1" applyFont="1" applyFill="1" applyBorder="1" applyAlignment="1" applyProtection="1">
      <alignment horizontal="right" vertical="center" shrinkToFit="1"/>
      <protection locked="0"/>
    </xf>
    <xf numFmtId="0" fontId="8" fillId="28" borderId="20" xfId="1" applyFont="1" applyFill="1" applyBorder="1" applyAlignment="1" applyProtection="1">
      <alignment horizontal="left" vertical="center" wrapText="1"/>
      <protection locked="0"/>
    </xf>
    <xf numFmtId="1" fontId="8" fillId="29" borderId="67" xfId="1" applyNumberFormat="1" applyFont="1" applyFill="1" applyBorder="1" applyAlignment="1" applyProtection="1">
      <alignment horizontal="left" vertical="center" wrapText="1"/>
      <protection locked="0"/>
    </xf>
    <xf numFmtId="0" fontId="6" fillId="35" borderId="58" xfId="0" applyFont="1" applyFill="1" applyBorder="1" applyAlignment="1">
      <alignment horizontal="left" vertical="center" wrapText="1"/>
    </xf>
    <xf numFmtId="0" fontId="6" fillId="35" borderId="59" xfId="0" applyFont="1" applyFill="1" applyBorder="1" applyAlignment="1">
      <alignment horizontal="left" vertical="center" wrapText="1"/>
    </xf>
    <xf numFmtId="0" fontId="15" fillId="29" borderId="59" xfId="0" applyFont="1" applyFill="1" applyBorder="1" applyAlignment="1">
      <alignment horizontal="left" vertical="center" wrapText="1"/>
    </xf>
    <xf numFmtId="0" fontId="15" fillId="29" borderId="60" xfId="0" applyFont="1" applyFill="1" applyBorder="1" applyAlignment="1">
      <alignment horizontal="right" vertical="center" wrapText="1"/>
    </xf>
    <xf numFmtId="0" fontId="6" fillId="35" borderId="61" xfId="0" applyFont="1" applyFill="1" applyBorder="1" applyAlignment="1">
      <alignment horizontal="left" vertical="center" wrapText="1"/>
    </xf>
    <xf numFmtId="0" fontId="6" fillId="35" borderId="6" xfId="0" applyFont="1" applyFill="1" applyBorder="1" applyAlignment="1">
      <alignment horizontal="left" vertical="center" wrapText="1"/>
    </xf>
    <xf numFmtId="0" fontId="15" fillId="29" borderId="6" xfId="0" applyFont="1" applyFill="1" applyBorder="1" applyAlignment="1">
      <alignment horizontal="left" vertical="center" wrapText="1"/>
    </xf>
    <xf numFmtId="0" fontId="15" fillId="29" borderId="62" xfId="0" applyFont="1" applyFill="1" applyBorder="1" applyAlignment="1">
      <alignment horizontal="right" vertical="center" wrapText="1"/>
    </xf>
    <xf numFmtId="0" fontId="6" fillId="35" borderId="63" xfId="0" applyFont="1" applyFill="1" applyBorder="1" applyAlignment="1">
      <alignment horizontal="left" vertical="center" wrapText="1"/>
    </xf>
    <xf numFmtId="0" fontId="6" fillId="35" borderId="64" xfId="0" applyFont="1" applyFill="1" applyBorder="1" applyAlignment="1">
      <alignment horizontal="left" vertical="center" wrapText="1"/>
    </xf>
    <xf numFmtId="0" fontId="15" fillId="29" borderId="64" xfId="0" applyFont="1" applyFill="1" applyBorder="1" applyAlignment="1">
      <alignment horizontal="left" vertical="center" wrapText="1"/>
    </xf>
    <xf numFmtId="0" fontId="15" fillId="29" borderId="65" xfId="0" applyFont="1" applyFill="1" applyBorder="1" applyAlignment="1">
      <alignment horizontal="right" vertical="center" wrapText="1"/>
    </xf>
    <xf numFmtId="1" fontId="8" fillId="29" borderId="160" xfId="1" applyNumberFormat="1" applyFont="1" applyFill="1" applyBorder="1" applyAlignment="1">
      <alignment horizontal="left" vertical="center" wrapText="1"/>
    </xf>
    <xf numFmtId="1" fontId="8" fillId="29" borderId="122" xfId="1" applyNumberFormat="1" applyFont="1" applyFill="1" applyBorder="1" applyAlignment="1">
      <alignment horizontal="left" vertical="center" wrapText="1"/>
    </xf>
    <xf numFmtId="1" fontId="8" fillId="29" borderId="161" xfId="1" applyNumberFormat="1" applyFont="1" applyFill="1" applyBorder="1" applyAlignment="1">
      <alignment horizontal="left" vertical="center" wrapText="1"/>
    </xf>
    <xf numFmtId="1" fontId="8" fillId="29" borderId="132" xfId="1" applyNumberFormat="1" applyFont="1" applyFill="1" applyBorder="1" applyAlignment="1">
      <alignment horizontal="left" vertical="center" wrapText="1"/>
    </xf>
    <xf numFmtId="49" fontId="6" fillId="29" borderId="164" xfId="1" applyNumberFormat="1" applyFont="1" applyFill="1" applyBorder="1" applyAlignment="1">
      <alignment horizontal="left" vertical="center" wrapText="1"/>
    </xf>
    <xf numFmtId="1" fontId="6" fillId="29" borderId="164" xfId="1" applyNumberFormat="1" applyFont="1" applyFill="1" applyBorder="1" applyAlignment="1">
      <alignment horizontal="right" vertical="center" shrinkToFit="1"/>
    </xf>
    <xf numFmtId="49" fontId="6" fillId="29" borderId="49" xfId="1" applyNumberFormat="1" applyFont="1" applyFill="1" applyBorder="1" applyAlignment="1">
      <alignment horizontal="left" vertical="center" wrapText="1"/>
    </xf>
    <xf numFmtId="1" fontId="6" fillId="29" borderId="49" xfId="1" applyNumberFormat="1" applyFont="1" applyFill="1" applyBorder="1" applyAlignment="1">
      <alignment horizontal="right" vertical="center" shrinkToFit="1"/>
    </xf>
    <xf numFmtId="2" fontId="6" fillId="29" borderId="164" xfId="1" applyNumberFormat="1" applyFont="1" applyFill="1" applyBorder="1" applyAlignment="1">
      <alignment horizontal="left" vertical="center" shrinkToFit="1"/>
    </xf>
    <xf numFmtId="2" fontId="6" fillId="29" borderId="164" xfId="1" applyNumberFormat="1" applyFont="1" applyFill="1" applyBorder="1" applyAlignment="1">
      <alignment horizontal="left" vertical="center" wrapText="1" shrinkToFit="1"/>
    </xf>
    <xf numFmtId="49" fontId="6" fillId="29" borderId="164" xfId="1" applyNumberFormat="1" applyFont="1" applyFill="1" applyBorder="1" applyAlignment="1">
      <alignment horizontal="left" vertical="center" wrapText="1" shrinkToFit="1"/>
    </xf>
    <xf numFmtId="1" fontId="6" fillId="29" borderId="164" xfId="1" applyNumberFormat="1" applyFont="1" applyFill="1" applyBorder="1" applyAlignment="1">
      <alignment horizontal="right" vertical="center" wrapText="1"/>
    </xf>
    <xf numFmtId="1" fontId="8" fillId="29" borderId="133" xfId="1" applyNumberFormat="1" applyFont="1" applyFill="1" applyBorder="1" applyAlignment="1">
      <alignment horizontal="left" vertical="center" wrapText="1"/>
    </xf>
    <xf numFmtId="1" fontId="8" fillId="29" borderId="134" xfId="1" applyNumberFormat="1" applyFont="1" applyFill="1" applyBorder="1" applyAlignment="1">
      <alignment horizontal="left" vertical="center" wrapText="1"/>
    </xf>
    <xf numFmtId="1" fontId="8" fillId="29" borderId="135" xfId="1" applyNumberFormat="1" applyFont="1" applyFill="1" applyBorder="1" applyAlignment="1">
      <alignment horizontal="left" vertical="center" wrapText="1"/>
    </xf>
    <xf numFmtId="165" fontId="8" fillId="36" borderId="12" xfId="1" applyNumberFormat="1" applyFont="1" applyFill="1" applyBorder="1" applyAlignment="1" applyProtection="1">
      <alignment horizontal="left" vertical="center" wrapText="1"/>
      <protection locked="0"/>
    </xf>
    <xf numFmtId="0" fontId="8" fillId="36" borderId="13" xfId="1" applyFont="1" applyFill="1" applyBorder="1" applyAlignment="1" applyProtection="1">
      <alignment horizontal="left" vertical="center" wrapText="1"/>
      <protection locked="0"/>
    </xf>
    <xf numFmtId="165" fontId="6" fillId="36" borderId="17" xfId="1" applyNumberFormat="1" applyFont="1" applyFill="1" applyBorder="1" applyAlignment="1">
      <alignment horizontal="left" vertical="center" wrapText="1"/>
    </xf>
    <xf numFmtId="0" fontId="6" fillId="36" borderId="14" xfId="1" applyFont="1" applyFill="1" applyBorder="1" applyAlignment="1">
      <alignment horizontal="left" vertical="center" wrapText="1"/>
    </xf>
    <xf numFmtId="0" fontId="8" fillId="36" borderId="19" xfId="1" applyFont="1" applyFill="1" applyBorder="1" applyAlignment="1" applyProtection="1">
      <alignment horizontal="left" vertical="center" wrapText="1"/>
      <protection locked="0"/>
    </xf>
    <xf numFmtId="2" fontId="6" fillId="36" borderId="14" xfId="1" applyNumberFormat="1" applyFont="1" applyFill="1" applyBorder="1" applyAlignment="1">
      <alignment horizontal="right" vertical="center"/>
    </xf>
    <xf numFmtId="0" fontId="6" fillId="36" borderId="14" xfId="1" applyFont="1" applyFill="1" applyBorder="1" applyAlignment="1" applyProtection="1">
      <alignment horizontal="left" vertical="center" wrapText="1"/>
      <protection locked="0"/>
    </xf>
    <xf numFmtId="0" fontId="6" fillId="36" borderId="48" xfId="1" applyFont="1" applyFill="1" applyBorder="1" applyAlignment="1" applyProtection="1">
      <alignment horizontal="left" vertical="center" wrapText="1"/>
      <protection locked="0"/>
    </xf>
    <xf numFmtId="165" fontId="6" fillId="36" borderId="17" xfId="1" applyNumberFormat="1" applyFont="1" applyFill="1" applyBorder="1" applyAlignment="1" applyProtection="1">
      <alignment horizontal="left" vertical="center" wrapText="1"/>
      <protection locked="0"/>
    </xf>
    <xf numFmtId="0" fontId="8" fillId="36" borderId="14" xfId="1" applyFont="1" applyFill="1" applyBorder="1" applyAlignment="1">
      <alignment horizontal="left" vertical="center" wrapText="1"/>
    </xf>
    <xf numFmtId="0" fontId="8" fillId="36" borderId="19" xfId="1" applyFont="1" applyFill="1" applyBorder="1" applyAlignment="1">
      <alignment horizontal="left" vertical="center" wrapText="1"/>
    </xf>
    <xf numFmtId="2" fontId="6" fillId="36" borderId="14" xfId="1" applyNumberFormat="1" applyFont="1" applyFill="1" applyBorder="1" applyAlignment="1" applyProtection="1">
      <alignment horizontal="right" vertical="center" wrapText="1"/>
      <protection locked="0"/>
    </xf>
    <xf numFmtId="0" fontId="8" fillId="36" borderId="12" xfId="1" applyFont="1" applyFill="1" applyBorder="1" applyAlignment="1" applyProtection="1">
      <alignment horizontal="left" vertical="center" wrapText="1"/>
      <protection locked="0"/>
    </xf>
    <xf numFmtId="0" fontId="8" fillId="36" borderId="47" xfId="1" applyFont="1" applyFill="1" applyBorder="1" applyAlignment="1" applyProtection="1">
      <alignment horizontal="left" vertical="center" wrapText="1"/>
      <protection locked="0"/>
    </xf>
    <xf numFmtId="0" fontId="8" fillId="36" borderId="51" xfId="1" applyFont="1" applyFill="1" applyBorder="1" applyAlignment="1" applyProtection="1">
      <alignment horizontal="left" vertical="center" wrapText="1"/>
      <protection locked="0"/>
    </xf>
    <xf numFmtId="0" fontId="8" fillId="34" borderId="20" xfId="1" applyFont="1" applyFill="1" applyBorder="1" applyAlignment="1" applyProtection="1">
      <alignment horizontal="left" vertical="center" wrapText="1"/>
      <protection locked="0"/>
    </xf>
    <xf numFmtId="0" fontId="8" fillId="34" borderId="39" xfId="1" applyFont="1" applyFill="1" applyBorder="1" applyAlignment="1" applyProtection="1">
      <alignment horizontal="left" vertical="center" wrapText="1"/>
      <protection locked="0"/>
    </xf>
    <xf numFmtId="0" fontId="6" fillId="37" borderId="21" xfId="0" applyFont="1" applyFill="1" applyBorder="1" applyAlignment="1">
      <alignment horizontal="left" vertical="center" wrapText="1"/>
    </xf>
    <xf numFmtId="0" fontId="6" fillId="37" borderId="18" xfId="0" applyFont="1" applyFill="1" applyBorder="1" applyAlignment="1">
      <alignment horizontal="left" vertical="center" wrapText="1"/>
    </xf>
    <xf numFmtId="0" fontId="15" fillId="38" borderId="18" xfId="0" applyFont="1" applyFill="1" applyBorder="1" applyAlignment="1">
      <alignment horizontal="left" vertical="center" wrapText="1"/>
    </xf>
    <xf numFmtId="0" fontId="15" fillId="38" borderId="29" xfId="0" applyFont="1" applyFill="1" applyBorder="1" applyAlignment="1">
      <alignment horizontal="right" vertical="center" wrapText="1"/>
    </xf>
    <xf numFmtId="0" fontId="6" fillId="37" borderId="8" xfId="0" applyFont="1" applyFill="1" applyBorder="1" applyAlignment="1">
      <alignment horizontal="left" vertical="center" wrapText="1"/>
    </xf>
    <xf numFmtId="0" fontId="6" fillId="37" borderId="6" xfId="0" applyFont="1" applyFill="1" applyBorder="1" applyAlignment="1">
      <alignment horizontal="left" vertical="center" wrapText="1"/>
    </xf>
    <xf numFmtId="0" fontId="15" fillId="38" borderId="6" xfId="0" applyFont="1" applyFill="1" applyBorder="1" applyAlignment="1">
      <alignment horizontal="left" vertical="center" wrapText="1"/>
    </xf>
    <xf numFmtId="0" fontId="15" fillId="38" borderId="24" xfId="0" applyFont="1" applyFill="1" applyBorder="1" applyAlignment="1">
      <alignment horizontal="right" vertical="center" wrapText="1"/>
    </xf>
    <xf numFmtId="0" fontId="6" fillId="37" borderId="31" xfId="0" applyFont="1" applyFill="1" applyBorder="1" applyAlignment="1">
      <alignment horizontal="left" vertical="center" wrapText="1"/>
    </xf>
    <xf numFmtId="0" fontId="6" fillId="37" borderId="25" xfId="0" applyFont="1" applyFill="1" applyBorder="1" applyAlignment="1">
      <alignment horizontal="left" vertical="center" wrapText="1"/>
    </xf>
    <xf numFmtId="0" fontId="15" fillId="38" borderId="25" xfId="0" applyFont="1" applyFill="1" applyBorder="1" applyAlignment="1">
      <alignment horizontal="left" vertical="center" wrapText="1"/>
    </xf>
    <xf numFmtId="0" fontId="15" fillId="38" borderId="57" xfId="0" applyFont="1" applyFill="1" applyBorder="1" applyAlignment="1">
      <alignment horizontal="right" vertical="center" wrapText="1"/>
    </xf>
    <xf numFmtId="0" fontId="15" fillId="38" borderId="71" xfId="0" applyFont="1" applyFill="1" applyBorder="1" applyAlignment="1">
      <alignment horizontal="left" vertical="center" wrapText="1"/>
    </xf>
    <xf numFmtId="0" fontId="21" fillId="38" borderId="42" xfId="0" applyFont="1" applyFill="1" applyBorder="1" applyAlignment="1">
      <alignment horizontal="left" vertical="center" wrapText="1"/>
    </xf>
    <xf numFmtId="0" fontId="15" fillId="38" borderId="42" xfId="0" applyFont="1" applyFill="1" applyBorder="1" applyAlignment="1">
      <alignment horizontal="left" vertical="center" wrapText="1"/>
    </xf>
    <xf numFmtId="0" fontId="15" fillId="38" borderId="81" xfId="0" applyFont="1" applyFill="1" applyBorder="1" applyAlignment="1">
      <alignment horizontal="right" vertical="center" wrapText="1"/>
    </xf>
    <xf numFmtId="0" fontId="15" fillId="38" borderId="112" xfId="0" applyFont="1" applyFill="1" applyBorder="1" applyAlignment="1">
      <alignment horizontal="left" vertical="center" wrapText="1"/>
    </xf>
    <xf numFmtId="0" fontId="21" fillId="38" borderId="41" xfId="0" applyFont="1" applyFill="1" applyBorder="1" applyAlignment="1">
      <alignment horizontal="left" vertical="center" wrapText="1"/>
    </xf>
    <xf numFmtId="0" fontId="15" fillId="38" borderId="41" xfId="0" applyFont="1" applyFill="1" applyBorder="1" applyAlignment="1">
      <alignment horizontal="left" vertical="center" wrapText="1"/>
    </xf>
    <xf numFmtId="0" fontId="15" fillId="38" borderId="74" xfId="0" applyFont="1" applyFill="1" applyBorder="1" applyAlignment="1">
      <alignment horizontal="right" vertical="center" wrapText="1"/>
    </xf>
    <xf numFmtId="0" fontId="15" fillId="38" borderId="115" xfId="0" applyFont="1" applyFill="1" applyBorder="1" applyAlignment="1">
      <alignment horizontal="left" vertical="center" wrapText="1"/>
    </xf>
    <xf numFmtId="0" fontId="21" fillId="38" borderId="72" xfId="0" applyFont="1" applyFill="1" applyBorder="1" applyAlignment="1">
      <alignment horizontal="left" vertical="center" wrapText="1"/>
    </xf>
    <xf numFmtId="0" fontId="15" fillId="38" borderId="72" xfId="0" applyFont="1" applyFill="1" applyBorder="1" applyAlignment="1">
      <alignment horizontal="left" vertical="center" wrapText="1"/>
    </xf>
    <xf numFmtId="0" fontId="15" fillId="38" borderId="75" xfId="0" applyFont="1" applyFill="1" applyBorder="1" applyAlignment="1">
      <alignment horizontal="right" vertical="center" wrapText="1"/>
    </xf>
    <xf numFmtId="2" fontId="6" fillId="38" borderId="164" xfId="1" applyNumberFormat="1" applyFont="1" applyFill="1" applyBorder="1" applyAlignment="1">
      <alignment horizontal="left" vertical="center" shrinkToFit="1"/>
    </xf>
    <xf numFmtId="2" fontId="6" fillId="38" borderId="164" xfId="1" applyNumberFormat="1" applyFont="1" applyFill="1" applyBorder="1" applyAlignment="1">
      <alignment horizontal="left" vertical="center" wrapText="1" shrinkToFit="1"/>
    </xf>
    <xf numFmtId="1" fontId="6" fillId="38" borderId="164" xfId="1" applyNumberFormat="1" applyFont="1" applyFill="1" applyBorder="1" applyAlignment="1">
      <alignment horizontal="right" vertical="center" shrinkToFit="1"/>
    </xf>
    <xf numFmtId="49" fontId="6" fillId="38" borderId="164" xfId="1" applyNumberFormat="1" applyFont="1" applyFill="1" applyBorder="1" applyAlignment="1">
      <alignment horizontal="left" vertical="center" wrapText="1" shrinkToFit="1"/>
    </xf>
    <xf numFmtId="1" fontId="6" fillId="38" borderId="164" xfId="1" applyNumberFormat="1" applyFont="1" applyFill="1" applyBorder="1" applyAlignment="1">
      <alignment horizontal="right" vertical="center" wrapText="1"/>
    </xf>
    <xf numFmtId="2" fontId="6" fillId="38" borderId="49" xfId="1" applyNumberFormat="1" applyFont="1" applyFill="1" applyBorder="1" applyAlignment="1">
      <alignment horizontal="left" vertical="center" shrinkToFit="1"/>
    </xf>
    <xf numFmtId="2" fontId="6" fillId="38" borderId="49" xfId="1" applyNumberFormat="1" applyFont="1" applyFill="1" applyBorder="1" applyAlignment="1">
      <alignment horizontal="left" vertical="center" wrapText="1" shrinkToFit="1"/>
    </xf>
    <xf numFmtId="1" fontId="6" fillId="38" borderId="49" xfId="1" applyNumberFormat="1" applyFont="1" applyFill="1" applyBorder="1" applyAlignment="1">
      <alignment horizontal="right" vertical="center" shrinkToFit="1"/>
    </xf>
    <xf numFmtId="49" fontId="6" fillId="38" borderId="49" xfId="1" applyNumberFormat="1" applyFont="1" applyFill="1" applyBorder="1" applyAlignment="1">
      <alignment horizontal="left" vertical="center" wrapText="1" shrinkToFit="1"/>
    </xf>
    <xf numFmtId="1" fontId="6" fillId="38" borderId="49" xfId="1" applyNumberFormat="1" applyFont="1" applyFill="1" applyBorder="1" applyAlignment="1">
      <alignment horizontal="right" vertical="center" wrapText="1"/>
    </xf>
    <xf numFmtId="0" fontId="15" fillId="38" borderId="80" xfId="0" applyFont="1" applyFill="1" applyBorder="1" applyAlignment="1">
      <alignment horizontal="left" vertical="center" wrapText="1"/>
    </xf>
    <xf numFmtId="0" fontId="15" fillId="38" borderId="82" xfId="0" applyFont="1" applyFill="1" applyBorder="1" applyAlignment="1">
      <alignment horizontal="left" vertical="center" wrapText="1"/>
    </xf>
    <xf numFmtId="0" fontId="15" fillId="38" borderId="83" xfId="0" applyFont="1" applyFill="1" applyBorder="1" applyAlignment="1">
      <alignment horizontal="left" vertical="center" wrapText="1"/>
    </xf>
    <xf numFmtId="0" fontId="21" fillId="38" borderId="98" xfId="0" applyFont="1" applyFill="1" applyBorder="1" applyAlignment="1">
      <alignment horizontal="left" vertical="center" wrapText="1"/>
    </xf>
    <xf numFmtId="0" fontId="15" fillId="38" borderId="98" xfId="0" applyFont="1" applyFill="1" applyBorder="1" applyAlignment="1">
      <alignment horizontal="left" vertical="center" wrapText="1"/>
    </xf>
    <xf numFmtId="0" fontId="15" fillId="38" borderId="76" xfId="0" applyFont="1" applyFill="1" applyBorder="1" applyAlignment="1">
      <alignment horizontal="right" vertical="center" wrapText="1"/>
    </xf>
    <xf numFmtId="49" fontId="4" fillId="0" borderId="0" xfId="2" applyNumberFormat="1" applyAlignment="1" applyProtection="1"/>
    <xf numFmtId="0" fontId="8" fillId="34" borderId="39" xfId="10" applyFont="1" applyFill="1" applyBorder="1" applyAlignment="1" applyProtection="1">
      <alignment horizontal="left" vertical="center" wrapText="1"/>
      <protection locked="0"/>
    </xf>
    <xf numFmtId="1" fontId="8" fillId="0" borderId="10" xfId="10" applyNumberFormat="1" applyFont="1" applyBorder="1" applyAlignment="1" applyProtection="1">
      <alignment horizontal="left" vertical="center" wrapText="1"/>
      <protection locked="0"/>
    </xf>
    <xf numFmtId="1" fontId="8" fillId="36" borderId="16" xfId="10" applyNumberFormat="1" applyFont="1" applyFill="1" applyBorder="1" applyAlignment="1" applyProtection="1">
      <alignment horizontal="left" vertical="center" wrapText="1"/>
      <protection locked="0"/>
    </xf>
    <xf numFmtId="1" fontId="8" fillId="36" borderId="47" xfId="10" applyNumberFormat="1" applyFont="1" applyFill="1" applyBorder="1" applyAlignment="1" applyProtection="1">
      <alignment horizontal="left" vertical="center" wrapText="1"/>
      <protection locked="0"/>
    </xf>
    <xf numFmtId="1" fontId="8" fillId="36" borderId="66" xfId="10" applyNumberFormat="1" applyFont="1" applyFill="1" applyBorder="1" applyAlignment="1" applyProtection="1">
      <alignment horizontal="left" vertical="center" wrapText="1"/>
      <protection locked="0"/>
    </xf>
    <xf numFmtId="0" fontId="6" fillId="40" borderId="22" xfId="10" applyFont="1" applyFill="1" applyBorder="1" applyAlignment="1">
      <alignment horizontal="left" vertical="center" shrinkToFit="1"/>
    </xf>
    <xf numFmtId="0" fontId="6" fillId="40" borderId="18" xfId="10" applyFont="1" applyFill="1" applyBorder="1" applyAlignment="1" applyProtection="1">
      <alignment horizontal="left" vertical="center" wrapText="1" shrinkToFit="1"/>
      <protection locked="0"/>
    </xf>
    <xf numFmtId="49" fontId="6" fillId="40" borderId="18" xfId="10" applyNumberFormat="1" applyFont="1" applyFill="1" applyBorder="1" applyAlignment="1" applyProtection="1">
      <alignment horizontal="left" vertical="center" wrapText="1" shrinkToFit="1"/>
      <protection locked="0"/>
    </xf>
    <xf numFmtId="0" fontId="6" fillId="40" borderId="18" xfId="10" applyFont="1" applyFill="1" applyBorder="1" applyAlignment="1" applyProtection="1">
      <alignment horizontal="left" vertical="center" shrinkToFit="1"/>
      <protection locked="0"/>
    </xf>
    <xf numFmtId="1" fontId="6" fillId="40" borderId="29" xfId="10" applyNumberFormat="1" applyFont="1" applyFill="1" applyBorder="1" applyAlignment="1" applyProtection="1">
      <alignment horizontal="right" vertical="center" shrinkToFit="1"/>
      <protection locked="0"/>
    </xf>
    <xf numFmtId="2" fontId="6" fillId="15" borderId="22" xfId="10" applyNumberFormat="1" applyFont="1" applyFill="1" applyBorder="1" applyAlignment="1" applyProtection="1">
      <alignment horizontal="right" vertical="center" shrinkToFit="1"/>
      <protection locked="0"/>
    </xf>
    <xf numFmtId="2" fontId="6" fillId="7" borderId="18" xfId="10" applyNumberFormat="1" applyFont="1" applyFill="1" applyBorder="1" applyAlignment="1" applyProtection="1">
      <alignment horizontal="right" vertical="center" shrinkToFit="1"/>
      <protection locked="0"/>
    </xf>
    <xf numFmtId="2" fontId="6" fillId="7" borderId="29" xfId="10" applyNumberFormat="1" applyFont="1" applyFill="1" applyBorder="1" applyAlignment="1" applyProtection="1">
      <alignment horizontal="right" vertical="center" shrinkToFit="1"/>
      <protection locked="0"/>
    </xf>
    <xf numFmtId="49" fontId="6" fillId="40" borderId="23" xfId="10" applyNumberFormat="1" applyFont="1" applyFill="1" applyBorder="1" applyAlignment="1" applyProtection="1">
      <alignment horizontal="left" vertical="center" shrinkToFit="1"/>
      <protection locked="0"/>
    </xf>
    <xf numFmtId="0" fontId="6" fillId="40" borderId="6" xfId="10" applyFont="1" applyFill="1" applyBorder="1" applyAlignment="1" applyProtection="1">
      <alignment horizontal="left" vertical="center" wrapText="1" shrinkToFit="1"/>
      <protection locked="0"/>
    </xf>
    <xf numFmtId="49" fontId="6" fillId="40" borderId="6" xfId="10" applyNumberFormat="1" applyFont="1" applyFill="1" applyBorder="1" applyAlignment="1" applyProtection="1">
      <alignment horizontal="left" vertical="center" wrapText="1" shrinkToFit="1"/>
      <protection locked="0"/>
    </xf>
    <xf numFmtId="0" fontId="6" fillId="40" borderId="6" xfId="10" applyFont="1" applyFill="1" applyBorder="1" applyAlignment="1" applyProtection="1">
      <alignment horizontal="left" vertical="center" shrinkToFit="1"/>
      <protection locked="0"/>
    </xf>
    <xf numFmtId="1" fontId="6" fillId="40" borderId="24" xfId="10" applyNumberFormat="1" applyFont="1" applyFill="1" applyBorder="1" applyAlignment="1" applyProtection="1">
      <alignment horizontal="right" vertical="center" shrinkToFit="1"/>
      <protection locked="0"/>
    </xf>
    <xf numFmtId="2" fontId="6" fillId="15" borderId="23" xfId="10" applyNumberFormat="1" applyFont="1" applyFill="1" applyBorder="1" applyAlignment="1" applyProtection="1">
      <alignment horizontal="right" vertical="center" shrinkToFit="1"/>
      <protection locked="0"/>
    </xf>
    <xf numFmtId="2" fontId="6" fillId="0" borderId="6" xfId="10" applyNumberFormat="1" applyFont="1" applyBorder="1" applyAlignment="1" applyProtection="1">
      <alignment horizontal="right" vertical="center" shrinkToFit="1"/>
      <protection locked="0"/>
    </xf>
    <xf numFmtId="2" fontId="6" fillId="0" borderId="24" xfId="10" applyNumberFormat="1" applyFont="1" applyBorder="1" applyAlignment="1" applyProtection="1">
      <alignment horizontal="right" vertical="center" shrinkToFit="1"/>
      <protection locked="0"/>
    </xf>
    <xf numFmtId="0" fontId="6" fillId="40" borderId="23" xfId="10" applyFont="1" applyFill="1" applyBorder="1" applyAlignment="1" applyProtection="1">
      <alignment horizontal="left" vertical="center" shrinkToFit="1"/>
      <protection locked="0"/>
    </xf>
    <xf numFmtId="2" fontId="6" fillId="7" borderId="6" xfId="10" applyNumberFormat="1" applyFont="1" applyFill="1" applyBorder="1" applyAlignment="1" applyProtection="1">
      <alignment horizontal="right" vertical="center" shrinkToFit="1"/>
      <protection locked="0"/>
    </xf>
    <xf numFmtId="2" fontId="6" fillId="7" borderId="24" xfId="10" applyNumberFormat="1" applyFont="1" applyFill="1" applyBorder="1" applyAlignment="1" applyProtection="1">
      <alignment horizontal="right" vertical="center" shrinkToFit="1"/>
      <protection locked="0"/>
    </xf>
    <xf numFmtId="2" fontId="6" fillId="40" borderId="6" xfId="10" applyNumberFormat="1" applyFont="1" applyFill="1" applyBorder="1" applyAlignment="1">
      <alignment horizontal="left" vertical="center" wrapText="1"/>
    </xf>
    <xf numFmtId="2" fontId="6" fillId="3" borderId="23" xfId="10" applyNumberFormat="1" applyFont="1" applyFill="1" applyBorder="1" applyAlignment="1" applyProtection="1">
      <alignment horizontal="right" vertical="center" shrinkToFit="1"/>
      <protection locked="0"/>
    </xf>
    <xf numFmtId="2" fontId="6" fillId="3" borderId="24" xfId="10" applyNumberFormat="1" applyFont="1" applyFill="1" applyBorder="1" applyAlignment="1" applyProtection="1">
      <alignment horizontal="right" vertical="center" shrinkToFit="1"/>
      <protection locked="0"/>
    </xf>
    <xf numFmtId="2" fontId="6" fillId="40" borderId="23" xfId="10" applyNumberFormat="1" applyFont="1" applyFill="1" applyBorder="1" applyAlignment="1" applyProtection="1">
      <alignment horizontal="left" vertical="center" shrinkToFit="1"/>
      <protection locked="0"/>
    </xf>
    <xf numFmtId="2" fontId="6" fillId="40" borderId="6" xfId="10" applyNumberFormat="1" applyFont="1" applyFill="1" applyBorder="1" applyAlignment="1" applyProtection="1">
      <alignment horizontal="left" vertical="center" wrapText="1" shrinkToFit="1"/>
      <protection locked="0"/>
    </xf>
    <xf numFmtId="2" fontId="6" fillId="40" borderId="6" xfId="10" applyNumberFormat="1" applyFont="1" applyFill="1" applyBorder="1" applyAlignment="1" applyProtection="1">
      <alignment horizontal="left" vertical="center" shrinkToFit="1"/>
      <protection locked="0"/>
    </xf>
    <xf numFmtId="2" fontId="6" fillId="3" borderId="6" xfId="10" applyNumberFormat="1" applyFont="1" applyFill="1" applyBorder="1" applyAlignment="1" applyProtection="1">
      <alignment horizontal="right" vertical="center" shrinkToFit="1"/>
      <protection locked="0"/>
    </xf>
    <xf numFmtId="2" fontId="6" fillId="15" borderId="6" xfId="10" applyNumberFormat="1" applyFont="1" applyFill="1" applyBorder="1" applyAlignment="1" applyProtection="1">
      <alignment horizontal="right" vertical="center" shrinkToFit="1"/>
      <protection locked="0"/>
    </xf>
    <xf numFmtId="2" fontId="6" fillId="15" borderId="24" xfId="10" applyNumberFormat="1" applyFont="1" applyFill="1" applyBorder="1" applyAlignment="1" applyProtection="1">
      <alignment horizontal="right" vertical="center" shrinkToFit="1"/>
      <protection locked="0"/>
    </xf>
    <xf numFmtId="2" fontId="6" fillId="40" borderId="56" xfId="10" applyNumberFormat="1" applyFont="1" applyFill="1" applyBorder="1" applyAlignment="1" applyProtection="1">
      <alignment horizontal="left" vertical="center" shrinkToFit="1"/>
      <protection locked="0"/>
    </xf>
    <xf numFmtId="2" fontId="6" fillId="40" borderId="27" xfId="10" applyNumberFormat="1" applyFont="1" applyFill="1" applyBorder="1" applyAlignment="1" applyProtection="1">
      <alignment horizontal="left" vertical="center" wrapText="1" shrinkToFit="1"/>
      <protection locked="0"/>
    </xf>
    <xf numFmtId="2" fontId="6" fillId="40" borderId="27" xfId="10" applyNumberFormat="1" applyFont="1" applyFill="1" applyBorder="1" applyAlignment="1" applyProtection="1">
      <alignment horizontal="left" vertical="center" shrinkToFit="1"/>
      <protection locked="0"/>
    </xf>
    <xf numFmtId="1" fontId="6" fillId="40" borderId="28" xfId="10" applyNumberFormat="1" applyFont="1" applyFill="1" applyBorder="1" applyAlignment="1" applyProtection="1">
      <alignment horizontal="right" vertical="center" shrinkToFit="1"/>
      <protection locked="0"/>
    </xf>
    <xf numFmtId="2" fontId="6" fillId="3" borderId="56" xfId="10" applyNumberFormat="1" applyFont="1" applyFill="1" applyBorder="1" applyAlignment="1" applyProtection="1">
      <alignment horizontal="right" vertical="center" shrinkToFit="1"/>
      <protection locked="0"/>
    </xf>
    <xf numFmtId="2" fontId="6" fillId="3" borderId="28" xfId="10" applyNumberFormat="1" applyFont="1" applyFill="1" applyBorder="1" applyAlignment="1" applyProtection="1">
      <alignment horizontal="right" vertical="center" shrinkToFit="1"/>
      <protection locked="0"/>
    </xf>
    <xf numFmtId="0" fontId="6" fillId="36" borderId="22" xfId="10" applyFont="1" applyFill="1" applyBorder="1" applyAlignment="1">
      <alignment horizontal="left" vertical="center" shrinkToFit="1"/>
    </xf>
    <xf numFmtId="0" fontId="6" fillId="36" borderId="18" xfId="10" applyFont="1" applyFill="1" applyBorder="1" applyAlignment="1" applyProtection="1">
      <alignment horizontal="left" vertical="center" wrapText="1" shrinkToFit="1"/>
      <protection locked="0"/>
    </xf>
    <xf numFmtId="0" fontId="6" fillId="36" borderId="23" xfId="10" applyFont="1" applyFill="1" applyBorder="1" applyAlignment="1" applyProtection="1">
      <alignment horizontal="left" vertical="center" shrinkToFit="1"/>
      <protection locked="0"/>
    </xf>
    <xf numFmtId="2" fontId="6" fillId="36" borderId="6" xfId="10" applyNumberFormat="1" applyFont="1" applyFill="1" applyBorder="1" applyAlignment="1">
      <alignment horizontal="left" vertical="center" wrapText="1"/>
    </xf>
    <xf numFmtId="49" fontId="6" fillId="36" borderId="6" xfId="10" applyNumberFormat="1" applyFont="1" applyFill="1" applyBorder="1" applyAlignment="1">
      <alignment horizontal="left" vertical="center" wrapText="1" shrinkToFit="1"/>
    </xf>
    <xf numFmtId="0" fontId="6" fillId="36" borderId="6" xfId="10" applyFont="1" applyFill="1" applyBorder="1" applyAlignment="1" applyProtection="1">
      <alignment horizontal="left" vertical="center" shrinkToFit="1"/>
      <protection locked="0"/>
    </xf>
    <xf numFmtId="1" fontId="6" fillId="36" borderId="24" xfId="10" applyNumberFormat="1" applyFont="1" applyFill="1" applyBorder="1" applyAlignment="1" applyProtection="1">
      <alignment horizontal="right" vertical="center" shrinkToFit="1"/>
      <protection locked="0"/>
    </xf>
    <xf numFmtId="166" fontId="6" fillId="15" borderId="23" xfId="10" applyNumberFormat="1" applyFont="1" applyFill="1" applyBorder="1" applyAlignment="1" applyProtection="1">
      <alignment horizontal="right" vertical="center" shrinkToFit="1"/>
      <protection locked="0"/>
    </xf>
    <xf numFmtId="166" fontId="6" fillId="0" borderId="6" xfId="10" applyNumberFormat="1" applyFont="1" applyBorder="1" applyAlignment="1" applyProtection="1">
      <alignment horizontal="right" vertical="center" shrinkToFit="1"/>
      <protection locked="0"/>
    </xf>
    <xf numFmtId="166" fontId="6" fillId="0" borderId="24" xfId="10" applyNumberFormat="1" applyFont="1" applyBorder="1" applyAlignment="1" applyProtection="1">
      <alignment horizontal="right" vertical="center" shrinkToFit="1"/>
      <protection locked="0"/>
    </xf>
    <xf numFmtId="2" fontId="6" fillId="9" borderId="23" xfId="10" applyNumberFormat="1" applyFont="1" applyFill="1" applyBorder="1" applyAlignment="1" applyProtection="1">
      <alignment horizontal="right" vertical="center" shrinkToFit="1"/>
      <protection locked="0"/>
    </xf>
    <xf numFmtId="165" fontId="6" fillId="3" borderId="24" xfId="10" applyNumberFormat="1" applyFont="1" applyFill="1" applyBorder="1" applyAlignment="1" applyProtection="1">
      <alignment horizontal="right" vertical="center" shrinkToFit="1"/>
      <protection locked="0"/>
    </xf>
    <xf numFmtId="0" fontId="6" fillId="36" borderId="6" xfId="10" applyFont="1" applyFill="1" applyBorder="1" applyAlignment="1" applyProtection="1">
      <alignment horizontal="left" vertical="center" wrapText="1" shrinkToFit="1"/>
      <protection locked="0"/>
    </xf>
    <xf numFmtId="49" fontId="6" fillId="36" borderId="6" xfId="10" applyNumberFormat="1" applyFont="1" applyFill="1" applyBorder="1" applyAlignment="1">
      <alignment horizontal="left" vertical="center" wrapText="1"/>
    </xf>
    <xf numFmtId="0" fontId="6" fillId="36" borderId="6" xfId="10" applyFont="1" applyFill="1" applyBorder="1" applyAlignment="1">
      <alignment horizontal="left" vertical="center" shrinkToFit="1"/>
    </xf>
    <xf numFmtId="1" fontId="6" fillId="36" borderId="24" xfId="10" applyNumberFormat="1" applyFont="1" applyFill="1" applyBorder="1" applyAlignment="1">
      <alignment horizontal="right" vertical="center" shrinkToFit="1"/>
    </xf>
    <xf numFmtId="165" fontId="6" fillId="3" borderId="23" xfId="10" applyNumberFormat="1" applyFont="1" applyFill="1" applyBorder="1" applyAlignment="1" applyProtection="1">
      <alignment horizontal="right" vertical="center" shrinkToFit="1"/>
      <protection locked="0"/>
    </xf>
    <xf numFmtId="165" fontId="6" fillId="3" borderId="6" xfId="10" applyNumberFormat="1" applyFont="1" applyFill="1" applyBorder="1" applyAlignment="1" applyProtection="1">
      <alignment horizontal="right" vertical="center" shrinkToFit="1"/>
      <protection locked="0"/>
    </xf>
    <xf numFmtId="0" fontId="6" fillId="36" borderId="56" xfId="10" applyFont="1" applyFill="1" applyBorder="1" applyAlignment="1" applyProtection="1">
      <alignment horizontal="left" vertical="center" shrinkToFit="1"/>
      <protection locked="0"/>
    </xf>
    <xf numFmtId="0" fontId="6" fillId="36" borderId="27" xfId="10" applyFont="1" applyFill="1" applyBorder="1" applyAlignment="1" applyProtection="1">
      <alignment horizontal="left" vertical="center" wrapText="1" shrinkToFit="1"/>
      <protection locked="0"/>
    </xf>
    <xf numFmtId="49" fontId="6" fillId="36" borderId="27" xfId="10" applyNumberFormat="1" applyFont="1" applyFill="1" applyBorder="1" applyAlignment="1" applyProtection="1">
      <alignment horizontal="left" vertical="center" wrapText="1" shrinkToFit="1"/>
      <protection locked="0"/>
    </xf>
    <xf numFmtId="0" fontId="6" fillId="36" borderId="27" xfId="10" applyFont="1" applyFill="1" applyBorder="1" applyAlignment="1" applyProtection="1">
      <alignment horizontal="left" vertical="center" shrinkToFit="1"/>
      <protection locked="0"/>
    </xf>
    <xf numFmtId="1" fontId="6" fillId="36" borderId="28" xfId="10" applyNumberFormat="1" applyFont="1" applyFill="1" applyBorder="1" applyAlignment="1" applyProtection="1">
      <alignment horizontal="right" vertical="center" shrinkToFit="1"/>
      <protection locked="0"/>
    </xf>
    <xf numFmtId="2" fontId="6" fillId="15" borderId="56" xfId="10" applyNumberFormat="1" applyFont="1" applyFill="1" applyBorder="1" applyAlignment="1" applyProtection="1">
      <alignment horizontal="right" vertical="center" shrinkToFit="1"/>
      <protection locked="0"/>
    </xf>
    <xf numFmtId="2" fontId="6" fillId="0" borderId="27" xfId="10" applyNumberFormat="1" applyFont="1" applyBorder="1" applyAlignment="1" applyProtection="1">
      <alignment horizontal="right" vertical="center" shrinkToFit="1"/>
      <protection locked="0"/>
    </xf>
    <xf numFmtId="2" fontId="6" fillId="0" borderId="28" xfId="10" applyNumberFormat="1" applyFont="1" applyBorder="1" applyAlignment="1" applyProtection="1">
      <alignment horizontal="right" vertical="center" shrinkToFit="1"/>
      <protection locked="0"/>
    </xf>
    <xf numFmtId="0" fontId="6" fillId="40" borderId="56" xfId="10" applyFont="1" applyFill="1" applyBorder="1" applyAlignment="1" applyProtection="1">
      <alignment horizontal="left" vertical="center" shrinkToFit="1"/>
      <protection locked="0"/>
    </xf>
    <xf numFmtId="0" fontId="6" fillId="40" borderId="27" xfId="10" applyFont="1" applyFill="1" applyBorder="1" applyAlignment="1" applyProtection="1">
      <alignment horizontal="left" vertical="center" wrapText="1" shrinkToFit="1"/>
      <protection locked="0"/>
    </xf>
    <xf numFmtId="49" fontId="6" fillId="40" borderId="27" xfId="10" applyNumberFormat="1" applyFont="1" applyFill="1" applyBorder="1" applyAlignment="1" applyProtection="1">
      <alignment horizontal="left" vertical="center" wrapText="1" shrinkToFit="1"/>
      <protection locked="0"/>
    </xf>
    <xf numFmtId="0" fontId="6" fillId="40" borderId="27" xfId="10" applyFont="1" applyFill="1" applyBorder="1" applyAlignment="1" applyProtection="1">
      <alignment horizontal="left" vertical="center" shrinkToFit="1"/>
      <protection locked="0"/>
    </xf>
    <xf numFmtId="2" fontId="6" fillId="3" borderId="27" xfId="10" applyNumberFormat="1" applyFont="1" applyFill="1" applyBorder="1" applyAlignment="1" applyProtection="1">
      <alignment horizontal="right" vertical="center" shrinkToFit="1"/>
      <protection locked="0"/>
    </xf>
    <xf numFmtId="49" fontId="6" fillId="36" borderId="18" xfId="10" applyNumberFormat="1" applyFont="1" applyFill="1" applyBorder="1" applyAlignment="1" applyProtection="1">
      <alignment horizontal="left" vertical="center" wrapText="1" shrinkToFit="1"/>
      <protection locked="0"/>
    </xf>
    <xf numFmtId="0" fontId="6" fillId="36" borderId="18" xfId="10" applyFont="1" applyFill="1" applyBorder="1" applyAlignment="1">
      <alignment horizontal="left" vertical="center" shrinkToFit="1"/>
    </xf>
    <xf numFmtId="1" fontId="6" fillId="36" borderId="29" xfId="10" applyNumberFormat="1" applyFont="1" applyFill="1" applyBorder="1" applyAlignment="1">
      <alignment horizontal="right" vertical="center" shrinkToFit="1"/>
    </xf>
    <xf numFmtId="2" fontId="6" fillId="15" borderId="22" xfId="10" applyNumberFormat="1" applyFont="1" applyFill="1" applyBorder="1" applyAlignment="1">
      <alignment horizontal="right" vertical="center" shrinkToFit="1"/>
    </xf>
    <xf numFmtId="2" fontId="6" fillId="7" borderId="18" xfId="10" applyNumberFormat="1" applyFont="1" applyFill="1" applyBorder="1" applyAlignment="1">
      <alignment horizontal="right" vertical="center" shrinkToFit="1"/>
    </xf>
    <xf numFmtId="2" fontId="6" fillId="7" borderId="29" xfId="10" applyNumberFormat="1" applyFont="1" applyFill="1" applyBorder="1" applyAlignment="1">
      <alignment horizontal="right" vertical="center" shrinkToFit="1"/>
    </xf>
    <xf numFmtId="49" fontId="6" fillId="36" borderId="6" xfId="10" applyNumberFormat="1" applyFont="1" applyFill="1" applyBorder="1" applyAlignment="1" applyProtection="1">
      <alignment horizontal="left" vertical="center" wrapText="1" shrinkToFit="1"/>
      <protection locked="0"/>
    </xf>
    <xf numFmtId="2" fontId="6" fillId="15" borderId="23" xfId="10" applyNumberFormat="1" applyFont="1" applyFill="1" applyBorder="1" applyAlignment="1">
      <alignment horizontal="right" vertical="center" shrinkToFit="1"/>
    </xf>
    <xf numFmtId="2" fontId="6" fillId="7" borderId="6" xfId="10" applyNumberFormat="1" applyFont="1" applyFill="1" applyBorder="1" applyAlignment="1">
      <alignment horizontal="right" vertical="center" shrinkToFit="1"/>
    </xf>
    <xf numFmtId="2" fontId="6" fillId="7" borderId="24" xfId="10" applyNumberFormat="1" applyFont="1" applyFill="1" applyBorder="1" applyAlignment="1">
      <alignment horizontal="right" vertical="center" shrinkToFit="1"/>
    </xf>
    <xf numFmtId="49" fontId="6" fillId="36" borderId="23" xfId="10" applyNumberFormat="1" applyFont="1" applyFill="1" applyBorder="1" applyAlignment="1" applyProtection="1">
      <alignment horizontal="left" vertical="center" shrinkToFit="1"/>
      <protection locked="0"/>
    </xf>
    <xf numFmtId="0" fontId="6" fillId="36" borderId="6" xfId="10" applyFont="1" applyFill="1" applyBorder="1" applyAlignment="1">
      <alignment horizontal="left" vertical="center" wrapText="1" shrinkToFit="1"/>
    </xf>
    <xf numFmtId="49" fontId="6" fillId="39" borderId="6" xfId="10" applyNumberFormat="1" applyFont="1" applyFill="1" applyBorder="1" applyAlignment="1" applyProtection="1">
      <alignment horizontal="left" vertical="center" wrapText="1" shrinkToFit="1"/>
      <protection locked="0"/>
    </xf>
    <xf numFmtId="0" fontId="6" fillId="39" borderId="6" xfId="10" applyFont="1" applyFill="1" applyBorder="1" applyAlignment="1">
      <alignment horizontal="left" vertical="center" shrinkToFit="1"/>
    </xf>
    <xf numFmtId="1" fontId="6" fillId="39" borderId="24" xfId="10" applyNumberFormat="1" applyFont="1" applyFill="1" applyBorder="1" applyAlignment="1">
      <alignment horizontal="right" vertical="center" shrinkToFit="1"/>
    </xf>
    <xf numFmtId="0" fontId="6" fillId="36" borderId="56" xfId="10" applyFont="1" applyFill="1" applyBorder="1" applyAlignment="1">
      <alignment horizontal="left" vertical="center" shrinkToFit="1"/>
    </xf>
    <xf numFmtId="2" fontId="6" fillId="36" borderId="27" xfId="10" applyNumberFormat="1" applyFont="1" applyFill="1" applyBorder="1" applyAlignment="1" applyProtection="1">
      <alignment horizontal="left" vertical="center" wrapText="1" shrinkToFit="1"/>
      <protection locked="0"/>
    </xf>
    <xf numFmtId="49" fontId="6" fillId="36" borderId="27" xfId="10" applyNumberFormat="1" applyFont="1" applyFill="1" applyBorder="1" applyAlignment="1">
      <alignment horizontal="left" vertical="center" wrapText="1" shrinkToFit="1"/>
    </xf>
    <xf numFmtId="0" fontId="6" fillId="36" borderId="27" xfId="10" applyFont="1" applyFill="1" applyBorder="1" applyAlignment="1">
      <alignment horizontal="left" vertical="center" shrinkToFit="1"/>
    </xf>
    <xf numFmtId="1" fontId="6" fillId="36" borderId="28" xfId="10" applyNumberFormat="1" applyFont="1" applyFill="1" applyBorder="1" applyAlignment="1">
      <alignment horizontal="right" vertical="center" shrinkToFit="1"/>
    </xf>
    <xf numFmtId="0" fontId="6" fillId="40" borderId="18" xfId="10" applyFont="1" applyFill="1" applyBorder="1" applyAlignment="1">
      <alignment horizontal="left" vertical="center" shrinkToFit="1"/>
    </xf>
    <xf numFmtId="1" fontId="6" fillId="40" borderId="29" xfId="10" applyNumberFormat="1" applyFont="1" applyFill="1" applyBorder="1" applyAlignment="1">
      <alignment horizontal="right" vertical="center" shrinkToFit="1"/>
    </xf>
    <xf numFmtId="0" fontId="6" fillId="40" borderId="6" xfId="10" applyFont="1" applyFill="1" applyBorder="1" applyAlignment="1">
      <alignment horizontal="left" vertical="center" shrinkToFit="1"/>
    </xf>
    <xf numFmtId="1" fontId="6" fillId="40" borderId="24" xfId="10" applyNumberFormat="1" applyFont="1" applyFill="1" applyBorder="1" applyAlignment="1">
      <alignment horizontal="right" vertical="center" shrinkToFit="1"/>
    </xf>
    <xf numFmtId="0" fontId="6" fillId="40" borderId="6" xfId="10" applyFont="1" applyFill="1" applyBorder="1" applyAlignment="1">
      <alignment horizontal="left" vertical="center" wrapText="1" shrinkToFit="1"/>
    </xf>
    <xf numFmtId="0" fontId="6" fillId="40" borderId="23" xfId="10" applyFont="1" applyFill="1" applyBorder="1" applyAlignment="1">
      <alignment horizontal="left" vertical="center" shrinkToFit="1"/>
    </xf>
    <xf numFmtId="49" fontId="6" fillId="40" borderId="6" xfId="10" applyNumberFormat="1" applyFont="1" applyFill="1" applyBorder="1" applyAlignment="1">
      <alignment horizontal="left" vertical="center" wrapText="1" shrinkToFit="1"/>
    </xf>
    <xf numFmtId="166" fontId="6" fillId="3" borderId="23" xfId="10" applyNumberFormat="1" applyFont="1" applyFill="1" applyBorder="1" applyAlignment="1" applyProtection="1">
      <alignment horizontal="right" vertical="center" shrinkToFit="1"/>
      <protection locked="0"/>
    </xf>
    <xf numFmtId="166" fontId="6" fillId="3" borderId="6" xfId="10" applyNumberFormat="1" applyFont="1" applyFill="1" applyBorder="1" applyAlignment="1" applyProtection="1">
      <alignment horizontal="right" vertical="center" shrinkToFit="1"/>
      <protection locked="0"/>
    </xf>
    <xf numFmtId="166" fontId="6" fillId="3" borderId="24" xfId="10" applyNumberFormat="1" applyFont="1" applyFill="1" applyBorder="1" applyAlignment="1" applyProtection="1">
      <alignment horizontal="right" vertical="center" shrinkToFit="1"/>
      <protection locked="0"/>
    </xf>
    <xf numFmtId="0" fontId="6" fillId="40" borderId="56" xfId="10" applyFont="1" applyFill="1" applyBorder="1" applyAlignment="1">
      <alignment horizontal="left" vertical="center" shrinkToFit="1"/>
    </xf>
    <xf numFmtId="0" fontId="6" fillId="40" borderId="27" xfId="10" applyFont="1" applyFill="1" applyBorder="1" applyAlignment="1">
      <alignment horizontal="left" vertical="center" wrapText="1" shrinkToFit="1"/>
    </xf>
    <xf numFmtId="49" fontId="6" fillId="40" borderId="27" xfId="10" applyNumberFormat="1" applyFont="1" applyFill="1" applyBorder="1" applyAlignment="1">
      <alignment horizontal="left" vertical="center" wrapText="1" shrinkToFit="1"/>
    </xf>
    <xf numFmtId="0" fontId="6" fillId="40" borderId="27" xfId="10" applyFont="1" applyFill="1" applyBorder="1" applyAlignment="1">
      <alignment horizontal="left" vertical="center" shrinkToFit="1"/>
    </xf>
    <xf numFmtId="1" fontId="6" fillId="40" borderId="28" xfId="10" applyNumberFormat="1" applyFont="1" applyFill="1" applyBorder="1" applyAlignment="1">
      <alignment horizontal="right" vertical="center" shrinkToFit="1"/>
    </xf>
    <xf numFmtId="166" fontId="6" fillId="3" borderId="56" xfId="10" applyNumberFormat="1" applyFont="1" applyFill="1" applyBorder="1" applyAlignment="1" applyProtection="1">
      <alignment horizontal="right" vertical="center" shrinkToFit="1"/>
      <protection locked="0"/>
    </xf>
    <xf numFmtId="0" fontId="6" fillId="36" borderId="40" xfId="10" applyFont="1" applyFill="1" applyBorder="1" applyAlignment="1" applyProtection="1">
      <alignment horizontal="left" vertical="center" wrapText="1"/>
      <protection locked="0"/>
    </xf>
    <xf numFmtId="0" fontId="6" fillId="36" borderId="13" xfId="10" applyFont="1" applyFill="1" applyBorder="1" applyAlignment="1" applyProtection="1">
      <alignment horizontal="left" vertical="center" wrapText="1"/>
      <protection locked="0"/>
    </xf>
    <xf numFmtId="1" fontId="6" fillId="36" borderId="19" xfId="10" applyNumberFormat="1" applyFont="1" applyFill="1" applyBorder="1" applyAlignment="1" applyProtection="1">
      <alignment horizontal="right" vertical="center" wrapText="1"/>
      <protection locked="0"/>
    </xf>
    <xf numFmtId="2" fontId="6" fillId="3" borderId="40" xfId="10" applyNumberFormat="1" applyFont="1" applyFill="1" applyBorder="1" applyAlignment="1" applyProtection="1">
      <alignment horizontal="right" vertical="center" wrapText="1"/>
      <protection locked="0"/>
    </xf>
    <xf numFmtId="0" fontId="6" fillId="40" borderId="22" xfId="10" applyFont="1" applyFill="1" applyBorder="1" applyAlignment="1" applyProtection="1">
      <alignment horizontal="left" vertical="center" wrapText="1"/>
      <protection locked="0"/>
    </xf>
    <xf numFmtId="0" fontId="6" fillId="40" borderId="18" xfId="10" applyFont="1" applyFill="1" applyBorder="1" applyAlignment="1" applyProtection="1">
      <alignment horizontal="left" vertical="center" wrapText="1"/>
      <protection locked="0"/>
    </xf>
    <xf numFmtId="1" fontId="6" fillId="40" borderId="29" xfId="10" applyNumberFormat="1" applyFont="1" applyFill="1" applyBorder="1" applyAlignment="1" applyProtection="1">
      <alignment horizontal="right" vertical="center" wrapText="1"/>
      <protection locked="0"/>
    </xf>
    <xf numFmtId="2" fontId="6" fillId="15" borderId="17" xfId="10" applyNumberFormat="1" applyFont="1" applyFill="1" applyBorder="1" applyAlignment="1" applyProtection="1">
      <alignment horizontal="right" vertical="center" wrapText="1"/>
      <protection locked="0"/>
    </xf>
    <xf numFmtId="2" fontId="6" fillId="7" borderId="14" xfId="10" applyNumberFormat="1" applyFont="1" applyFill="1" applyBorder="1" applyAlignment="1" applyProtection="1">
      <alignment horizontal="right" vertical="center" wrapText="1"/>
      <protection locked="0"/>
    </xf>
    <xf numFmtId="2" fontId="6" fillId="7" borderId="54" xfId="10" applyNumberFormat="1" applyFont="1" applyFill="1" applyBorder="1" applyAlignment="1" applyProtection="1">
      <alignment horizontal="right" vertical="center" wrapText="1"/>
      <protection locked="0"/>
    </xf>
    <xf numFmtId="0" fontId="6" fillId="40" borderId="23" xfId="10" applyFont="1" applyFill="1" applyBorder="1" applyAlignment="1" applyProtection="1">
      <alignment horizontal="left" vertical="center" wrapText="1"/>
      <protection locked="0"/>
    </xf>
    <xf numFmtId="0" fontId="6" fillId="40" borderId="6" xfId="10" applyFont="1" applyFill="1" applyBorder="1" applyAlignment="1" applyProtection="1">
      <alignment horizontal="left" vertical="center" wrapText="1"/>
      <protection locked="0"/>
    </xf>
    <xf numFmtId="1" fontId="6" fillId="40" borderId="24" xfId="10" applyNumberFormat="1" applyFont="1" applyFill="1" applyBorder="1" applyAlignment="1" applyProtection="1">
      <alignment horizontal="right" vertical="center" wrapText="1"/>
      <protection locked="0"/>
    </xf>
    <xf numFmtId="2" fontId="6" fillId="15" borderId="23" xfId="10" applyNumberFormat="1" applyFont="1" applyFill="1" applyBorder="1" applyAlignment="1" applyProtection="1">
      <alignment horizontal="right" vertical="center" wrapText="1"/>
      <protection locked="0"/>
    </xf>
    <xf numFmtId="2" fontId="6" fillId="7" borderId="6" xfId="10" applyNumberFormat="1" applyFont="1" applyFill="1" applyBorder="1" applyAlignment="1" applyProtection="1">
      <alignment horizontal="right" vertical="center" wrapText="1"/>
      <protection locked="0"/>
    </xf>
    <xf numFmtId="2" fontId="6" fillId="7" borderId="24" xfId="10" applyNumberFormat="1" applyFont="1" applyFill="1" applyBorder="1" applyAlignment="1" applyProtection="1">
      <alignment horizontal="right" vertical="center" wrapText="1"/>
      <protection locked="0"/>
    </xf>
    <xf numFmtId="2" fontId="6" fillId="3" borderId="23" xfId="10" applyNumberFormat="1" applyFont="1" applyFill="1" applyBorder="1" applyAlignment="1" applyProtection="1">
      <alignment horizontal="right" vertical="center" wrapText="1"/>
      <protection locked="0"/>
    </xf>
    <xf numFmtId="2" fontId="6" fillId="3" borderId="6" xfId="10" applyNumberFormat="1" applyFont="1" applyFill="1" applyBorder="1" applyAlignment="1" applyProtection="1">
      <alignment horizontal="right" vertical="center" wrapText="1"/>
      <protection locked="0"/>
    </xf>
    <xf numFmtId="2" fontId="6" fillId="3" borderId="24" xfId="10" applyNumberFormat="1" applyFont="1" applyFill="1" applyBorder="1" applyAlignment="1" applyProtection="1">
      <alignment horizontal="right" vertical="center" wrapText="1"/>
      <protection locked="0"/>
    </xf>
    <xf numFmtId="2" fontId="6" fillId="3" borderId="15" xfId="10" applyNumberFormat="1" applyFont="1" applyFill="1" applyBorder="1" applyAlignment="1" applyProtection="1">
      <alignment horizontal="right" vertical="center" wrapText="1"/>
      <protection locked="0"/>
    </xf>
    <xf numFmtId="2" fontId="6" fillId="3" borderId="25" xfId="10" applyNumberFormat="1" applyFont="1" applyFill="1" applyBorder="1" applyAlignment="1" applyProtection="1">
      <alignment horizontal="right" vertical="center" wrapText="1"/>
      <protection locked="0"/>
    </xf>
    <xf numFmtId="2" fontId="6" fillId="3" borderId="57" xfId="10" applyNumberFormat="1" applyFont="1" applyFill="1" applyBorder="1" applyAlignment="1" applyProtection="1">
      <alignment horizontal="right" vertical="center" wrapText="1"/>
      <protection locked="0"/>
    </xf>
    <xf numFmtId="0" fontId="6" fillId="36" borderId="55" xfId="10" applyFont="1" applyFill="1" applyBorder="1" applyAlignment="1" applyProtection="1">
      <alignment horizontal="left" vertical="center" wrapText="1"/>
      <protection locked="0"/>
    </xf>
    <xf numFmtId="0" fontId="6" fillId="36" borderId="52" xfId="10" applyFont="1" applyFill="1" applyBorder="1" applyAlignment="1" applyProtection="1">
      <alignment horizontal="left" vertical="center" wrapText="1"/>
      <protection locked="0"/>
    </xf>
    <xf numFmtId="49" fontId="6" fillId="36" borderId="52" xfId="10" applyNumberFormat="1" applyFont="1" applyFill="1" applyBorder="1" applyAlignment="1" applyProtection="1">
      <alignment horizontal="left" vertical="center" wrapText="1" shrinkToFit="1"/>
      <protection locked="0"/>
    </xf>
    <xf numFmtId="1" fontId="6" fillId="36" borderId="53" xfId="10" applyNumberFormat="1" applyFont="1" applyFill="1" applyBorder="1" applyAlignment="1" applyProtection="1">
      <alignment horizontal="right" vertical="center" wrapText="1"/>
      <protection locked="0"/>
    </xf>
    <xf numFmtId="2" fontId="6" fillId="3" borderId="55" xfId="10" applyNumberFormat="1" applyFont="1" applyFill="1" applyBorder="1" applyAlignment="1" applyProtection="1">
      <alignment horizontal="right" vertical="center" wrapText="1"/>
      <protection locked="0"/>
    </xf>
    <xf numFmtId="2" fontId="6" fillId="3" borderId="52" xfId="10" applyNumberFormat="1" applyFont="1" applyFill="1" applyBorder="1" applyAlignment="1" applyProtection="1">
      <alignment horizontal="right" vertical="center" wrapText="1"/>
      <protection locked="0"/>
    </xf>
    <xf numFmtId="2" fontId="6" fillId="3" borderId="53" xfId="10" applyNumberFormat="1" applyFont="1" applyFill="1" applyBorder="1" applyAlignment="1" applyProtection="1">
      <alignment horizontal="right" vertical="center" wrapText="1"/>
      <protection locked="0"/>
    </xf>
    <xf numFmtId="0" fontId="6" fillId="0" borderId="2"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1" fontId="6" fillId="0" borderId="0" xfId="10" applyNumberFormat="1" applyFont="1" applyAlignment="1" applyProtection="1">
      <alignment horizontal="left" vertical="center" wrapText="1"/>
      <protection locked="0"/>
    </xf>
    <xf numFmtId="2" fontId="6" fillId="0" borderId="0" xfId="10" applyNumberFormat="1" applyFont="1" applyAlignment="1" applyProtection="1">
      <alignment horizontal="left" vertical="center" wrapText="1"/>
      <protection locked="0"/>
    </xf>
    <xf numFmtId="0" fontId="8" fillId="28" borderId="39" xfId="10" applyFont="1" applyFill="1" applyBorder="1" applyAlignment="1" applyProtection="1">
      <alignment horizontal="left" vertical="center" wrapText="1"/>
      <protection locked="0"/>
    </xf>
    <xf numFmtId="1" fontId="8" fillId="29" borderId="30" xfId="10" applyNumberFormat="1" applyFont="1" applyFill="1" applyBorder="1" applyAlignment="1" applyProtection="1">
      <alignment horizontal="left" vertical="center" wrapText="1"/>
      <protection locked="0"/>
    </xf>
    <xf numFmtId="1" fontId="8" fillId="29" borderId="176" xfId="10" applyNumberFormat="1" applyFont="1" applyFill="1" applyBorder="1" applyAlignment="1" applyProtection="1">
      <alignment horizontal="left" vertical="center" wrapText="1"/>
      <protection locked="0"/>
    </xf>
    <xf numFmtId="1" fontId="8" fillId="29" borderId="177" xfId="10" applyNumberFormat="1" applyFont="1" applyFill="1" applyBorder="1" applyAlignment="1" applyProtection="1">
      <alignment horizontal="left" vertical="center" wrapText="1"/>
      <protection locked="0"/>
    </xf>
    <xf numFmtId="1" fontId="8" fillId="29" borderId="70" xfId="10" applyNumberFormat="1" applyFont="1" applyFill="1" applyBorder="1" applyAlignment="1" applyProtection="1">
      <alignment horizontal="left" vertical="center" wrapText="1"/>
      <protection locked="0"/>
    </xf>
    <xf numFmtId="1" fontId="8" fillId="29" borderId="178" xfId="10" applyNumberFormat="1" applyFont="1" applyFill="1" applyBorder="1" applyAlignment="1" applyProtection="1">
      <alignment horizontal="left" vertical="center" wrapText="1"/>
      <protection locked="0"/>
    </xf>
    <xf numFmtId="2" fontId="6" fillId="41" borderId="17" xfId="10" applyNumberFormat="1" applyFont="1" applyFill="1" applyBorder="1" applyAlignment="1">
      <alignment horizontal="left" vertical="center" wrapText="1"/>
    </xf>
    <xf numFmtId="2" fontId="6" fillId="41" borderId="14" xfId="10" applyNumberFormat="1" applyFont="1" applyFill="1" applyBorder="1" applyAlignment="1">
      <alignment horizontal="left" vertical="center" wrapText="1"/>
    </xf>
    <xf numFmtId="1" fontId="6" fillId="41" borderId="54" xfId="10" applyNumberFormat="1" applyFont="1" applyFill="1" applyBorder="1" applyAlignment="1" applyProtection="1">
      <alignment horizontal="right" vertical="center" wrapText="1"/>
      <protection locked="0"/>
    </xf>
    <xf numFmtId="2" fontId="6" fillId="15" borderId="21" xfId="10" applyNumberFormat="1" applyFont="1" applyFill="1" applyBorder="1" applyAlignment="1" applyProtection="1">
      <alignment horizontal="right" vertical="center" wrapText="1"/>
      <protection locked="0"/>
    </xf>
    <xf numFmtId="2" fontId="6" fillId="15" borderId="18" xfId="10" applyNumberFormat="1" applyFont="1" applyFill="1" applyBorder="1" applyAlignment="1" applyProtection="1">
      <alignment horizontal="right" vertical="center" wrapText="1"/>
      <protection locked="0"/>
    </xf>
    <xf numFmtId="2" fontId="6" fillId="0" borderId="18" xfId="10" applyNumberFormat="1" applyFont="1" applyBorder="1" applyAlignment="1" applyProtection="1">
      <alignment horizontal="right" vertical="center" wrapText="1"/>
      <protection locked="0"/>
    </xf>
    <xf numFmtId="2" fontId="6" fillId="0" borderId="6" xfId="10" applyNumberFormat="1" applyFont="1" applyBorder="1" applyAlignment="1" applyProtection="1">
      <alignment horizontal="right" vertical="center" wrapText="1"/>
      <protection locked="0"/>
    </xf>
    <xf numFmtId="2" fontId="6" fillId="0" borderId="34" xfId="10" applyNumberFormat="1" applyFont="1" applyBorder="1" applyAlignment="1" applyProtection="1">
      <alignment horizontal="right" vertical="center" wrapText="1"/>
      <protection locked="0"/>
    </xf>
    <xf numFmtId="2" fontId="6" fillId="41" borderId="23" xfId="10" applyNumberFormat="1" applyFont="1" applyFill="1" applyBorder="1" applyAlignment="1">
      <alignment horizontal="left" vertical="center" wrapText="1"/>
    </xf>
    <xf numFmtId="2" fontId="6" fillId="41" borderId="6" xfId="10" applyNumberFormat="1" applyFont="1" applyFill="1" applyBorder="1" applyAlignment="1">
      <alignment horizontal="left" vertical="center" wrapText="1"/>
    </xf>
    <xf numFmtId="1" fontId="6" fillId="41" borderId="24" xfId="10" applyNumberFormat="1" applyFont="1" applyFill="1" applyBorder="1" applyAlignment="1" applyProtection="1">
      <alignment horizontal="right" vertical="center" wrapText="1"/>
      <protection locked="0"/>
    </xf>
    <xf numFmtId="2" fontId="6" fillId="15" borderId="8" xfId="10" applyNumberFormat="1" applyFont="1" applyFill="1" applyBorder="1" applyAlignment="1" applyProtection="1">
      <alignment horizontal="right" vertical="center" wrapText="1"/>
      <protection locked="0"/>
    </xf>
    <xf numFmtId="2" fontId="6" fillId="15" borderId="6" xfId="10" applyNumberFormat="1" applyFont="1" applyFill="1" applyBorder="1" applyAlignment="1" applyProtection="1">
      <alignment horizontal="right" vertical="center" wrapText="1"/>
      <protection locked="0"/>
    </xf>
    <xf numFmtId="0" fontId="6" fillId="41" borderId="23" xfId="10" applyFont="1" applyFill="1" applyBorder="1" applyAlignment="1" applyProtection="1">
      <alignment horizontal="left" vertical="center" wrapText="1" shrinkToFit="1"/>
      <protection locked="0"/>
    </xf>
    <xf numFmtId="0" fontId="6" fillId="41" borderId="6" xfId="10" applyFont="1" applyFill="1" applyBorder="1" applyAlignment="1" applyProtection="1">
      <alignment horizontal="left" vertical="center" wrapText="1" shrinkToFit="1"/>
      <protection locked="0"/>
    </xf>
    <xf numFmtId="0" fontId="6" fillId="41" borderId="23" xfId="10" applyFont="1" applyFill="1" applyBorder="1" applyAlignment="1" applyProtection="1">
      <alignment horizontal="left" vertical="center" wrapText="1"/>
      <protection locked="0"/>
    </xf>
    <xf numFmtId="0" fontId="6" fillId="41" borderId="6" xfId="10" applyFont="1" applyFill="1" applyBorder="1" applyAlignment="1" applyProtection="1">
      <alignment horizontal="left" vertical="center" wrapText="1"/>
      <protection locked="0"/>
    </xf>
    <xf numFmtId="49" fontId="6" fillId="41" borderId="6" xfId="10" applyNumberFormat="1" applyFont="1" applyFill="1" applyBorder="1" applyAlignment="1" applyProtection="1">
      <alignment horizontal="left" vertical="center" wrapText="1" shrinkToFit="1"/>
      <protection locked="0"/>
    </xf>
    <xf numFmtId="1" fontId="6" fillId="41" borderId="34" xfId="10" applyNumberFormat="1" applyFont="1" applyFill="1" applyBorder="1" applyAlignment="1" applyProtection="1">
      <alignment horizontal="right" vertical="center" wrapText="1"/>
      <protection locked="0"/>
    </xf>
    <xf numFmtId="2" fontId="6" fillId="41" borderId="56" xfId="10" applyNumberFormat="1" applyFont="1" applyFill="1" applyBorder="1" applyAlignment="1">
      <alignment horizontal="left" vertical="center" wrapText="1"/>
    </xf>
    <xf numFmtId="2" fontId="6" fillId="41" borderId="27" xfId="10" applyNumberFormat="1" applyFont="1" applyFill="1" applyBorder="1" applyAlignment="1">
      <alignment horizontal="left" vertical="center" wrapText="1"/>
    </xf>
    <xf numFmtId="1" fontId="6" fillId="41" borderId="68" xfId="10" applyNumberFormat="1" applyFont="1" applyFill="1" applyBorder="1" applyAlignment="1" applyProtection="1">
      <alignment horizontal="right" vertical="center" wrapText="1"/>
      <protection locked="0"/>
    </xf>
    <xf numFmtId="2" fontId="6" fillId="15" borderId="26" xfId="10" applyNumberFormat="1" applyFont="1" applyFill="1" applyBorder="1" applyAlignment="1" applyProtection="1">
      <alignment horizontal="right" vertical="center" wrapText="1"/>
      <protection locked="0"/>
    </xf>
    <xf numFmtId="2" fontId="6" fillId="15" borderId="27" xfId="10" applyNumberFormat="1" applyFont="1" applyFill="1" applyBorder="1" applyAlignment="1" applyProtection="1">
      <alignment horizontal="right" vertical="center" wrapText="1"/>
      <protection locked="0"/>
    </xf>
    <xf numFmtId="2" fontId="6" fillId="0" borderId="27" xfId="10" applyNumberFormat="1" applyFont="1" applyBorder="1" applyAlignment="1" applyProtection="1">
      <alignment horizontal="right" vertical="center" wrapText="1"/>
      <protection locked="0"/>
    </xf>
    <xf numFmtId="2" fontId="6" fillId="0" borderId="68" xfId="10" applyNumberFormat="1" applyFont="1" applyBorder="1" applyAlignment="1" applyProtection="1">
      <alignment horizontal="right" vertical="center" wrapText="1"/>
      <protection locked="0"/>
    </xf>
    <xf numFmtId="0" fontId="6" fillId="29" borderId="22" xfId="10" applyFont="1" applyFill="1" applyBorder="1" applyAlignment="1" applyProtection="1">
      <alignment horizontal="left" vertical="center" wrapText="1"/>
      <protection locked="0"/>
    </xf>
    <xf numFmtId="0" fontId="6" fillId="29" borderId="18" xfId="10" applyFont="1" applyFill="1" applyBorder="1" applyAlignment="1" applyProtection="1">
      <alignment horizontal="left" vertical="center" wrapText="1"/>
      <protection locked="0"/>
    </xf>
    <xf numFmtId="49" fontId="6" fillId="29" borderId="18" xfId="10" applyNumberFormat="1" applyFont="1" applyFill="1" applyBorder="1" applyAlignment="1" applyProtection="1">
      <alignment horizontal="left" vertical="center" wrapText="1" shrinkToFit="1"/>
      <protection locked="0"/>
    </xf>
    <xf numFmtId="1" fontId="6" fillId="29" borderId="50" xfId="10" applyNumberFormat="1" applyFont="1" applyFill="1" applyBorder="1" applyAlignment="1" applyProtection="1">
      <alignment horizontal="right" vertical="center" wrapText="1"/>
      <protection locked="0"/>
    </xf>
    <xf numFmtId="2" fontId="6" fillId="0" borderId="50" xfId="10" applyNumberFormat="1" applyFont="1" applyBorder="1" applyAlignment="1" applyProtection="1">
      <alignment horizontal="right" vertical="center" wrapText="1"/>
      <protection locked="0"/>
    </xf>
    <xf numFmtId="0" fontId="6" fillId="29" borderId="23" xfId="10" applyFont="1" applyFill="1" applyBorder="1" applyAlignment="1" applyProtection="1">
      <alignment horizontal="left" vertical="center" wrapText="1"/>
      <protection locked="0"/>
    </xf>
    <xf numFmtId="0" fontId="6" fillId="29" borderId="6" xfId="10" applyFont="1" applyFill="1" applyBorder="1" applyAlignment="1" applyProtection="1">
      <alignment horizontal="left" vertical="center" wrapText="1"/>
      <protection locked="0"/>
    </xf>
    <xf numFmtId="49" fontId="6" fillId="29" borderId="6" xfId="10" applyNumberFormat="1" applyFont="1" applyFill="1" applyBorder="1" applyAlignment="1" applyProtection="1">
      <alignment horizontal="left" vertical="center" wrapText="1" shrinkToFit="1"/>
      <protection locked="0"/>
    </xf>
    <xf numFmtId="1" fontId="6" fillId="29" borderId="34" xfId="10" applyNumberFormat="1" applyFont="1" applyFill="1" applyBorder="1" applyAlignment="1" applyProtection="1">
      <alignment horizontal="right" vertical="center" wrapText="1"/>
      <protection locked="0"/>
    </xf>
    <xf numFmtId="2" fontId="6" fillId="29" borderId="15" xfId="10" applyNumberFormat="1" applyFont="1" applyFill="1" applyBorder="1" applyAlignment="1">
      <alignment horizontal="left" vertical="center" wrapText="1"/>
    </xf>
    <xf numFmtId="2" fontId="6" fillId="29" borderId="25" xfId="10" applyNumberFormat="1" applyFont="1" applyFill="1" applyBorder="1" applyAlignment="1">
      <alignment horizontal="left" vertical="center" wrapText="1"/>
    </xf>
    <xf numFmtId="1" fontId="6" fillId="29" borderId="49" xfId="10" applyNumberFormat="1" applyFont="1" applyFill="1" applyBorder="1" applyAlignment="1" applyProtection="1">
      <alignment horizontal="right" vertical="center" wrapText="1"/>
      <protection locked="0"/>
    </xf>
    <xf numFmtId="2" fontId="6" fillId="15" borderId="31" xfId="10" applyNumberFormat="1" applyFont="1" applyFill="1" applyBorder="1" applyAlignment="1" applyProtection="1">
      <alignment horizontal="right" vertical="center" wrapText="1"/>
      <protection locked="0"/>
    </xf>
    <xf numFmtId="2" fontId="6" fillId="15" borderId="25" xfId="10" applyNumberFormat="1" applyFont="1" applyFill="1" applyBorder="1" applyAlignment="1" applyProtection="1">
      <alignment horizontal="right" vertical="center" wrapText="1"/>
      <protection locked="0"/>
    </xf>
    <xf numFmtId="2" fontId="6" fillId="0" borderId="25" xfId="10" applyNumberFormat="1" applyFont="1" applyBorder="1" applyAlignment="1" applyProtection="1">
      <alignment horizontal="right" vertical="center" wrapText="1"/>
      <protection locked="0"/>
    </xf>
    <xf numFmtId="2" fontId="6" fillId="0" borderId="49" xfId="10" applyNumberFormat="1" applyFont="1" applyBorder="1" applyAlignment="1" applyProtection="1">
      <alignment horizontal="right" vertical="center" wrapText="1"/>
      <protection locked="0"/>
    </xf>
    <xf numFmtId="0" fontId="6" fillId="41" borderId="22" xfId="10" applyFont="1" applyFill="1" applyBorder="1" applyAlignment="1" applyProtection="1">
      <alignment horizontal="left" vertical="center" wrapText="1"/>
      <protection locked="0"/>
    </xf>
    <xf numFmtId="0" fontId="6" fillId="41" borderId="18" xfId="10" applyFont="1" applyFill="1" applyBorder="1" applyAlignment="1" applyProtection="1">
      <alignment horizontal="left" vertical="center" wrapText="1"/>
      <protection locked="0"/>
    </xf>
    <xf numFmtId="49" fontId="6" fillId="41" borderId="18" xfId="10" applyNumberFormat="1" applyFont="1" applyFill="1" applyBorder="1" applyAlignment="1" applyProtection="1">
      <alignment horizontal="left" vertical="center" wrapText="1" shrinkToFit="1"/>
      <protection locked="0"/>
    </xf>
    <xf numFmtId="1" fontId="6" fillId="41" borderId="50" xfId="10" applyNumberFormat="1" applyFont="1" applyFill="1" applyBorder="1" applyAlignment="1" applyProtection="1">
      <alignment horizontal="right" vertical="center" wrapText="1"/>
      <protection locked="0"/>
    </xf>
    <xf numFmtId="2" fontId="6" fillId="41" borderId="15" xfId="10" applyNumberFormat="1" applyFont="1" applyFill="1" applyBorder="1" applyAlignment="1">
      <alignment horizontal="left" vertical="center" wrapText="1"/>
    </xf>
    <xf numFmtId="2" fontId="6" fillId="41" borderId="25" xfId="10" applyNumberFormat="1" applyFont="1" applyFill="1" applyBorder="1" applyAlignment="1">
      <alignment horizontal="left" vertical="center" wrapText="1"/>
    </xf>
    <xf numFmtId="1" fontId="6" fillId="41" borderId="49" xfId="10" applyNumberFormat="1" applyFont="1" applyFill="1" applyBorder="1" applyAlignment="1" applyProtection="1">
      <alignment horizontal="right" vertical="center" wrapText="1"/>
      <protection locked="0"/>
    </xf>
    <xf numFmtId="2" fontId="6" fillId="0" borderId="0" xfId="10" applyNumberFormat="1" applyFont="1" applyAlignment="1">
      <alignment horizontal="left" vertical="center" wrapText="1"/>
    </xf>
    <xf numFmtId="1" fontId="8" fillId="29" borderId="16" xfId="10" applyNumberFormat="1" applyFont="1" applyFill="1" applyBorder="1" applyAlignment="1" applyProtection="1">
      <alignment horizontal="left" vertical="center" wrapText="1"/>
      <protection locked="0"/>
    </xf>
    <xf numFmtId="1" fontId="8" fillId="29" borderId="47" xfId="10" applyNumberFormat="1" applyFont="1" applyFill="1" applyBorder="1" applyAlignment="1" applyProtection="1">
      <alignment horizontal="left" vertical="center" wrapText="1"/>
      <protection locked="0"/>
    </xf>
    <xf numFmtId="1" fontId="8" fillId="29" borderId="66" xfId="10" applyNumberFormat="1" applyFont="1" applyFill="1" applyBorder="1" applyAlignment="1" applyProtection="1">
      <alignment horizontal="left" vertical="center" wrapText="1"/>
      <protection locked="0"/>
    </xf>
    <xf numFmtId="0" fontId="6" fillId="38" borderId="22" xfId="10" applyFont="1" applyFill="1" applyBorder="1" applyAlignment="1">
      <alignment horizontal="left" vertical="center" shrinkToFit="1"/>
    </xf>
    <xf numFmtId="0" fontId="6" fillId="38" borderId="18" xfId="10" applyFont="1" applyFill="1" applyBorder="1" applyAlignment="1" applyProtection="1">
      <alignment horizontal="left" vertical="center" wrapText="1" shrinkToFit="1"/>
      <protection locked="0"/>
    </xf>
    <xf numFmtId="49" fontId="6" fillId="38" borderId="18" xfId="10" applyNumberFormat="1" applyFont="1" applyFill="1" applyBorder="1" applyAlignment="1" applyProtection="1">
      <alignment horizontal="left" vertical="center" wrapText="1" shrinkToFit="1"/>
      <protection locked="0"/>
    </xf>
    <xf numFmtId="0" fontId="6" fillId="38" borderId="18" xfId="10" applyFont="1" applyFill="1" applyBorder="1" applyAlignment="1" applyProtection="1">
      <alignment horizontal="left" vertical="center" shrinkToFit="1"/>
      <protection locked="0"/>
    </xf>
    <xf numFmtId="1" fontId="6" fillId="38" borderId="29" xfId="10" applyNumberFormat="1" applyFont="1" applyFill="1" applyBorder="1" applyAlignment="1" applyProtection="1">
      <alignment horizontal="right" vertical="center" shrinkToFit="1"/>
      <protection locked="0"/>
    </xf>
    <xf numFmtId="2" fontId="6" fillId="0" borderId="18" xfId="10" applyNumberFormat="1" applyFont="1" applyBorder="1" applyAlignment="1" applyProtection="1">
      <alignment horizontal="right" vertical="center" shrinkToFit="1"/>
      <protection locked="0"/>
    </xf>
    <xf numFmtId="2" fontId="6" fillId="0" borderId="29" xfId="10" applyNumberFormat="1" applyFont="1" applyBorder="1" applyAlignment="1" applyProtection="1">
      <alignment horizontal="right" vertical="center" shrinkToFit="1"/>
      <protection locked="0"/>
    </xf>
    <xf numFmtId="49" fontId="6" fillId="38" borderId="23" xfId="10" applyNumberFormat="1" applyFont="1" applyFill="1" applyBorder="1" applyAlignment="1" applyProtection="1">
      <alignment horizontal="left" vertical="center" shrinkToFit="1"/>
      <protection locked="0"/>
    </xf>
    <xf numFmtId="0" fontId="6" fillId="38" borderId="6" xfId="10" applyFont="1" applyFill="1" applyBorder="1" applyAlignment="1" applyProtection="1">
      <alignment horizontal="left" vertical="center" wrapText="1" shrinkToFit="1"/>
      <protection locked="0"/>
    </xf>
    <xf numFmtId="49" fontId="6" fillId="38" borderId="6" xfId="10" applyNumberFormat="1" applyFont="1" applyFill="1" applyBorder="1" applyAlignment="1" applyProtection="1">
      <alignment horizontal="left" vertical="center" wrapText="1" shrinkToFit="1"/>
      <protection locked="0"/>
    </xf>
    <xf numFmtId="0" fontId="6" fillId="38" borderId="6" xfId="10" applyFont="1" applyFill="1" applyBorder="1" applyAlignment="1" applyProtection="1">
      <alignment horizontal="left" vertical="center" shrinkToFit="1"/>
      <protection locked="0"/>
    </xf>
    <xf numFmtId="1" fontId="6" fillId="38" borderId="24" xfId="10" applyNumberFormat="1" applyFont="1" applyFill="1" applyBorder="1" applyAlignment="1" applyProtection="1">
      <alignment horizontal="right" vertical="center" shrinkToFit="1"/>
      <protection locked="0"/>
    </xf>
    <xf numFmtId="2" fontId="6" fillId="9" borderId="6" xfId="10" applyNumberFormat="1" applyFont="1" applyFill="1" applyBorder="1" applyAlignment="1" applyProtection="1">
      <alignment horizontal="right" vertical="center" shrinkToFit="1"/>
      <protection locked="0"/>
    </xf>
    <xf numFmtId="2" fontId="6" fillId="9" borderId="24" xfId="10" applyNumberFormat="1" applyFont="1" applyFill="1" applyBorder="1" applyAlignment="1" applyProtection="1">
      <alignment horizontal="right" vertical="center" shrinkToFit="1"/>
      <protection locked="0"/>
    </xf>
    <xf numFmtId="0" fontId="6" fillId="38" borderId="23" xfId="10" applyFont="1" applyFill="1" applyBorder="1" applyAlignment="1" applyProtection="1">
      <alignment horizontal="left" vertical="center" shrinkToFit="1"/>
      <protection locked="0"/>
    </xf>
    <xf numFmtId="2" fontId="6" fillId="38" borderId="6" xfId="10" applyNumberFormat="1" applyFont="1" applyFill="1" applyBorder="1" applyAlignment="1">
      <alignment horizontal="left" vertical="center" wrapText="1"/>
    </xf>
    <xf numFmtId="2" fontId="6" fillId="38" borderId="23" xfId="10" applyNumberFormat="1" applyFont="1" applyFill="1" applyBorder="1" applyAlignment="1" applyProtection="1">
      <alignment horizontal="left" vertical="center" shrinkToFit="1"/>
      <protection locked="0"/>
    </xf>
    <xf numFmtId="2" fontId="6" fillId="38" borderId="6" xfId="10" applyNumberFormat="1" applyFont="1" applyFill="1" applyBorder="1" applyAlignment="1" applyProtection="1">
      <alignment horizontal="left" vertical="center" wrapText="1" shrinkToFit="1"/>
      <protection locked="0"/>
    </xf>
    <xf numFmtId="2" fontId="6" fillId="38" borderId="6" xfId="10" applyNumberFormat="1" applyFont="1" applyFill="1" applyBorder="1" applyAlignment="1" applyProtection="1">
      <alignment horizontal="left" vertical="center" shrinkToFit="1"/>
      <protection locked="0"/>
    </xf>
    <xf numFmtId="2" fontId="6" fillId="38" borderId="56" xfId="10" applyNumberFormat="1" applyFont="1" applyFill="1" applyBorder="1" applyAlignment="1" applyProtection="1">
      <alignment horizontal="left" vertical="center" shrinkToFit="1"/>
      <protection locked="0"/>
    </xf>
    <xf numFmtId="2" fontId="6" fillId="38" borderId="27" xfId="10" applyNumberFormat="1" applyFont="1" applyFill="1" applyBorder="1" applyAlignment="1" applyProtection="1">
      <alignment horizontal="left" vertical="center" wrapText="1" shrinkToFit="1"/>
      <protection locked="0"/>
    </xf>
    <xf numFmtId="2" fontId="6" fillId="38" borderId="27" xfId="10" applyNumberFormat="1" applyFont="1" applyFill="1" applyBorder="1" applyAlignment="1" applyProtection="1">
      <alignment horizontal="left" vertical="center" shrinkToFit="1"/>
      <protection locked="0"/>
    </xf>
    <xf numFmtId="1" fontId="6" fillId="38" borderId="28" xfId="10" applyNumberFormat="1" applyFont="1" applyFill="1" applyBorder="1" applyAlignment="1" applyProtection="1">
      <alignment horizontal="right" vertical="center" shrinkToFit="1"/>
      <protection locked="0"/>
    </xf>
    <xf numFmtId="2" fontId="6" fillId="9" borderId="56" xfId="10" applyNumberFormat="1" applyFont="1" applyFill="1" applyBorder="1" applyAlignment="1" applyProtection="1">
      <alignment horizontal="right" vertical="center" shrinkToFit="1"/>
      <protection locked="0"/>
    </xf>
    <xf numFmtId="0" fontId="6" fillId="29" borderId="22" xfId="10" applyFont="1" applyFill="1" applyBorder="1" applyAlignment="1">
      <alignment horizontal="left" vertical="center" shrinkToFit="1"/>
    </xf>
    <xf numFmtId="0" fontId="6" fillId="29" borderId="18" xfId="10" applyFont="1" applyFill="1" applyBorder="1" applyAlignment="1" applyProtection="1">
      <alignment horizontal="left" vertical="center" wrapText="1" shrinkToFit="1"/>
      <protection locked="0"/>
    </xf>
    <xf numFmtId="49" fontId="6" fillId="29" borderId="18" xfId="10" applyNumberFormat="1" applyFont="1" applyFill="1" applyBorder="1" applyAlignment="1">
      <alignment horizontal="left" vertical="center" wrapText="1" shrinkToFit="1"/>
    </xf>
    <xf numFmtId="0" fontId="6" fillId="29" borderId="18" xfId="10" applyFont="1" applyFill="1" applyBorder="1" applyAlignment="1" applyProtection="1">
      <alignment horizontal="left" vertical="center" shrinkToFit="1"/>
      <protection locked="0"/>
    </xf>
    <xf numFmtId="1" fontId="6" fillId="29" borderId="29" xfId="10" applyNumberFormat="1" applyFont="1" applyFill="1" applyBorder="1" applyAlignment="1" applyProtection="1">
      <alignment horizontal="right" vertical="center" shrinkToFit="1"/>
      <protection locked="0"/>
    </xf>
    <xf numFmtId="2" fontId="6" fillId="9" borderId="22" xfId="10" applyNumberFormat="1" applyFont="1" applyFill="1" applyBorder="1" applyAlignment="1" applyProtection="1">
      <alignment horizontal="right" vertical="center" shrinkToFit="1"/>
      <protection locked="0"/>
    </xf>
    <xf numFmtId="2" fontId="6" fillId="9" borderId="18" xfId="10" applyNumberFormat="1" applyFont="1" applyFill="1" applyBorder="1" applyAlignment="1" applyProtection="1">
      <alignment horizontal="right" vertical="center" shrinkToFit="1"/>
      <protection locked="0"/>
    </xf>
    <xf numFmtId="2" fontId="6" fillId="9" borderId="29" xfId="10" applyNumberFormat="1" applyFont="1" applyFill="1" applyBorder="1" applyAlignment="1" applyProtection="1">
      <alignment horizontal="right" vertical="center" shrinkToFit="1"/>
      <protection locked="0"/>
    </xf>
    <xf numFmtId="0" fontId="6" fillId="29" borderId="23" xfId="10" applyFont="1" applyFill="1" applyBorder="1" applyAlignment="1" applyProtection="1">
      <alignment horizontal="left" vertical="center" shrinkToFit="1"/>
      <protection locked="0"/>
    </xf>
    <xf numFmtId="2" fontId="6" fillId="29" borderId="6" xfId="10" applyNumberFormat="1" applyFont="1" applyFill="1" applyBorder="1" applyAlignment="1">
      <alignment horizontal="left" vertical="center" wrapText="1"/>
    </xf>
    <xf numFmtId="49" fontId="6" fillId="29" borderId="6" xfId="10" applyNumberFormat="1" applyFont="1" applyFill="1" applyBorder="1" applyAlignment="1">
      <alignment horizontal="left" vertical="center" wrapText="1" shrinkToFit="1"/>
    </xf>
    <xf numFmtId="0" fontId="6" fillId="29" borderId="6" xfId="10" applyFont="1" applyFill="1" applyBorder="1" applyAlignment="1" applyProtection="1">
      <alignment horizontal="left" vertical="center" shrinkToFit="1"/>
      <protection locked="0"/>
    </xf>
    <xf numFmtId="1" fontId="6" fillId="29" borderId="24" xfId="10" applyNumberFormat="1" applyFont="1" applyFill="1" applyBorder="1" applyAlignment="1" applyProtection="1">
      <alignment horizontal="right" vertical="center" shrinkToFit="1"/>
      <protection locked="0"/>
    </xf>
    <xf numFmtId="166" fontId="6" fillId="9" borderId="23" xfId="10" applyNumberFormat="1" applyFont="1" applyFill="1" applyBorder="1" applyAlignment="1" applyProtection="1">
      <alignment horizontal="right" vertical="center" shrinkToFit="1"/>
      <protection locked="0"/>
    </xf>
    <xf numFmtId="166" fontId="6" fillId="9" borderId="6" xfId="10" applyNumberFormat="1" applyFont="1" applyFill="1" applyBorder="1" applyAlignment="1" applyProtection="1">
      <alignment horizontal="right" vertical="center" shrinkToFit="1"/>
      <protection locked="0"/>
    </xf>
    <xf numFmtId="166" fontId="6" fillId="9" borderId="24" xfId="10" applyNumberFormat="1" applyFont="1" applyFill="1" applyBorder="1" applyAlignment="1" applyProtection="1">
      <alignment horizontal="right" vertical="center" shrinkToFit="1"/>
      <protection locked="0"/>
    </xf>
    <xf numFmtId="0" fontId="6" fillId="29" borderId="6" xfId="10" applyFont="1" applyFill="1" applyBorder="1" applyAlignment="1" applyProtection="1">
      <alignment horizontal="left" vertical="center" wrapText="1" shrinkToFit="1"/>
      <protection locked="0"/>
    </xf>
    <xf numFmtId="49" fontId="6" fillId="29" borderId="6" xfId="10" applyNumberFormat="1" applyFont="1" applyFill="1" applyBorder="1" applyAlignment="1">
      <alignment horizontal="left" vertical="center" wrapText="1"/>
    </xf>
    <xf numFmtId="0" fontId="6" fillId="29" borderId="6" xfId="10" applyFont="1" applyFill="1" applyBorder="1" applyAlignment="1">
      <alignment horizontal="left" vertical="center" shrinkToFit="1"/>
    </xf>
    <xf numFmtId="1" fontId="6" fillId="29" borderId="24" xfId="10" applyNumberFormat="1" applyFont="1" applyFill="1" applyBorder="1" applyAlignment="1">
      <alignment horizontal="right" vertical="center" shrinkToFit="1"/>
    </xf>
    <xf numFmtId="165" fontId="6" fillId="9" borderId="23" xfId="10" applyNumberFormat="1" applyFont="1" applyFill="1" applyBorder="1" applyAlignment="1" applyProtection="1">
      <alignment horizontal="right" vertical="center" shrinkToFit="1"/>
      <protection locked="0"/>
    </xf>
    <xf numFmtId="165" fontId="6" fillId="9" borderId="6" xfId="10" applyNumberFormat="1" applyFont="1" applyFill="1" applyBorder="1" applyAlignment="1" applyProtection="1">
      <alignment horizontal="right" vertical="center" shrinkToFit="1"/>
      <protection locked="0"/>
    </xf>
    <xf numFmtId="165" fontId="6" fillId="9" borderId="24" xfId="10" applyNumberFormat="1" applyFont="1" applyFill="1" applyBorder="1" applyAlignment="1" applyProtection="1">
      <alignment horizontal="right" vertical="center" shrinkToFit="1"/>
      <protection locked="0"/>
    </xf>
    <xf numFmtId="0" fontId="6" fillId="29" borderId="56" xfId="10" applyFont="1" applyFill="1" applyBorder="1" applyAlignment="1" applyProtection="1">
      <alignment horizontal="left" vertical="center" shrinkToFit="1"/>
      <protection locked="0"/>
    </xf>
    <xf numFmtId="0" fontId="6" fillId="29" borderId="27" xfId="10" applyFont="1" applyFill="1" applyBorder="1" applyAlignment="1" applyProtection="1">
      <alignment horizontal="left" vertical="center" wrapText="1" shrinkToFit="1"/>
      <protection locked="0"/>
    </xf>
    <xf numFmtId="49" fontId="6" fillId="29" borderId="27" xfId="10" applyNumberFormat="1" applyFont="1" applyFill="1" applyBorder="1" applyAlignment="1" applyProtection="1">
      <alignment horizontal="left" vertical="center" wrapText="1" shrinkToFit="1"/>
      <protection locked="0"/>
    </xf>
    <xf numFmtId="0" fontId="6" fillId="29" borderId="27" xfId="10" applyFont="1" applyFill="1" applyBorder="1" applyAlignment="1" applyProtection="1">
      <alignment horizontal="left" vertical="center" shrinkToFit="1"/>
      <protection locked="0"/>
    </xf>
    <xf numFmtId="1" fontId="6" fillId="29" borderId="28" xfId="10" applyNumberFormat="1" applyFont="1" applyFill="1" applyBorder="1" applyAlignment="1" applyProtection="1">
      <alignment horizontal="right" vertical="center" shrinkToFit="1"/>
      <protection locked="0"/>
    </xf>
    <xf numFmtId="2" fontId="6" fillId="9" borderId="27" xfId="10" applyNumberFormat="1" applyFont="1" applyFill="1" applyBorder="1" applyAlignment="1" applyProtection="1">
      <alignment horizontal="right" vertical="center" shrinkToFit="1"/>
      <protection locked="0"/>
    </xf>
    <xf numFmtId="2" fontId="6" fillId="9" borderId="28" xfId="10" applyNumberFormat="1" applyFont="1" applyFill="1" applyBorder="1" applyAlignment="1" applyProtection="1">
      <alignment horizontal="right" vertical="center" shrinkToFit="1"/>
      <protection locked="0"/>
    </xf>
    <xf numFmtId="0" fontId="6" fillId="38" borderId="56" xfId="10" applyFont="1" applyFill="1" applyBorder="1" applyAlignment="1" applyProtection="1">
      <alignment horizontal="left" vertical="center" shrinkToFit="1"/>
      <protection locked="0"/>
    </xf>
    <xf numFmtId="0" fontId="6" fillId="38" borderId="27" xfId="10" applyFont="1" applyFill="1" applyBorder="1" applyAlignment="1" applyProtection="1">
      <alignment horizontal="left" vertical="center" wrapText="1" shrinkToFit="1"/>
      <protection locked="0"/>
    </xf>
    <xf numFmtId="49" fontId="6" fillId="38" borderId="27" xfId="10" applyNumberFormat="1" applyFont="1" applyFill="1" applyBorder="1" applyAlignment="1" applyProtection="1">
      <alignment horizontal="left" vertical="center" wrapText="1" shrinkToFit="1"/>
      <protection locked="0"/>
    </xf>
    <xf numFmtId="0" fontId="6" fillId="38" borderId="27" xfId="10" applyFont="1" applyFill="1" applyBorder="1" applyAlignment="1" applyProtection="1">
      <alignment horizontal="left" vertical="center" shrinkToFit="1"/>
      <protection locked="0"/>
    </xf>
    <xf numFmtId="0" fontId="6" fillId="29" borderId="18" xfId="10" applyFont="1" applyFill="1" applyBorder="1" applyAlignment="1">
      <alignment horizontal="left" vertical="center" shrinkToFit="1"/>
    </xf>
    <xf numFmtId="1" fontId="6" fillId="29" borderId="29" xfId="10" applyNumberFormat="1" applyFont="1" applyFill="1" applyBorder="1" applyAlignment="1">
      <alignment horizontal="right" vertical="center" shrinkToFit="1"/>
    </xf>
    <xf numFmtId="49" fontId="6" fillId="29" borderId="23" xfId="10" applyNumberFormat="1" applyFont="1" applyFill="1" applyBorder="1" applyAlignment="1" applyProtection="1">
      <alignment horizontal="left" vertical="center" shrinkToFit="1"/>
      <protection locked="0"/>
    </xf>
    <xf numFmtId="0" fontId="6" fillId="29" borderId="6" xfId="10" applyFont="1" applyFill="1" applyBorder="1" applyAlignment="1">
      <alignment horizontal="left" vertical="center" wrapText="1" shrinkToFit="1"/>
    </xf>
    <xf numFmtId="0" fontId="6" fillId="29" borderId="56" xfId="10" applyFont="1" applyFill="1" applyBorder="1" applyAlignment="1">
      <alignment horizontal="left" vertical="center" shrinkToFit="1"/>
    </xf>
    <xf numFmtId="2" fontId="6" fillId="29" borderId="27" xfId="10" applyNumberFormat="1" applyFont="1" applyFill="1" applyBorder="1" applyAlignment="1" applyProtection="1">
      <alignment horizontal="left" vertical="center" wrapText="1" shrinkToFit="1"/>
      <protection locked="0"/>
    </xf>
    <xf numFmtId="49" fontId="6" fillId="29" borderId="27" xfId="10" applyNumberFormat="1" applyFont="1" applyFill="1" applyBorder="1" applyAlignment="1">
      <alignment horizontal="left" vertical="center" wrapText="1" shrinkToFit="1"/>
    </xf>
    <xf numFmtId="0" fontId="6" fillId="29" borderId="27" xfId="10" applyFont="1" applyFill="1" applyBorder="1" applyAlignment="1">
      <alignment horizontal="left" vertical="center" shrinkToFit="1"/>
    </xf>
    <xf numFmtId="1" fontId="6" fillId="29" borderId="28" xfId="10" applyNumberFormat="1" applyFont="1" applyFill="1" applyBorder="1" applyAlignment="1">
      <alignment horizontal="right" vertical="center" shrinkToFit="1"/>
    </xf>
    <xf numFmtId="0" fontId="6" fillId="38" borderId="18" xfId="10" applyFont="1" applyFill="1" applyBorder="1" applyAlignment="1">
      <alignment horizontal="left" vertical="center" shrinkToFit="1"/>
    </xf>
    <xf numFmtId="1" fontId="6" fillId="38" borderId="29" xfId="10" applyNumberFormat="1" applyFont="1" applyFill="1" applyBorder="1" applyAlignment="1">
      <alignment horizontal="right" vertical="center" shrinkToFit="1"/>
    </xf>
    <xf numFmtId="0" fontId="6" fillId="38" borderId="6" xfId="10" applyFont="1" applyFill="1" applyBorder="1" applyAlignment="1">
      <alignment horizontal="left" vertical="center" shrinkToFit="1"/>
    </xf>
    <xf numFmtId="1" fontId="6" fillId="38" borderId="24" xfId="10" applyNumberFormat="1" applyFont="1" applyFill="1" applyBorder="1" applyAlignment="1">
      <alignment horizontal="right" vertical="center" shrinkToFit="1"/>
    </xf>
    <xf numFmtId="0" fontId="6" fillId="38" borderId="6" xfId="10" applyFont="1" applyFill="1" applyBorder="1" applyAlignment="1">
      <alignment horizontal="left" vertical="center" wrapText="1" shrinkToFit="1"/>
    </xf>
    <xf numFmtId="0" fontId="6" fillId="38" borderId="23" xfId="10" applyFont="1" applyFill="1" applyBorder="1" applyAlignment="1">
      <alignment horizontal="left" vertical="center" shrinkToFit="1"/>
    </xf>
    <xf numFmtId="49" fontId="6" fillId="38" borderId="6" xfId="10" applyNumberFormat="1" applyFont="1" applyFill="1" applyBorder="1" applyAlignment="1">
      <alignment horizontal="left" vertical="center" wrapText="1" shrinkToFit="1"/>
    </xf>
    <xf numFmtId="0" fontId="6" fillId="38" borderId="56" xfId="10" applyFont="1" applyFill="1" applyBorder="1" applyAlignment="1">
      <alignment horizontal="left" vertical="center" shrinkToFit="1"/>
    </xf>
    <xf numFmtId="0" fontId="6" fillId="38" borderId="27" xfId="10" applyFont="1" applyFill="1" applyBorder="1" applyAlignment="1">
      <alignment horizontal="left" vertical="center" wrapText="1" shrinkToFit="1"/>
    </xf>
    <xf numFmtId="49" fontId="6" fillId="38" borderId="27" xfId="10" applyNumberFormat="1" applyFont="1" applyFill="1" applyBorder="1" applyAlignment="1">
      <alignment horizontal="left" vertical="center" wrapText="1" shrinkToFit="1"/>
    </xf>
    <xf numFmtId="0" fontId="6" fillId="38" borderId="27" xfId="10" applyFont="1" applyFill="1" applyBorder="1" applyAlignment="1">
      <alignment horizontal="left" vertical="center" shrinkToFit="1"/>
    </xf>
    <xf numFmtId="1" fontId="6" fillId="38" borderId="28" xfId="10" applyNumberFormat="1" applyFont="1" applyFill="1" applyBorder="1" applyAlignment="1">
      <alignment horizontal="right" vertical="center" shrinkToFit="1"/>
    </xf>
    <xf numFmtId="166" fontId="6" fillId="9" borderId="56" xfId="10" applyNumberFormat="1" applyFont="1" applyFill="1" applyBorder="1" applyAlignment="1" applyProtection="1">
      <alignment horizontal="right" vertical="center" shrinkToFit="1"/>
      <protection locked="0"/>
    </xf>
    <xf numFmtId="0" fontId="6" fillId="29" borderId="40" xfId="10" applyFont="1" applyFill="1" applyBorder="1" applyAlignment="1" applyProtection="1">
      <alignment horizontal="left" vertical="center" wrapText="1"/>
      <protection locked="0"/>
    </xf>
    <xf numFmtId="0" fontId="6" fillId="29" borderId="13" xfId="10" applyFont="1" applyFill="1" applyBorder="1" applyAlignment="1" applyProtection="1">
      <alignment horizontal="left" vertical="center" wrapText="1"/>
      <protection locked="0"/>
    </xf>
    <xf numFmtId="1" fontId="6" fillId="29" borderId="19" xfId="10" applyNumberFormat="1" applyFont="1" applyFill="1" applyBorder="1" applyAlignment="1" applyProtection="1">
      <alignment horizontal="right" vertical="center" wrapText="1"/>
      <protection locked="0"/>
    </xf>
    <xf numFmtId="0" fontId="6" fillId="38" borderId="22" xfId="10" applyFont="1" applyFill="1" applyBorder="1" applyAlignment="1" applyProtection="1">
      <alignment horizontal="left" vertical="center" wrapText="1"/>
      <protection locked="0"/>
    </xf>
    <xf numFmtId="0" fontId="6" fillId="38" borderId="18" xfId="10" applyFont="1" applyFill="1" applyBorder="1" applyAlignment="1" applyProtection="1">
      <alignment horizontal="left" vertical="center" wrapText="1"/>
      <protection locked="0"/>
    </xf>
    <xf numFmtId="1" fontId="6" fillId="38" borderId="29" xfId="10" applyNumberFormat="1" applyFont="1" applyFill="1" applyBorder="1" applyAlignment="1" applyProtection="1">
      <alignment horizontal="right" vertical="center" wrapText="1"/>
      <protection locked="0"/>
    </xf>
    <xf numFmtId="0" fontId="6" fillId="38" borderId="23" xfId="10" applyFont="1" applyFill="1" applyBorder="1" applyAlignment="1" applyProtection="1">
      <alignment horizontal="left" vertical="center" wrapText="1"/>
      <protection locked="0"/>
    </xf>
    <xf numFmtId="0" fontId="6" fillId="38" borderId="6" xfId="10" applyFont="1" applyFill="1" applyBorder="1" applyAlignment="1" applyProtection="1">
      <alignment horizontal="left" vertical="center" wrapText="1"/>
      <protection locked="0"/>
    </xf>
    <xf numFmtId="1" fontId="6" fillId="38" borderId="24" xfId="10" applyNumberFormat="1" applyFont="1" applyFill="1" applyBorder="1" applyAlignment="1" applyProtection="1">
      <alignment horizontal="right" vertical="center" wrapText="1"/>
      <protection locked="0"/>
    </xf>
    <xf numFmtId="2" fontId="6" fillId="9" borderId="23" xfId="10" applyNumberFormat="1" applyFont="1" applyFill="1" applyBorder="1" applyAlignment="1" applyProtection="1">
      <alignment horizontal="right" vertical="center" wrapText="1"/>
      <protection locked="0"/>
    </xf>
    <xf numFmtId="2" fontId="6" fillId="9" borderId="6" xfId="10" applyNumberFormat="1" applyFont="1" applyFill="1" applyBorder="1" applyAlignment="1" applyProtection="1">
      <alignment horizontal="right" vertical="center" wrapText="1"/>
      <protection locked="0"/>
    </xf>
    <xf numFmtId="2" fontId="6" fillId="9" borderId="24" xfId="10" applyNumberFormat="1" applyFont="1" applyFill="1" applyBorder="1" applyAlignment="1" applyProtection="1">
      <alignment horizontal="right" vertical="center" wrapText="1"/>
      <protection locked="0"/>
    </xf>
    <xf numFmtId="2" fontId="6" fillId="9" borderId="15" xfId="10" applyNumberFormat="1" applyFont="1" applyFill="1" applyBorder="1" applyAlignment="1" applyProtection="1">
      <alignment horizontal="right" vertical="center" wrapText="1"/>
      <protection locked="0"/>
    </xf>
    <xf numFmtId="2" fontId="6" fillId="9" borderId="25" xfId="10" applyNumberFormat="1" applyFont="1" applyFill="1" applyBorder="1" applyAlignment="1" applyProtection="1">
      <alignment horizontal="right" vertical="center" wrapText="1"/>
      <protection locked="0"/>
    </xf>
    <xf numFmtId="2" fontId="6" fillId="9" borderId="57" xfId="10" applyNumberFormat="1" applyFont="1" applyFill="1" applyBorder="1" applyAlignment="1" applyProtection="1">
      <alignment horizontal="right" vertical="center" wrapText="1"/>
      <protection locked="0"/>
    </xf>
    <xf numFmtId="0" fontId="6" fillId="29" borderId="55" xfId="10" applyFont="1" applyFill="1" applyBorder="1" applyAlignment="1" applyProtection="1">
      <alignment horizontal="left" vertical="center" wrapText="1"/>
      <protection locked="0"/>
    </xf>
    <xf numFmtId="0" fontId="6" fillId="29" borderId="52" xfId="10" applyFont="1" applyFill="1" applyBorder="1" applyAlignment="1" applyProtection="1">
      <alignment horizontal="left" vertical="center" wrapText="1"/>
      <protection locked="0"/>
    </xf>
    <xf numFmtId="49" fontId="6" fillId="29" borderId="52" xfId="10" applyNumberFormat="1" applyFont="1" applyFill="1" applyBorder="1" applyAlignment="1" applyProtection="1">
      <alignment horizontal="left" vertical="center" wrapText="1" shrinkToFit="1"/>
      <protection locked="0"/>
    </xf>
    <xf numFmtId="1" fontId="6" fillId="29" borderId="53" xfId="10" applyNumberFormat="1" applyFont="1" applyFill="1" applyBorder="1" applyAlignment="1" applyProtection="1">
      <alignment horizontal="right" vertical="center" wrapText="1"/>
      <protection locked="0"/>
    </xf>
    <xf numFmtId="2" fontId="6" fillId="9" borderId="55" xfId="10" applyNumberFormat="1" applyFont="1" applyFill="1" applyBorder="1" applyAlignment="1" applyProtection="1">
      <alignment horizontal="right" vertical="center" wrapText="1"/>
      <protection locked="0"/>
    </xf>
    <xf numFmtId="2" fontId="6" fillId="9" borderId="52" xfId="10" applyNumberFormat="1" applyFont="1" applyFill="1" applyBorder="1" applyAlignment="1" applyProtection="1">
      <alignment horizontal="right" vertical="center" wrapText="1"/>
      <protection locked="0"/>
    </xf>
    <xf numFmtId="2" fontId="6" fillId="9" borderId="53" xfId="10" applyNumberFormat="1" applyFont="1" applyFill="1" applyBorder="1" applyAlignment="1" applyProtection="1">
      <alignment horizontal="right" vertical="center" wrapText="1"/>
      <protection locked="0"/>
    </xf>
    <xf numFmtId="1" fontId="6" fillId="0" borderId="0" xfId="10" applyNumberFormat="1" applyFont="1" applyAlignment="1" applyProtection="1">
      <alignment horizontal="right" vertical="center" wrapText="1"/>
      <protection locked="0"/>
    </xf>
    <xf numFmtId="2" fontId="6" fillId="0" borderId="0" xfId="10" applyNumberFormat="1" applyFont="1" applyAlignment="1" applyProtection="1">
      <alignment horizontal="right" vertical="center" wrapText="1"/>
      <protection locked="0"/>
    </xf>
    <xf numFmtId="0" fontId="8" fillId="32" borderId="39" xfId="10" applyFont="1" applyFill="1" applyBorder="1" applyAlignment="1" applyProtection="1">
      <alignment horizontal="left" vertical="center" wrapText="1"/>
      <protection locked="0"/>
    </xf>
    <xf numFmtId="1" fontId="8" fillId="42" borderId="16" xfId="10" applyNumberFormat="1" applyFont="1" applyFill="1" applyBorder="1" applyAlignment="1" applyProtection="1">
      <alignment horizontal="left" vertical="center" wrapText="1"/>
      <protection locked="0"/>
    </xf>
    <xf numFmtId="1" fontId="8" fillId="42" borderId="47" xfId="10" applyNumberFormat="1" applyFont="1" applyFill="1" applyBorder="1" applyAlignment="1" applyProtection="1">
      <alignment horizontal="left" vertical="center" wrapText="1"/>
      <protection locked="0"/>
    </xf>
    <xf numFmtId="1" fontId="8" fillId="42" borderId="66" xfId="10" applyNumberFormat="1" applyFont="1" applyFill="1" applyBorder="1" applyAlignment="1" applyProtection="1">
      <alignment horizontal="left" vertical="center" wrapText="1"/>
      <protection locked="0"/>
    </xf>
    <xf numFmtId="0" fontId="6" fillId="43" borderId="22" xfId="10" applyFont="1" applyFill="1" applyBorder="1" applyAlignment="1">
      <alignment horizontal="left" vertical="center" shrinkToFit="1"/>
    </xf>
    <xf numFmtId="0" fontId="6" fillId="43" borderId="18" xfId="10" applyFont="1" applyFill="1" applyBorder="1" applyAlignment="1" applyProtection="1">
      <alignment horizontal="left" vertical="center" wrapText="1" shrinkToFit="1"/>
      <protection locked="0"/>
    </xf>
    <xf numFmtId="49" fontId="6" fillId="43" borderId="18" xfId="10" applyNumberFormat="1" applyFont="1" applyFill="1" applyBorder="1" applyAlignment="1" applyProtection="1">
      <alignment horizontal="left" vertical="center" wrapText="1" shrinkToFit="1"/>
      <protection locked="0"/>
    </xf>
    <xf numFmtId="0" fontId="6" fillId="43" borderId="18" xfId="10" applyFont="1" applyFill="1" applyBorder="1" applyAlignment="1" applyProtection="1">
      <alignment horizontal="left" vertical="center" shrinkToFit="1"/>
      <protection locked="0"/>
    </xf>
    <xf numFmtId="1" fontId="6" fillId="43" borderId="29" xfId="10" applyNumberFormat="1" applyFont="1" applyFill="1" applyBorder="1" applyAlignment="1" applyProtection="1">
      <alignment horizontal="right" vertical="center" shrinkToFit="1"/>
      <protection locked="0"/>
    </xf>
    <xf numFmtId="49" fontId="6" fillId="43" borderId="23" xfId="10" applyNumberFormat="1" applyFont="1" applyFill="1" applyBorder="1" applyAlignment="1" applyProtection="1">
      <alignment horizontal="left" vertical="center" shrinkToFit="1"/>
      <protection locked="0"/>
    </xf>
    <xf numFmtId="0" fontId="6" fillId="43" borderId="6" xfId="10" applyFont="1" applyFill="1" applyBorder="1" applyAlignment="1" applyProtection="1">
      <alignment horizontal="left" vertical="center" wrapText="1" shrinkToFit="1"/>
      <protection locked="0"/>
    </xf>
    <xf numFmtId="49" fontId="6" fillId="43" borderId="6" xfId="10" applyNumberFormat="1" applyFont="1" applyFill="1" applyBorder="1" applyAlignment="1" applyProtection="1">
      <alignment horizontal="left" vertical="center" wrapText="1" shrinkToFit="1"/>
      <protection locked="0"/>
    </xf>
    <xf numFmtId="0" fontId="6" fillId="43" borderId="6" xfId="10" applyFont="1" applyFill="1" applyBorder="1" applyAlignment="1" applyProtection="1">
      <alignment horizontal="left" vertical="center" shrinkToFit="1"/>
      <protection locked="0"/>
    </xf>
    <xf numFmtId="1" fontId="6" fillId="43" borderId="24" xfId="10" applyNumberFormat="1" applyFont="1" applyFill="1" applyBorder="1" applyAlignment="1" applyProtection="1">
      <alignment horizontal="right" vertical="center" shrinkToFit="1"/>
      <protection locked="0"/>
    </xf>
    <xf numFmtId="0" fontId="6" fillId="43" borderId="23" xfId="10" applyFont="1" applyFill="1" applyBorder="1" applyAlignment="1" applyProtection="1">
      <alignment horizontal="left" vertical="center" shrinkToFit="1"/>
      <protection locked="0"/>
    </xf>
    <xf numFmtId="2" fontId="6" fillId="43" borderId="6" xfId="10" applyNumberFormat="1" applyFont="1" applyFill="1" applyBorder="1" applyAlignment="1">
      <alignment horizontal="left" vertical="center" wrapText="1"/>
    </xf>
    <xf numFmtId="2" fontId="6" fillId="43" borderId="23" xfId="10" applyNumberFormat="1" applyFont="1" applyFill="1" applyBorder="1" applyAlignment="1" applyProtection="1">
      <alignment horizontal="left" vertical="center" shrinkToFit="1"/>
      <protection locked="0"/>
    </xf>
    <xf numFmtId="2" fontId="6" fillId="43" borderId="6" xfId="10" applyNumberFormat="1" applyFont="1" applyFill="1" applyBorder="1" applyAlignment="1" applyProtection="1">
      <alignment horizontal="left" vertical="center" wrapText="1" shrinkToFit="1"/>
      <protection locked="0"/>
    </xf>
    <xf numFmtId="2" fontId="6" fillId="43" borderId="6" xfId="10" applyNumberFormat="1" applyFont="1" applyFill="1" applyBorder="1" applyAlignment="1" applyProtection="1">
      <alignment horizontal="left" vertical="center" shrinkToFit="1"/>
      <protection locked="0"/>
    </xf>
    <xf numFmtId="2" fontId="6" fillId="43" borderId="56" xfId="10" applyNumberFormat="1" applyFont="1" applyFill="1" applyBorder="1" applyAlignment="1" applyProtection="1">
      <alignment horizontal="left" vertical="center" shrinkToFit="1"/>
      <protection locked="0"/>
    </xf>
    <xf numFmtId="2" fontId="6" fillId="43" borderId="27" xfId="10" applyNumberFormat="1" applyFont="1" applyFill="1" applyBorder="1" applyAlignment="1" applyProtection="1">
      <alignment horizontal="left" vertical="center" wrapText="1" shrinkToFit="1"/>
      <protection locked="0"/>
    </xf>
    <xf numFmtId="2" fontId="6" fillId="43" borderId="27" xfId="10" applyNumberFormat="1" applyFont="1" applyFill="1" applyBorder="1" applyAlignment="1" applyProtection="1">
      <alignment horizontal="left" vertical="center" shrinkToFit="1"/>
      <protection locked="0"/>
    </xf>
    <xf numFmtId="1" fontId="6" fillId="43" borderId="28" xfId="10" applyNumberFormat="1" applyFont="1" applyFill="1" applyBorder="1" applyAlignment="1" applyProtection="1">
      <alignment horizontal="right" vertical="center" shrinkToFit="1"/>
      <protection locked="0"/>
    </xf>
    <xf numFmtId="0" fontId="6" fillId="42" borderId="22" xfId="10" applyFont="1" applyFill="1" applyBorder="1" applyAlignment="1">
      <alignment horizontal="left" vertical="center" shrinkToFit="1"/>
    </xf>
    <xf numFmtId="0" fontId="6" fillId="42" borderId="18" xfId="10" applyFont="1" applyFill="1" applyBorder="1" applyAlignment="1" applyProtection="1">
      <alignment horizontal="left" vertical="center" wrapText="1" shrinkToFit="1"/>
      <protection locked="0"/>
    </xf>
    <xf numFmtId="0" fontId="6" fillId="42" borderId="18" xfId="10" applyFont="1" applyFill="1" applyBorder="1" applyAlignment="1" applyProtection="1">
      <alignment horizontal="left" vertical="center" shrinkToFit="1"/>
      <protection locked="0"/>
    </xf>
    <xf numFmtId="1" fontId="6" fillId="42" borderId="29" xfId="10" applyNumberFormat="1" applyFont="1" applyFill="1" applyBorder="1" applyAlignment="1" applyProtection="1">
      <alignment horizontal="right" vertical="center" shrinkToFit="1"/>
      <protection locked="0"/>
    </xf>
    <xf numFmtId="0" fontId="6" fillId="42" borderId="23" xfId="10" applyFont="1" applyFill="1" applyBorder="1" applyAlignment="1" applyProtection="1">
      <alignment horizontal="left" vertical="center" shrinkToFit="1"/>
      <protection locked="0"/>
    </xf>
    <xf numFmtId="2" fontId="6" fillId="42" borderId="6" xfId="10" applyNumberFormat="1" applyFont="1" applyFill="1" applyBorder="1" applyAlignment="1">
      <alignment horizontal="left" vertical="center" wrapText="1"/>
    </xf>
    <xf numFmtId="49" fontId="6" fillId="42" borderId="6" xfId="10" applyNumberFormat="1" applyFont="1" applyFill="1" applyBorder="1" applyAlignment="1">
      <alignment horizontal="left" vertical="center" wrapText="1" shrinkToFit="1"/>
    </xf>
    <xf numFmtId="0" fontId="6" fillId="42" borderId="6" xfId="10" applyFont="1" applyFill="1" applyBorder="1" applyAlignment="1" applyProtection="1">
      <alignment horizontal="left" vertical="center" shrinkToFit="1"/>
      <protection locked="0"/>
    </xf>
    <xf numFmtId="1" fontId="6" fillId="42" borderId="24" xfId="10" applyNumberFormat="1" applyFont="1" applyFill="1" applyBorder="1" applyAlignment="1" applyProtection="1">
      <alignment horizontal="right" vertical="center" shrinkToFit="1"/>
      <protection locked="0"/>
    </xf>
    <xf numFmtId="0" fontId="6" fillId="42" borderId="6" xfId="10" applyFont="1" applyFill="1" applyBorder="1" applyAlignment="1" applyProtection="1">
      <alignment horizontal="left" vertical="center" wrapText="1" shrinkToFit="1"/>
      <protection locked="0"/>
    </xf>
    <xf numFmtId="49" fontId="6" fillId="42" borderId="6" xfId="10" applyNumberFormat="1" applyFont="1" applyFill="1" applyBorder="1" applyAlignment="1">
      <alignment horizontal="left" vertical="center" wrapText="1"/>
    </xf>
    <xf numFmtId="0" fontId="6" fillId="42" borderId="6" xfId="10" applyFont="1" applyFill="1" applyBorder="1" applyAlignment="1">
      <alignment horizontal="left" vertical="center" shrinkToFit="1"/>
    </xf>
    <xf numFmtId="1" fontId="6" fillId="42" borderId="24" xfId="10" applyNumberFormat="1" applyFont="1" applyFill="1" applyBorder="1" applyAlignment="1">
      <alignment horizontal="right" vertical="center" shrinkToFit="1"/>
    </xf>
    <xf numFmtId="0" fontId="6" fillId="42" borderId="56" xfId="10" applyFont="1" applyFill="1" applyBorder="1" applyAlignment="1" applyProtection="1">
      <alignment horizontal="left" vertical="center" shrinkToFit="1"/>
      <protection locked="0"/>
    </xf>
    <xf numFmtId="0" fontId="6" fillId="42" borderId="27" xfId="10" applyFont="1" applyFill="1" applyBorder="1" applyAlignment="1" applyProtection="1">
      <alignment horizontal="left" vertical="center" wrapText="1" shrinkToFit="1"/>
      <protection locked="0"/>
    </xf>
    <xf numFmtId="49" fontId="6" fillId="42" borderId="27" xfId="10" applyNumberFormat="1" applyFont="1" applyFill="1" applyBorder="1" applyAlignment="1" applyProtection="1">
      <alignment horizontal="left" vertical="center" wrapText="1" shrinkToFit="1"/>
      <protection locked="0"/>
    </xf>
    <xf numFmtId="0" fontId="6" fillId="42" borderId="27" xfId="10" applyFont="1" applyFill="1" applyBorder="1" applyAlignment="1" applyProtection="1">
      <alignment horizontal="left" vertical="center" shrinkToFit="1"/>
      <protection locked="0"/>
    </xf>
    <xf numFmtId="1" fontId="6" fillId="42" borderId="28" xfId="10" applyNumberFormat="1" applyFont="1" applyFill="1" applyBorder="1" applyAlignment="1" applyProtection="1">
      <alignment horizontal="right" vertical="center" shrinkToFit="1"/>
      <protection locked="0"/>
    </xf>
    <xf numFmtId="0" fontId="6" fillId="43" borderId="56" xfId="10" applyFont="1" applyFill="1" applyBorder="1" applyAlignment="1" applyProtection="1">
      <alignment horizontal="left" vertical="center" shrinkToFit="1"/>
      <protection locked="0"/>
    </xf>
    <xf numFmtId="0" fontId="6" fillId="43" borderId="27" xfId="10" applyFont="1" applyFill="1" applyBorder="1" applyAlignment="1" applyProtection="1">
      <alignment horizontal="left" vertical="center" wrapText="1" shrinkToFit="1"/>
      <protection locked="0"/>
    </xf>
    <xf numFmtId="49" fontId="6" fillId="43" borderId="27" xfId="10" applyNumberFormat="1" applyFont="1" applyFill="1" applyBorder="1" applyAlignment="1" applyProtection="1">
      <alignment horizontal="left" vertical="center" wrapText="1" shrinkToFit="1"/>
      <protection locked="0"/>
    </xf>
    <xf numFmtId="0" fontId="6" fillId="43" borderId="27" xfId="10" applyFont="1" applyFill="1" applyBorder="1" applyAlignment="1" applyProtection="1">
      <alignment horizontal="left" vertical="center" shrinkToFit="1"/>
      <protection locked="0"/>
    </xf>
    <xf numFmtId="49" fontId="6" fillId="42" borderId="18" xfId="10" applyNumberFormat="1" applyFont="1" applyFill="1" applyBorder="1" applyAlignment="1" applyProtection="1">
      <alignment horizontal="left" vertical="center" wrapText="1" shrinkToFit="1"/>
      <protection locked="0"/>
    </xf>
    <xf numFmtId="0" fontId="6" fillId="42" borderId="18" xfId="10" applyFont="1" applyFill="1" applyBorder="1" applyAlignment="1">
      <alignment horizontal="left" vertical="center" shrinkToFit="1"/>
    </xf>
    <xf numFmtId="1" fontId="6" fillId="42" borderId="29" xfId="10" applyNumberFormat="1" applyFont="1" applyFill="1" applyBorder="1" applyAlignment="1">
      <alignment horizontal="right" vertical="center" shrinkToFit="1"/>
    </xf>
    <xf numFmtId="49" fontId="6" fillId="42" borderId="6" xfId="10" applyNumberFormat="1" applyFont="1" applyFill="1" applyBorder="1" applyAlignment="1" applyProtection="1">
      <alignment horizontal="left" vertical="center" wrapText="1" shrinkToFit="1"/>
      <protection locked="0"/>
    </xf>
    <xf numFmtId="49" fontId="6" fillId="42" borderId="23" xfId="10" applyNumberFormat="1" applyFont="1" applyFill="1" applyBorder="1" applyAlignment="1" applyProtection="1">
      <alignment horizontal="left" vertical="center" shrinkToFit="1"/>
      <protection locked="0"/>
    </xf>
    <xf numFmtId="0" fontId="6" fillId="42" borderId="6" xfId="10" applyFont="1" applyFill="1" applyBorder="1" applyAlignment="1">
      <alignment horizontal="left" vertical="center" wrapText="1" shrinkToFit="1"/>
    </xf>
    <xf numFmtId="0" fontId="6" fillId="42" borderId="56" xfId="10" applyFont="1" applyFill="1" applyBorder="1" applyAlignment="1">
      <alignment horizontal="left" vertical="center" shrinkToFit="1"/>
    </xf>
    <xf numFmtId="2" fontId="6" fillId="42" borderId="27" xfId="10" applyNumberFormat="1" applyFont="1" applyFill="1" applyBorder="1" applyAlignment="1" applyProtection="1">
      <alignment horizontal="left" vertical="center" wrapText="1" shrinkToFit="1"/>
      <protection locked="0"/>
    </xf>
    <xf numFmtId="49" fontId="6" fillId="42" borderId="27" xfId="10" applyNumberFormat="1" applyFont="1" applyFill="1" applyBorder="1" applyAlignment="1">
      <alignment horizontal="left" vertical="center" wrapText="1" shrinkToFit="1"/>
    </xf>
    <xf numFmtId="0" fontId="6" fillId="42" borderId="27" xfId="10" applyFont="1" applyFill="1" applyBorder="1" applyAlignment="1">
      <alignment horizontal="left" vertical="center" shrinkToFit="1"/>
    </xf>
    <xf numFmtId="1" fontId="6" fillId="42" borderId="28" xfId="10" applyNumberFormat="1" applyFont="1" applyFill="1" applyBorder="1" applyAlignment="1">
      <alignment horizontal="right" vertical="center" shrinkToFit="1"/>
    </xf>
    <xf numFmtId="0" fontId="6" fillId="43" borderId="18" xfId="10" applyFont="1" applyFill="1" applyBorder="1" applyAlignment="1">
      <alignment horizontal="left" vertical="center" shrinkToFit="1"/>
    </xf>
    <xf numFmtId="1" fontId="6" fillId="43" borderId="29" xfId="10" applyNumberFormat="1" applyFont="1" applyFill="1" applyBorder="1" applyAlignment="1">
      <alignment horizontal="right" vertical="center" shrinkToFit="1"/>
    </xf>
    <xf numFmtId="0" fontId="6" fillId="43" borderId="6" xfId="10" applyFont="1" applyFill="1" applyBorder="1" applyAlignment="1">
      <alignment horizontal="left" vertical="center" shrinkToFit="1"/>
    </xf>
    <xf numFmtId="1" fontId="6" fillId="43" borderId="24" xfId="10" applyNumberFormat="1" applyFont="1" applyFill="1" applyBorder="1" applyAlignment="1">
      <alignment horizontal="right" vertical="center" shrinkToFit="1"/>
    </xf>
    <xf numFmtId="0" fontId="6" fillId="43" borderId="6" xfId="10" applyFont="1" applyFill="1" applyBorder="1" applyAlignment="1">
      <alignment horizontal="left" vertical="center" wrapText="1" shrinkToFit="1"/>
    </xf>
    <xf numFmtId="0" fontId="6" fillId="43" borderId="23" xfId="10" applyFont="1" applyFill="1" applyBorder="1" applyAlignment="1">
      <alignment horizontal="left" vertical="center" shrinkToFit="1"/>
    </xf>
    <xf numFmtId="49" fontId="6" fillId="43" borderId="6" xfId="10" applyNumberFormat="1" applyFont="1" applyFill="1" applyBorder="1" applyAlignment="1">
      <alignment horizontal="left" vertical="center" wrapText="1" shrinkToFit="1"/>
    </xf>
    <xf numFmtId="0" fontId="6" fillId="43" borderId="56" xfId="10" applyFont="1" applyFill="1" applyBorder="1" applyAlignment="1">
      <alignment horizontal="left" vertical="center" shrinkToFit="1"/>
    </xf>
    <xf numFmtId="0" fontId="6" fillId="43" borderId="27" xfId="10" applyFont="1" applyFill="1" applyBorder="1" applyAlignment="1">
      <alignment horizontal="left" vertical="center" wrapText="1" shrinkToFit="1"/>
    </xf>
    <xf numFmtId="49" fontId="6" fillId="43" borderId="27" xfId="10" applyNumberFormat="1" applyFont="1" applyFill="1" applyBorder="1" applyAlignment="1">
      <alignment horizontal="left" vertical="center" wrapText="1" shrinkToFit="1"/>
    </xf>
    <xf numFmtId="0" fontId="6" fillId="43" borderId="27" xfId="10" applyFont="1" applyFill="1" applyBorder="1" applyAlignment="1">
      <alignment horizontal="left" vertical="center" shrinkToFit="1"/>
    </xf>
    <xf numFmtId="1" fontId="6" fillId="43" borderId="28" xfId="10" applyNumberFormat="1" applyFont="1" applyFill="1" applyBorder="1" applyAlignment="1">
      <alignment horizontal="right" vertical="center" shrinkToFit="1"/>
    </xf>
    <xf numFmtId="0" fontId="6" fillId="42" borderId="40" xfId="10" applyFont="1" applyFill="1" applyBorder="1" applyAlignment="1" applyProtection="1">
      <alignment horizontal="left" vertical="center" wrapText="1"/>
      <protection locked="0"/>
    </xf>
    <xf numFmtId="0" fontId="6" fillId="42" borderId="13" xfId="10" applyFont="1" applyFill="1" applyBorder="1" applyAlignment="1" applyProtection="1">
      <alignment horizontal="left" vertical="center" wrapText="1"/>
      <protection locked="0"/>
    </xf>
    <xf numFmtId="1" fontId="6" fillId="42" borderId="19" xfId="10" applyNumberFormat="1" applyFont="1" applyFill="1" applyBorder="1" applyAlignment="1" applyProtection="1">
      <alignment horizontal="right" vertical="center" wrapText="1"/>
      <protection locked="0"/>
    </xf>
    <xf numFmtId="0" fontId="6" fillId="43" borderId="22" xfId="10" applyFont="1" applyFill="1" applyBorder="1" applyAlignment="1" applyProtection="1">
      <alignment horizontal="left" vertical="center" wrapText="1"/>
      <protection locked="0"/>
    </xf>
    <xf numFmtId="0" fontId="6" fillId="43" borderId="18" xfId="10" applyFont="1" applyFill="1" applyBorder="1" applyAlignment="1" applyProtection="1">
      <alignment horizontal="left" vertical="center" wrapText="1"/>
      <protection locked="0"/>
    </xf>
    <xf numFmtId="1" fontId="6" fillId="43" borderId="29" xfId="10" applyNumberFormat="1" applyFont="1" applyFill="1" applyBorder="1" applyAlignment="1" applyProtection="1">
      <alignment horizontal="right" vertical="center" wrapText="1"/>
      <protection locked="0"/>
    </xf>
    <xf numFmtId="0" fontId="6" fillId="43" borderId="23" xfId="10" applyFont="1" applyFill="1" applyBorder="1" applyAlignment="1" applyProtection="1">
      <alignment horizontal="left" vertical="center" wrapText="1"/>
      <protection locked="0"/>
    </xf>
    <xf numFmtId="0" fontId="6" fillId="43" borderId="6" xfId="10" applyFont="1" applyFill="1" applyBorder="1" applyAlignment="1" applyProtection="1">
      <alignment horizontal="left" vertical="center" wrapText="1"/>
      <protection locked="0"/>
    </xf>
    <xf numFmtId="1" fontId="6" fillId="43" borderId="24" xfId="10" applyNumberFormat="1" applyFont="1" applyFill="1" applyBorder="1" applyAlignment="1" applyProtection="1">
      <alignment horizontal="right" vertical="center" wrapText="1"/>
      <protection locked="0"/>
    </xf>
    <xf numFmtId="0" fontId="6" fillId="42" borderId="55" xfId="10" applyFont="1" applyFill="1" applyBorder="1" applyAlignment="1" applyProtection="1">
      <alignment horizontal="left" vertical="center" wrapText="1"/>
      <protection locked="0"/>
    </xf>
    <xf numFmtId="0" fontId="6" fillId="42" borderId="52" xfId="10" applyFont="1" applyFill="1" applyBorder="1" applyAlignment="1" applyProtection="1">
      <alignment horizontal="left" vertical="center" wrapText="1"/>
      <protection locked="0"/>
    </xf>
    <xf numFmtId="49" fontId="6" fillId="42" borderId="52" xfId="10" applyNumberFormat="1" applyFont="1" applyFill="1" applyBorder="1" applyAlignment="1" applyProtection="1">
      <alignment horizontal="left" vertical="center" wrapText="1" shrinkToFit="1"/>
      <protection locked="0"/>
    </xf>
    <xf numFmtId="1" fontId="6" fillId="42" borderId="53" xfId="10" applyNumberFormat="1" applyFont="1" applyFill="1" applyBorder="1" applyAlignment="1" applyProtection="1">
      <alignment horizontal="right" vertical="center" wrapText="1"/>
      <protection locked="0"/>
    </xf>
    <xf numFmtId="0" fontId="8" fillId="33" borderId="39" xfId="10" applyFont="1" applyFill="1" applyBorder="1" applyAlignment="1" applyProtection="1">
      <alignment horizontal="left" vertical="center" wrapText="1"/>
      <protection locked="0"/>
    </xf>
    <xf numFmtId="1" fontId="8" fillId="44" borderId="30" xfId="10" applyNumberFormat="1" applyFont="1" applyFill="1" applyBorder="1" applyAlignment="1" applyProtection="1">
      <alignment horizontal="left" vertical="center" wrapText="1"/>
      <protection locked="0"/>
    </xf>
    <xf numFmtId="1" fontId="8" fillId="44" borderId="176" xfId="10" applyNumberFormat="1" applyFont="1" applyFill="1" applyBorder="1" applyAlignment="1" applyProtection="1">
      <alignment horizontal="left" vertical="center" wrapText="1"/>
      <protection locked="0"/>
    </xf>
    <xf numFmtId="1" fontId="8" fillId="44" borderId="177" xfId="10" applyNumberFormat="1" applyFont="1" applyFill="1" applyBorder="1" applyAlignment="1" applyProtection="1">
      <alignment horizontal="left" vertical="center" wrapText="1"/>
      <protection locked="0"/>
    </xf>
    <xf numFmtId="1" fontId="8" fillId="44" borderId="70" xfId="10" applyNumberFormat="1" applyFont="1" applyFill="1" applyBorder="1" applyAlignment="1" applyProtection="1">
      <alignment horizontal="left" vertical="center" wrapText="1"/>
      <protection locked="0"/>
    </xf>
    <xf numFmtId="1" fontId="8" fillId="44" borderId="178" xfId="10" applyNumberFormat="1" applyFont="1" applyFill="1" applyBorder="1" applyAlignment="1" applyProtection="1">
      <alignment horizontal="left" vertical="center" wrapText="1"/>
      <protection locked="0"/>
    </xf>
    <xf numFmtId="2" fontId="6" fillId="27" borderId="17" xfId="10" applyNumberFormat="1" applyFont="1" applyFill="1" applyBorder="1" applyAlignment="1">
      <alignment horizontal="left" vertical="center" wrapText="1"/>
    </xf>
    <xf numFmtId="2" fontId="6" fillId="27" borderId="14" xfId="10" applyNumberFormat="1" applyFont="1" applyFill="1" applyBorder="1" applyAlignment="1">
      <alignment horizontal="left" vertical="center" wrapText="1"/>
    </xf>
    <xf numFmtId="1" fontId="6" fillId="27" borderId="54" xfId="10" applyNumberFormat="1" applyFont="1" applyFill="1" applyBorder="1" applyAlignment="1" applyProtection="1">
      <alignment horizontal="right" vertical="center" wrapText="1"/>
      <protection locked="0"/>
    </xf>
    <xf numFmtId="2" fontId="6" fillId="27" borderId="23" xfId="10" applyNumberFormat="1" applyFont="1" applyFill="1" applyBorder="1" applyAlignment="1">
      <alignment horizontal="left" vertical="center" wrapText="1"/>
    </xf>
    <xf numFmtId="2" fontId="6" fillId="27" borderId="6" xfId="10" applyNumberFormat="1" applyFont="1" applyFill="1" applyBorder="1" applyAlignment="1">
      <alignment horizontal="left" vertical="center" wrapText="1"/>
    </xf>
    <xf numFmtId="1" fontId="6" fillId="27" borderId="24" xfId="10" applyNumberFormat="1" applyFont="1" applyFill="1" applyBorder="1" applyAlignment="1" applyProtection="1">
      <alignment horizontal="right" vertical="center" wrapText="1"/>
      <protection locked="0"/>
    </xf>
    <xf numFmtId="0" fontId="6" fillId="27" borderId="23" xfId="10" applyFont="1" applyFill="1" applyBorder="1" applyAlignment="1" applyProtection="1">
      <alignment horizontal="left" vertical="center" wrapText="1" shrinkToFit="1"/>
      <protection locked="0"/>
    </xf>
    <xf numFmtId="0" fontId="6" fillId="27" borderId="6" xfId="10" applyFont="1" applyFill="1" applyBorder="1" applyAlignment="1" applyProtection="1">
      <alignment horizontal="left" vertical="center" wrapText="1" shrinkToFit="1"/>
      <protection locked="0"/>
    </xf>
    <xf numFmtId="0" fontId="6" fillId="27" borderId="23" xfId="10" applyFont="1" applyFill="1" applyBorder="1" applyAlignment="1" applyProtection="1">
      <alignment horizontal="left" vertical="center" wrapText="1"/>
      <protection locked="0"/>
    </xf>
    <xf numFmtId="0" fontId="6" fillId="27" borderId="6" xfId="10" applyFont="1" applyFill="1" applyBorder="1" applyAlignment="1" applyProtection="1">
      <alignment horizontal="left" vertical="center" wrapText="1"/>
      <protection locked="0"/>
    </xf>
    <xf numFmtId="49" fontId="6" fillId="27" borderId="6" xfId="10" applyNumberFormat="1" applyFont="1" applyFill="1" applyBorder="1" applyAlignment="1" applyProtection="1">
      <alignment horizontal="left" vertical="center" wrapText="1" shrinkToFit="1"/>
      <protection locked="0"/>
    </xf>
    <xf numFmtId="1" fontId="6" fillId="27" borderId="34" xfId="10" applyNumberFormat="1" applyFont="1" applyFill="1" applyBorder="1" applyAlignment="1" applyProtection="1">
      <alignment horizontal="right" vertical="center" wrapText="1"/>
      <protection locked="0"/>
    </xf>
    <xf numFmtId="2" fontId="6" fillId="27" borderId="56" xfId="10" applyNumberFormat="1" applyFont="1" applyFill="1" applyBorder="1" applyAlignment="1">
      <alignment horizontal="left" vertical="center" wrapText="1"/>
    </xf>
    <xf numFmtId="2" fontId="6" fillId="27" borderId="27" xfId="10" applyNumberFormat="1" applyFont="1" applyFill="1" applyBorder="1" applyAlignment="1">
      <alignment horizontal="left" vertical="center" wrapText="1"/>
    </xf>
    <xf numFmtId="1" fontId="6" fillId="27" borderId="68" xfId="10" applyNumberFormat="1" applyFont="1" applyFill="1" applyBorder="1" applyAlignment="1" applyProtection="1">
      <alignment horizontal="right" vertical="center" wrapText="1"/>
      <protection locked="0"/>
    </xf>
    <xf numFmtId="0" fontId="6" fillId="44" borderId="22" xfId="10" applyFont="1" applyFill="1" applyBorder="1" applyAlignment="1" applyProtection="1">
      <alignment horizontal="left" vertical="center" wrapText="1"/>
      <protection locked="0"/>
    </xf>
    <xf numFmtId="0" fontId="6" fillId="44" borderId="18" xfId="10" applyFont="1" applyFill="1" applyBorder="1" applyAlignment="1" applyProtection="1">
      <alignment horizontal="left" vertical="center" wrapText="1"/>
      <protection locked="0"/>
    </xf>
    <xf numFmtId="49" fontId="6" fillId="44" borderId="18" xfId="10" applyNumberFormat="1" applyFont="1" applyFill="1" applyBorder="1" applyAlignment="1" applyProtection="1">
      <alignment horizontal="left" vertical="center" wrapText="1" shrinkToFit="1"/>
      <protection locked="0"/>
    </xf>
    <xf numFmtId="1" fontId="6" fillId="44" borderId="50" xfId="10" applyNumberFormat="1" applyFont="1" applyFill="1" applyBorder="1" applyAlignment="1" applyProtection="1">
      <alignment horizontal="right" vertical="center" wrapText="1"/>
      <protection locked="0"/>
    </xf>
    <xf numFmtId="0" fontId="6" fillId="44" borderId="23" xfId="10" applyFont="1" applyFill="1" applyBorder="1" applyAlignment="1" applyProtection="1">
      <alignment horizontal="left" vertical="center" wrapText="1"/>
      <protection locked="0"/>
    </xf>
    <xf numFmtId="0" fontId="6" fillId="44" borderId="6" xfId="10" applyFont="1" applyFill="1" applyBorder="1" applyAlignment="1" applyProtection="1">
      <alignment horizontal="left" vertical="center" wrapText="1"/>
      <protection locked="0"/>
    </xf>
    <xf numFmtId="49" fontId="6" fillId="44" borderId="6" xfId="10" applyNumberFormat="1" applyFont="1" applyFill="1" applyBorder="1" applyAlignment="1" applyProtection="1">
      <alignment horizontal="left" vertical="center" wrapText="1" shrinkToFit="1"/>
      <protection locked="0"/>
    </xf>
    <xf numFmtId="1" fontId="6" fillId="44" borderId="34" xfId="10" applyNumberFormat="1" applyFont="1" applyFill="1" applyBorder="1" applyAlignment="1" applyProtection="1">
      <alignment horizontal="right" vertical="center" wrapText="1"/>
      <protection locked="0"/>
    </xf>
    <xf numFmtId="2" fontId="6" fillId="44" borderId="15" xfId="10" applyNumberFormat="1" applyFont="1" applyFill="1" applyBorder="1" applyAlignment="1">
      <alignment horizontal="left" vertical="center" wrapText="1"/>
    </xf>
    <xf numFmtId="2" fontId="6" fillId="44" borderId="25" xfId="10" applyNumberFormat="1" applyFont="1" applyFill="1" applyBorder="1" applyAlignment="1">
      <alignment horizontal="left" vertical="center" wrapText="1"/>
    </xf>
    <xf numFmtId="1" fontId="6" fillId="44" borderId="49" xfId="10" applyNumberFormat="1" applyFont="1" applyFill="1" applyBorder="1" applyAlignment="1" applyProtection="1">
      <alignment horizontal="right" vertical="center" wrapText="1"/>
      <protection locked="0"/>
    </xf>
    <xf numFmtId="0" fontId="6" fillId="27" borderId="22" xfId="10" applyFont="1" applyFill="1" applyBorder="1" applyAlignment="1" applyProtection="1">
      <alignment horizontal="left" vertical="center" wrapText="1"/>
      <protection locked="0"/>
    </xf>
    <xf numFmtId="0" fontId="6" fillId="27" borderId="18" xfId="10" applyFont="1" applyFill="1" applyBorder="1" applyAlignment="1" applyProtection="1">
      <alignment horizontal="left" vertical="center" wrapText="1"/>
      <protection locked="0"/>
    </xf>
    <xf numFmtId="49" fontId="6" fillId="27" borderId="18" xfId="10" applyNumberFormat="1" applyFont="1" applyFill="1" applyBorder="1" applyAlignment="1" applyProtection="1">
      <alignment horizontal="left" vertical="center" wrapText="1" shrinkToFit="1"/>
      <protection locked="0"/>
    </xf>
    <xf numFmtId="1" fontId="6" fillId="27" borderId="50" xfId="10" applyNumberFormat="1" applyFont="1" applyFill="1" applyBorder="1" applyAlignment="1" applyProtection="1">
      <alignment horizontal="right" vertical="center" wrapText="1"/>
      <protection locked="0"/>
    </xf>
    <xf numFmtId="2" fontId="6" fillId="27" borderId="15" xfId="10" applyNumberFormat="1" applyFont="1" applyFill="1" applyBorder="1" applyAlignment="1">
      <alignment horizontal="left" vertical="center" wrapText="1"/>
    </xf>
    <xf numFmtId="2" fontId="6" fillId="27" borderId="25" xfId="10" applyNumberFormat="1" applyFont="1" applyFill="1" applyBorder="1" applyAlignment="1">
      <alignment horizontal="left" vertical="center" wrapText="1"/>
    </xf>
    <xf numFmtId="1" fontId="6" fillId="27" borderId="49" xfId="10" applyNumberFormat="1" applyFont="1" applyFill="1" applyBorder="1" applyAlignment="1" applyProtection="1">
      <alignment horizontal="right" vertical="center" wrapText="1"/>
      <protection locked="0"/>
    </xf>
    <xf numFmtId="1" fontId="8" fillId="44" borderId="16" xfId="10" applyNumberFormat="1" applyFont="1" applyFill="1" applyBorder="1" applyAlignment="1" applyProtection="1">
      <alignment horizontal="left" vertical="center" wrapText="1"/>
      <protection locked="0"/>
    </xf>
    <xf numFmtId="1" fontId="8" fillId="44" borderId="47" xfId="10" applyNumberFormat="1" applyFont="1" applyFill="1" applyBorder="1" applyAlignment="1" applyProtection="1">
      <alignment horizontal="left" vertical="center" wrapText="1"/>
      <protection locked="0"/>
    </xf>
    <xf numFmtId="1" fontId="8" fillId="44" borderId="66" xfId="10" applyNumberFormat="1" applyFont="1" applyFill="1" applyBorder="1" applyAlignment="1" applyProtection="1">
      <alignment horizontal="left" vertical="center" wrapText="1"/>
      <protection locked="0"/>
    </xf>
    <xf numFmtId="0" fontId="6" fillId="27" borderId="22" xfId="10" applyFont="1" applyFill="1" applyBorder="1" applyAlignment="1">
      <alignment horizontal="left" vertical="center" shrinkToFit="1"/>
    </xf>
    <xf numFmtId="0" fontId="6" fillId="27" borderId="18" xfId="10" applyFont="1" applyFill="1" applyBorder="1" applyAlignment="1" applyProtection="1">
      <alignment horizontal="left" vertical="center" wrapText="1" shrinkToFit="1"/>
      <protection locked="0"/>
    </xf>
    <xf numFmtId="0" fontId="6" fillId="27" borderId="18" xfId="10" applyFont="1" applyFill="1" applyBorder="1" applyAlignment="1" applyProtection="1">
      <alignment horizontal="left" vertical="center" shrinkToFit="1"/>
      <protection locked="0"/>
    </xf>
    <xf numFmtId="1" fontId="6" fillId="27" borderId="29" xfId="10" applyNumberFormat="1" applyFont="1" applyFill="1" applyBorder="1" applyAlignment="1" applyProtection="1">
      <alignment horizontal="right" vertical="center" shrinkToFit="1"/>
      <protection locked="0"/>
    </xf>
    <xf numFmtId="49" fontId="6" fillId="27" borderId="23" xfId="10" applyNumberFormat="1" applyFont="1" applyFill="1" applyBorder="1" applyAlignment="1" applyProtection="1">
      <alignment horizontal="left" vertical="center" shrinkToFit="1"/>
      <protection locked="0"/>
    </xf>
    <xf numFmtId="0" fontId="6" fillId="27" borderId="6" xfId="10" applyFont="1" applyFill="1" applyBorder="1" applyAlignment="1" applyProtection="1">
      <alignment horizontal="left" vertical="center" shrinkToFit="1"/>
      <protection locked="0"/>
    </xf>
    <xf numFmtId="1" fontId="6" fillId="27" borderId="24" xfId="10" applyNumberFormat="1" applyFont="1" applyFill="1" applyBorder="1" applyAlignment="1" applyProtection="1">
      <alignment horizontal="right" vertical="center" shrinkToFit="1"/>
      <protection locked="0"/>
    </xf>
    <xf numFmtId="0" fontId="6" fillId="27" borderId="23" xfId="10" applyFont="1" applyFill="1" applyBorder="1" applyAlignment="1" applyProtection="1">
      <alignment horizontal="left" vertical="center" shrinkToFit="1"/>
      <protection locked="0"/>
    </xf>
    <xf numFmtId="2" fontId="6" fillId="27" borderId="23" xfId="10" applyNumberFormat="1" applyFont="1" applyFill="1" applyBorder="1" applyAlignment="1" applyProtection="1">
      <alignment horizontal="left" vertical="center" shrinkToFit="1"/>
      <protection locked="0"/>
    </xf>
    <xf numFmtId="2" fontId="6" fillId="27" borderId="6" xfId="10" applyNumberFormat="1" applyFont="1" applyFill="1" applyBorder="1" applyAlignment="1" applyProtection="1">
      <alignment horizontal="left" vertical="center" wrapText="1" shrinkToFit="1"/>
      <protection locked="0"/>
    </xf>
    <xf numFmtId="2" fontId="6" fillId="27" borderId="6" xfId="10" applyNumberFormat="1" applyFont="1" applyFill="1" applyBorder="1" applyAlignment="1" applyProtection="1">
      <alignment horizontal="left" vertical="center" shrinkToFit="1"/>
      <protection locked="0"/>
    </xf>
    <xf numFmtId="2" fontId="6" fillId="27" borderId="56" xfId="10" applyNumberFormat="1" applyFont="1" applyFill="1" applyBorder="1" applyAlignment="1" applyProtection="1">
      <alignment horizontal="left" vertical="center" shrinkToFit="1"/>
      <protection locked="0"/>
    </xf>
    <xf numFmtId="2" fontId="6" fillId="27" borderId="27" xfId="10" applyNumberFormat="1" applyFont="1" applyFill="1" applyBorder="1" applyAlignment="1" applyProtection="1">
      <alignment horizontal="left" vertical="center" wrapText="1" shrinkToFit="1"/>
      <protection locked="0"/>
    </xf>
    <xf numFmtId="2" fontId="6" fillId="27" borderId="27" xfId="10" applyNumberFormat="1" applyFont="1" applyFill="1" applyBorder="1" applyAlignment="1" applyProtection="1">
      <alignment horizontal="left" vertical="center" shrinkToFit="1"/>
      <protection locked="0"/>
    </xf>
    <xf numFmtId="1" fontId="6" fillId="27" borderId="28" xfId="10" applyNumberFormat="1" applyFont="1" applyFill="1" applyBorder="1" applyAlignment="1" applyProtection="1">
      <alignment horizontal="right" vertical="center" shrinkToFit="1"/>
      <protection locked="0"/>
    </xf>
    <xf numFmtId="0" fontId="6" fillId="44" borderId="22" xfId="10" applyFont="1" applyFill="1" applyBorder="1" applyAlignment="1">
      <alignment horizontal="left" vertical="center" shrinkToFit="1"/>
    </xf>
    <xf numFmtId="0" fontId="6" fillId="44" borderId="18" xfId="10" applyFont="1" applyFill="1" applyBorder="1" applyAlignment="1" applyProtection="1">
      <alignment horizontal="left" vertical="center" wrapText="1" shrinkToFit="1"/>
      <protection locked="0"/>
    </xf>
    <xf numFmtId="49" fontId="6" fillId="44" borderId="18" xfId="10" applyNumberFormat="1" applyFont="1" applyFill="1" applyBorder="1" applyAlignment="1">
      <alignment horizontal="left" vertical="center" wrapText="1" shrinkToFit="1"/>
    </xf>
    <xf numFmtId="0" fontId="6" fillId="44" borderId="18" xfId="10" applyFont="1" applyFill="1" applyBorder="1" applyAlignment="1" applyProtection="1">
      <alignment horizontal="left" vertical="center" shrinkToFit="1"/>
      <protection locked="0"/>
    </xf>
    <xf numFmtId="1" fontId="6" fillId="44" borderId="29" xfId="10" applyNumberFormat="1" applyFont="1" applyFill="1" applyBorder="1" applyAlignment="1" applyProtection="1">
      <alignment horizontal="right" vertical="center" shrinkToFit="1"/>
      <protection locked="0"/>
    </xf>
    <xf numFmtId="0" fontId="6" fillId="44" borderId="23" xfId="10" applyFont="1" applyFill="1" applyBorder="1" applyAlignment="1" applyProtection="1">
      <alignment horizontal="left" vertical="center" shrinkToFit="1"/>
      <protection locked="0"/>
    </xf>
    <xf numFmtId="2" fontId="6" fillId="44" borderId="6" xfId="10" applyNumberFormat="1" applyFont="1" applyFill="1" applyBorder="1" applyAlignment="1">
      <alignment horizontal="left" vertical="center" wrapText="1"/>
    </xf>
    <xf numFmtId="49" fontId="6" fillId="44" borderId="6" xfId="10" applyNumberFormat="1" applyFont="1" applyFill="1" applyBorder="1" applyAlignment="1">
      <alignment horizontal="left" vertical="center" wrapText="1" shrinkToFit="1"/>
    </xf>
    <xf numFmtId="0" fontId="6" fillId="44" borderId="6" xfId="10" applyFont="1" applyFill="1" applyBorder="1" applyAlignment="1" applyProtection="1">
      <alignment horizontal="left" vertical="center" shrinkToFit="1"/>
      <protection locked="0"/>
    </xf>
    <xf numFmtId="1" fontId="6" fillId="44" borderId="24" xfId="10" applyNumberFormat="1" applyFont="1" applyFill="1" applyBorder="1" applyAlignment="1" applyProtection="1">
      <alignment horizontal="right" vertical="center" shrinkToFit="1"/>
      <protection locked="0"/>
    </xf>
    <xf numFmtId="0" fontId="6" fillId="44" borderId="6" xfId="10" applyFont="1" applyFill="1" applyBorder="1" applyAlignment="1" applyProtection="1">
      <alignment horizontal="left" vertical="center" wrapText="1" shrinkToFit="1"/>
      <protection locked="0"/>
    </xf>
    <xf numFmtId="49" fontId="6" fillId="44" borderId="6" xfId="10" applyNumberFormat="1" applyFont="1" applyFill="1" applyBorder="1" applyAlignment="1">
      <alignment horizontal="left" vertical="center" wrapText="1"/>
    </xf>
    <xf numFmtId="0" fontId="6" fillId="44" borderId="6" xfId="10" applyFont="1" applyFill="1" applyBorder="1" applyAlignment="1">
      <alignment horizontal="left" vertical="center" shrinkToFit="1"/>
    </xf>
    <xf numFmtId="1" fontId="6" fillId="44" borderId="24" xfId="10" applyNumberFormat="1" applyFont="1" applyFill="1" applyBorder="1" applyAlignment="1">
      <alignment horizontal="right" vertical="center" shrinkToFit="1"/>
    </xf>
    <xf numFmtId="0" fontId="6" fillId="44" borderId="56" xfId="10" applyFont="1" applyFill="1" applyBorder="1" applyAlignment="1" applyProtection="1">
      <alignment horizontal="left" vertical="center" shrinkToFit="1"/>
      <protection locked="0"/>
    </xf>
    <xf numFmtId="0" fontId="6" fillId="44" borderId="27" xfId="10" applyFont="1" applyFill="1" applyBorder="1" applyAlignment="1" applyProtection="1">
      <alignment horizontal="left" vertical="center" wrapText="1" shrinkToFit="1"/>
      <protection locked="0"/>
    </xf>
    <xf numFmtId="49" fontId="6" fillId="44" borderId="27" xfId="10" applyNumberFormat="1" applyFont="1" applyFill="1" applyBorder="1" applyAlignment="1" applyProtection="1">
      <alignment horizontal="left" vertical="center" wrapText="1" shrinkToFit="1"/>
      <protection locked="0"/>
    </xf>
    <xf numFmtId="0" fontId="6" fillId="44" borderId="27" xfId="10" applyFont="1" applyFill="1" applyBorder="1" applyAlignment="1" applyProtection="1">
      <alignment horizontal="left" vertical="center" shrinkToFit="1"/>
      <protection locked="0"/>
    </xf>
    <xf numFmtId="1" fontId="6" fillId="44" borderId="28" xfId="10" applyNumberFormat="1" applyFont="1" applyFill="1" applyBorder="1" applyAlignment="1" applyProtection="1">
      <alignment horizontal="right" vertical="center" shrinkToFit="1"/>
      <protection locked="0"/>
    </xf>
    <xf numFmtId="0" fontId="6" fillId="27" borderId="56" xfId="10" applyFont="1" applyFill="1" applyBorder="1" applyAlignment="1" applyProtection="1">
      <alignment horizontal="left" vertical="center" shrinkToFit="1"/>
      <protection locked="0"/>
    </xf>
    <xf numFmtId="0" fontId="6" fillId="27" borderId="27" xfId="10" applyFont="1" applyFill="1" applyBorder="1" applyAlignment="1" applyProtection="1">
      <alignment horizontal="left" vertical="center" wrapText="1" shrinkToFit="1"/>
      <protection locked="0"/>
    </xf>
    <xf numFmtId="49" fontId="6" fillId="27" borderId="27" xfId="10" applyNumberFormat="1" applyFont="1" applyFill="1" applyBorder="1" applyAlignment="1" applyProtection="1">
      <alignment horizontal="left" vertical="center" wrapText="1" shrinkToFit="1"/>
      <protection locked="0"/>
    </xf>
    <xf numFmtId="0" fontId="6" fillId="27" borderId="27" xfId="10" applyFont="1" applyFill="1" applyBorder="1" applyAlignment="1" applyProtection="1">
      <alignment horizontal="left" vertical="center" shrinkToFit="1"/>
      <protection locked="0"/>
    </xf>
    <xf numFmtId="0" fontId="6" fillId="44" borderId="18" xfId="10" applyFont="1" applyFill="1" applyBorder="1" applyAlignment="1">
      <alignment horizontal="left" vertical="center" shrinkToFit="1"/>
    </xf>
    <xf numFmtId="1" fontId="6" fillId="44" borderId="29" xfId="10" applyNumberFormat="1" applyFont="1" applyFill="1" applyBorder="1" applyAlignment="1">
      <alignment horizontal="right" vertical="center" shrinkToFit="1"/>
    </xf>
    <xf numFmtId="49" fontId="6" fillId="44" borderId="23" xfId="10" applyNumberFormat="1" applyFont="1" applyFill="1" applyBorder="1" applyAlignment="1" applyProtection="1">
      <alignment horizontal="left" vertical="center" shrinkToFit="1"/>
      <protection locked="0"/>
    </xf>
    <xf numFmtId="0" fontId="6" fillId="44" borderId="6" xfId="10" applyFont="1" applyFill="1" applyBorder="1" applyAlignment="1">
      <alignment horizontal="left" vertical="center" wrapText="1" shrinkToFit="1"/>
    </xf>
    <xf numFmtId="0" fontId="6" fillId="44" borderId="56" xfId="10" applyFont="1" applyFill="1" applyBorder="1" applyAlignment="1">
      <alignment horizontal="left" vertical="center" shrinkToFit="1"/>
    </xf>
    <xf numFmtId="2" fontId="6" fillId="44" borderId="27" xfId="10" applyNumberFormat="1" applyFont="1" applyFill="1" applyBorder="1" applyAlignment="1" applyProtection="1">
      <alignment horizontal="left" vertical="center" wrapText="1" shrinkToFit="1"/>
      <protection locked="0"/>
    </xf>
    <xf numFmtId="49" fontId="6" fillId="44" borderId="27" xfId="10" applyNumberFormat="1" applyFont="1" applyFill="1" applyBorder="1" applyAlignment="1">
      <alignment horizontal="left" vertical="center" wrapText="1" shrinkToFit="1"/>
    </xf>
    <xf numFmtId="0" fontId="6" fillId="44" borderId="27" xfId="10" applyFont="1" applyFill="1" applyBorder="1" applyAlignment="1">
      <alignment horizontal="left" vertical="center" shrinkToFit="1"/>
    </xf>
    <xf numFmtId="1" fontId="6" fillId="44" borderId="28" xfId="10" applyNumberFormat="1" applyFont="1" applyFill="1" applyBorder="1" applyAlignment="1">
      <alignment horizontal="right" vertical="center" shrinkToFit="1"/>
    </xf>
    <xf numFmtId="0" fontId="6" fillId="27" borderId="18" xfId="10" applyFont="1" applyFill="1" applyBorder="1" applyAlignment="1">
      <alignment horizontal="left" vertical="center" shrinkToFit="1"/>
    </xf>
    <xf numFmtId="1" fontId="6" fillId="27" borderId="29" xfId="10" applyNumberFormat="1" applyFont="1" applyFill="1" applyBorder="1" applyAlignment="1">
      <alignment horizontal="right" vertical="center" shrinkToFit="1"/>
    </xf>
    <xf numFmtId="0" fontId="6" fillId="27" borderId="6" xfId="10" applyFont="1" applyFill="1" applyBorder="1" applyAlignment="1">
      <alignment horizontal="left" vertical="center" shrinkToFit="1"/>
    </xf>
    <xf numFmtId="1" fontId="6" fillId="27" borderId="24" xfId="10" applyNumberFormat="1" applyFont="1" applyFill="1" applyBorder="1" applyAlignment="1">
      <alignment horizontal="right" vertical="center" shrinkToFit="1"/>
    </xf>
    <xf numFmtId="0" fontId="6" fillId="27" borderId="6" xfId="10" applyFont="1" applyFill="1" applyBorder="1" applyAlignment="1">
      <alignment horizontal="left" vertical="center" wrapText="1" shrinkToFit="1"/>
    </xf>
    <xf numFmtId="0" fontId="6" fillId="27" borderId="23" xfId="10" applyFont="1" applyFill="1" applyBorder="1" applyAlignment="1">
      <alignment horizontal="left" vertical="center" shrinkToFit="1"/>
    </xf>
    <xf numFmtId="49" fontId="6" fillId="27" borderId="6" xfId="10" applyNumberFormat="1" applyFont="1" applyFill="1" applyBorder="1" applyAlignment="1">
      <alignment horizontal="left" vertical="center" wrapText="1" shrinkToFit="1"/>
    </xf>
    <xf numFmtId="0" fontId="6" fillId="27" borderId="56" xfId="10" applyFont="1" applyFill="1" applyBorder="1" applyAlignment="1">
      <alignment horizontal="left" vertical="center" shrinkToFit="1"/>
    </xf>
    <xf numFmtId="0" fontId="6" fillId="27" borderId="27" xfId="10" applyFont="1" applyFill="1" applyBorder="1" applyAlignment="1">
      <alignment horizontal="left" vertical="center" wrapText="1" shrinkToFit="1"/>
    </xf>
    <xf numFmtId="49" fontId="6" fillId="27" borderId="27" xfId="10" applyNumberFormat="1" applyFont="1" applyFill="1" applyBorder="1" applyAlignment="1">
      <alignment horizontal="left" vertical="center" wrapText="1" shrinkToFit="1"/>
    </xf>
    <xf numFmtId="0" fontId="6" fillId="27" borderId="27" xfId="10" applyFont="1" applyFill="1" applyBorder="1" applyAlignment="1">
      <alignment horizontal="left" vertical="center" shrinkToFit="1"/>
    </xf>
    <xf numFmtId="1" fontId="6" fillId="27" borderId="28" xfId="10" applyNumberFormat="1" applyFont="1" applyFill="1" applyBorder="1" applyAlignment="1">
      <alignment horizontal="right" vertical="center" shrinkToFit="1"/>
    </xf>
    <xf numFmtId="0" fontId="6" fillId="44" borderId="40" xfId="10" applyFont="1" applyFill="1" applyBorder="1" applyAlignment="1" applyProtection="1">
      <alignment horizontal="left" vertical="center" wrapText="1"/>
      <protection locked="0"/>
    </xf>
    <xf numFmtId="0" fontId="6" fillId="44" borderId="13" xfId="10" applyFont="1" applyFill="1" applyBorder="1" applyAlignment="1" applyProtection="1">
      <alignment horizontal="left" vertical="center" wrapText="1"/>
      <protection locked="0"/>
    </xf>
    <xf numFmtId="1" fontId="6" fillId="44" borderId="19" xfId="10" applyNumberFormat="1" applyFont="1" applyFill="1" applyBorder="1" applyAlignment="1" applyProtection="1">
      <alignment horizontal="right" vertical="center" wrapText="1"/>
      <protection locked="0"/>
    </xf>
    <xf numFmtId="1" fontId="6" fillId="27" borderId="29" xfId="10" applyNumberFormat="1" applyFont="1" applyFill="1" applyBorder="1" applyAlignment="1" applyProtection="1">
      <alignment horizontal="right" vertical="center" wrapText="1"/>
      <protection locked="0"/>
    </xf>
    <xf numFmtId="0" fontId="6" fillId="44" borderId="55" xfId="10" applyFont="1" applyFill="1" applyBorder="1" applyAlignment="1" applyProtection="1">
      <alignment horizontal="left" vertical="center" wrapText="1"/>
      <protection locked="0"/>
    </xf>
    <xf numFmtId="0" fontId="6" fillId="44" borderId="52" xfId="10" applyFont="1" applyFill="1" applyBorder="1" applyAlignment="1" applyProtection="1">
      <alignment horizontal="left" vertical="center" wrapText="1"/>
      <protection locked="0"/>
    </xf>
    <xf numFmtId="49" fontId="6" fillId="44" borderId="52" xfId="10" applyNumberFormat="1" applyFont="1" applyFill="1" applyBorder="1" applyAlignment="1" applyProtection="1">
      <alignment horizontal="left" vertical="center" wrapText="1" shrinkToFit="1"/>
      <protection locked="0"/>
    </xf>
    <xf numFmtId="1" fontId="6" fillId="44" borderId="53" xfId="10" applyNumberFormat="1" applyFont="1" applyFill="1" applyBorder="1" applyAlignment="1" applyProtection="1">
      <alignment horizontal="right" vertical="center" wrapText="1"/>
      <protection locked="0"/>
    </xf>
    <xf numFmtId="1" fontId="6" fillId="15" borderId="0" xfId="10" applyNumberFormat="1" applyFont="1" applyFill="1" applyAlignment="1" applyProtection="1">
      <alignment horizontal="left" vertical="center" wrapText="1"/>
      <protection locked="0"/>
    </xf>
    <xf numFmtId="1" fontId="6" fillId="15" borderId="5" xfId="10" applyNumberFormat="1" applyFont="1" applyFill="1" applyBorder="1" applyAlignment="1" applyProtection="1">
      <alignment horizontal="left" vertical="center" wrapText="1"/>
      <protection locked="0"/>
    </xf>
    <xf numFmtId="2" fontId="6" fillId="9" borderId="0" xfId="10" applyNumberFormat="1" applyFont="1" applyFill="1" applyAlignment="1" applyProtection="1">
      <alignment horizontal="right" vertical="center" wrapText="1"/>
      <protection locked="0"/>
    </xf>
    <xf numFmtId="2" fontId="6" fillId="9" borderId="5" xfId="10" applyNumberFormat="1" applyFont="1" applyFill="1" applyBorder="1" applyAlignment="1" applyProtection="1">
      <alignment horizontal="right" vertical="center" wrapText="1"/>
      <protection locked="0"/>
    </xf>
    <xf numFmtId="0" fontId="6" fillId="40" borderId="14" xfId="10" applyFont="1" applyFill="1" applyBorder="1" applyAlignment="1" applyProtection="1">
      <alignment horizontal="left" vertical="center" wrapText="1" shrinkToFit="1"/>
      <protection locked="0"/>
    </xf>
    <xf numFmtId="49" fontId="6" fillId="40" borderId="14" xfId="10" applyNumberFormat="1" applyFont="1" applyFill="1" applyBorder="1" applyAlignment="1" applyProtection="1">
      <alignment horizontal="left" vertical="center" wrapText="1" shrinkToFit="1"/>
      <protection locked="0"/>
    </xf>
    <xf numFmtId="0" fontId="6" fillId="40" borderId="14" xfId="10" applyFont="1" applyFill="1" applyBorder="1" applyAlignment="1" applyProtection="1">
      <alignment horizontal="left" vertical="center" shrinkToFit="1"/>
      <protection locked="0"/>
    </xf>
    <xf numFmtId="1" fontId="6" fillId="40" borderId="54" xfId="10" applyNumberFormat="1" applyFont="1" applyFill="1" applyBorder="1" applyAlignment="1" applyProtection="1">
      <alignment horizontal="right" vertical="center" shrinkToFit="1"/>
      <protection locked="0"/>
    </xf>
    <xf numFmtId="2" fontId="6" fillId="15" borderId="17" xfId="10" applyNumberFormat="1" applyFont="1" applyFill="1" applyBorder="1" applyAlignment="1" applyProtection="1">
      <alignment horizontal="right" vertical="center" shrinkToFit="1"/>
      <protection locked="0"/>
    </xf>
    <xf numFmtId="2" fontId="6" fillId="7" borderId="14" xfId="10" applyNumberFormat="1" applyFont="1" applyFill="1" applyBorder="1" applyAlignment="1" applyProtection="1">
      <alignment horizontal="right" vertical="center" shrinkToFit="1"/>
      <protection locked="0"/>
    </xf>
    <xf numFmtId="2" fontId="6" fillId="7" borderId="54" xfId="10" applyNumberFormat="1" applyFont="1" applyFill="1" applyBorder="1" applyAlignment="1" applyProtection="1">
      <alignment horizontal="right" vertical="center" shrinkToFit="1"/>
      <protection locked="0"/>
    </xf>
    <xf numFmtId="2" fontId="6" fillId="15" borderId="69" xfId="10" applyNumberFormat="1" applyFont="1" applyFill="1" applyBorder="1" applyAlignment="1" applyProtection="1">
      <alignment horizontal="right" vertical="center" shrinkToFit="1"/>
      <protection locked="0"/>
    </xf>
    <xf numFmtId="49" fontId="6" fillId="40" borderId="17" xfId="10" applyNumberFormat="1" applyFont="1" applyFill="1" applyBorder="1" applyAlignment="1" applyProtection="1">
      <alignment horizontal="left" vertical="center" shrinkToFit="1"/>
      <protection locked="0"/>
    </xf>
    <xf numFmtId="0" fontId="6" fillId="40" borderId="179" xfId="10" applyFont="1" applyFill="1" applyBorder="1" applyAlignment="1">
      <alignment horizontal="left" vertical="center" shrinkToFit="1"/>
    </xf>
    <xf numFmtId="0" fontId="6" fillId="40" borderId="180" xfId="10" applyFont="1" applyFill="1" applyBorder="1" applyAlignment="1" applyProtection="1">
      <alignment horizontal="left" vertical="center" wrapText="1" shrinkToFit="1"/>
      <protection locked="0"/>
    </xf>
    <xf numFmtId="49" fontId="6" fillId="40" borderId="180" xfId="10" applyNumberFormat="1" applyFont="1" applyFill="1" applyBorder="1" applyAlignment="1" applyProtection="1">
      <alignment horizontal="left" vertical="center" wrapText="1" shrinkToFit="1"/>
      <protection locked="0"/>
    </xf>
    <xf numFmtId="0" fontId="6" fillId="40" borderId="180" xfId="10" applyFont="1" applyFill="1" applyBorder="1" applyAlignment="1" applyProtection="1">
      <alignment horizontal="left" vertical="center" shrinkToFit="1"/>
      <protection locked="0"/>
    </xf>
    <xf numFmtId="1" fontId="6" fillId="40" borderId="181" xfId="10" applyNumberFormat="1" applyFont="1" applyFill="1" applyBorder="1" applyAlignment="1" applyProtection="1">
      <alignment horizontal="right" vertical="center" shrinkToFit="1"/>
      <protection locked="0"/>
    </xf>
    <xf numFmtId="0" fontId="6" fillId="40" borderId="55" xfId="10" applyFont="1" applyFill="1" applyBorder="1" applyAlignment="1">
      <alignment horizontal="left" vertical="center" shrinkToFit="1"/>
    </xf>
    <xf numFmtId="0" fontId="6" fillId="40" borderId="52" xfId="10" applyFont="1" applyFill="1" applyBorder="1" applyAlignment="1" applyProtection="1">
      <alignment horizontal="left" vertical="center" wrapText="1" shrinkToFit="1"/>
      <protection locked="0"/>
    </xf>
    <xf numFmtId="49" fontId="6" fillId="40" borderId="52" xfId="10" applyNumberFormat="1" applyFont="1" applyFill="1" applyBorder="1" applyAlignment="1" applyProtection="1">
      <alignment horizontal="left" vertical="center" wrapText="1" shrinkToFit="1"/>
      <protection locked="0"/>
    </xf>
    <xf numFmtId="0" fontId="6" fillId="40" borderId="52" xfId="10" applyFont="1" applyFill="1" applyBorder="1" applyAlignment="1" applyProtection="1">
      <alignment horizontal="left" vertical="center" shrinkToFit="1"/>
      <protection locked="0"/>
    </xf>
    <xf numFmtId="1" fontId="6" fillId="40" borderId="53" xfId="10" applyNumberFormat="1" applyFont="1" applyFill="1" applyBorder="1" applyAlignment="1" applyProtection="1">
      <alignment horizontal="right" vertical="center" shrinkToFit="1"/>
      <protection locked="0"/>
    </xf>
    <xf numFmtId="49" fontId="6" fillId="36" borderId="180" xfId="10" applyNumberFormat="1" applyFont="1" applyFill="1" applyBorder="1" applyAlignment="1">
      <alignment horizontal="left" vertical="center" wrapText="1" shrinkToFit="1"/>
    </xf>
    <xf numFmtId="0" fontId="6" fillId="36" borderId="180" xfId="10" applyFont="1" applyFill="1" applyBorder="1" applyAlignment="1" applyProtection="1">
      <alignment horizontal="left" vertical="center" shrinkToFit="1"/>
      <protection locked="0"/>
    </xf>
    <xf numFmtId="1" fontId="6" fillId="36" borderId="181" xfId="10" applyNumberFormat="1" applyFont="1" applyFill="1" applyBorder="1" applyAlignment="1" applyProtection="1">
      <alignment horizontal="right" vertical="center" shrinkToFit="1"/>
      <protection locked="0"/>
    </xf>
    <xf numFmtId="0" fontId="6" fillId="36" borderId="55" xfId="10" applyFont="1" applyFill="1" applyBorder="1" applyAlignment="1">
      <alignment horizontal="left" vertical="center" shrinkToFit="1"/>
    </xf>
    <xf numFmtId="49" fontId="6" fillId="36" borderId="52" xfId="10" applyNumberFormat="1" applyFont="1" applyFill="1" applyBorder="1" applyAlignment="1">
      <alignment horizontal="left" vertical="center" wrapText="1" shrinkToFit="1"/>
    </xf>
    <xf numFmtId="0" fontId="6" fillId="36" borderId="52" xfId="10" applyFont="1" applyFill="1" applyBorder="1" applyAlignment="1" applyProtection="1">
      <alignment horizontal="left" vertical="center" shrinkToFit="1"/>
      <protection locked="0"/>
    </xf>
    <xf numFmtId="1" fontId="6" fillId="36" borderId="53" xfId="10" applyNumberFormat="1" applyFont="1" applyFill="1" applyBorder="1" applyAlignment="1" applyProtection="1">
      <alignment horizontal="right" vertical="center" shrinkToFit="1"/>
      <protection locked="0"/>
    </xf>
    <xf numFmtId="0" fontId="6" fillId="36" borderId="179" xfId="10" applyFont="1" applyFill="1" applyBorder="1" applyAlignment="1">
      <alignment horizontal="left" vertical="center" shrinkToFit="1"/>
    </xf>
    <xf numFmtId="0" fontId="6" fillId="36" borderId="15" xfId="10" applyFont="1" applyFill="1" applyBorder="1" applyAlignment="1" applyProtection="1">
      <alignment horizontal="left" vertical="center" shrinkToFit="1"/>
      <protection locked="0"/>
    </xf>
    <xf numFmtId="49" fontId="6" fillId="36" borderId="25" xfId="10" applyNumberFormat="1" applyFont="1" applyFill="1" applyBorder="1" applyAlignment="1">
      <alignment horizontal="left" vertical="center" wrapText="1" shrinkToFit="1"/>
    </xf>
    <xf numFmtId="0" fontId="6" fillId="36" borderId="25" xfId="10" applyFont="1" applyFill="1" applyBorder="1" applyAlignment="1" applyProtection="1">
      <alignment horizontal="left" vertical="center" shrinkToFit="1"/>
      <protection locked="0"/>
    </xf>
    <xf numFmtId="1" fontId="6" fillId="36" borderId="57" xfId="10" applyNumberFormat="1" applyFont="1" applyFill="1" applyBorder="1" applyAlignment="1" applyProtection="1">
      <alignment horizontal="right" vertical="center" shrinkToFit="1"/>
      <protection locked="0"/>
    </xf>
    <xf numFmtId="49" fontId="6" fillId="38" borderId="179" xfId="10" applyNumberFormat="1" applyFont="1" applyFill="1" applyBorder="1" applyAlignment="1" applyProtection="1">
      <alignment horizontal="left" vertical="center" shrinkToFit="1"/>
      <protection locked="0"/>
    </xf>
    <xf numFmtId="0" fontId="6" fillId="38" borderId="180" xfId="10" applyFont="1" applyFill="1" applyBorder="1" applyAlignment="1" applyProtection="1">
      <alignment horizontal="left" vertical="center" wrapText="1" shrinkToFit="1"/>
      <protection locked="0"/>
    </xf>
    <xf numFmtId="49" fontId="6" fillId="38" borderId="180" xfId="10" applyNumberFormat="1" applyFont="1" applyFill="1" applyBorder="1" applyAlignment="1" applyProtection="1">
      <alignment horizontal="left" vertical="center" wrapText="1" shrinkToFit="1"/>
      <protection locked="0"/>
    </xf>
    <xf numFmtId="0" fontId="6" fillId="38" borderId="180" xfId="10" applyFont="1" applyFill="1" applyBorder="1" applyAlignment="1" applyProtection="1">
      <alignment horizontal="left" vertical="center" shrinkToFit="1"/>
      <protection locked="0"/>
    </xf>
    <xf numFmtId="1" fontId="6" fillId="38" borderId="181" xfId="10" applyNumberFormat="1" applyFont="1" applyFill="1" applyBorder="1" applyAlignment="1" applyProtection="1">
      <alignment horizontal="right" vertical="center" shrinkToFit="1"/>
      <protection locked="0"/>
    </xf>
    <xf numFmtId="0" fontId="6" fillId="29" borderId="179" xfId="10" applyFont="1" applyFill="1" applyBorder="1" applyAlignment="1" applyProtection="1">
      <alignment horizontal="left" vertical="center" shrinkToFit="1"/>
      <protection locked="0"/>
    </xf>
    <xf numFmtId="2" fontId="6" fillId="29" borderId="180" xfId="10" applyNumberFormat="1" applyFont="1" applyFill="1" applyBorder="1" applyAlignment="1">
      <alignment horizontal="left" vertical="center" wrapText="1"/>
    </xf>
    <xf numFmtId="49" fontId="6" fillId="29" borderId="180" xfId="10" applyNumberFormat="1" applyFont="1" applyFill="1" applyBorder="1" applyAlignment="1">
      <alignment horizontal="left" vertical="center" wrapText="1" shrinkToFit="1"/>
    </xf>
    <xf numFmtId="0" fontId="6" fillId="29" borderId="180" xfId="10" applyFont="1" applyFill="1" applyBorder="1" applyAlignment="1" applyProtection="1">
      <alignment horizontal="left" vertical="center" shrinkToFit="1"/>
      <protection locked="0"/>
    </xf>
    <xf numFmtId="1" fontId="6" fillId="29" borderId="181" xfId="10" applyNumberFormat="1" applyFont="1" applyFill="1" applyBorder="1" applyAlignment="1" applyProtection="1">
      <alignment horizontal="right" vertical="center" shrinkToFit="1"/>
      <protection locked="0"/>
    </xf>
    <xf numFmtId="0" fontId="6" fillId="38" borderId="179" xfId="10" applyFont="1" applyFill="1" applyBorder="1" applyAlignment="1">
      <alignment horizontal="left" vertical="center" shrinkToFit="1"/>
    </xf>
    <xf numFmtId="0" fontId="6" fillId="38" borderId="55" xfId="10" applyFont="1" applyFill="1" applyBorder="1" applyAlignment="1">
      <alignment horizontal="left" vertical="center" shrinkToFit="1"/>
    </xf>
    <xf numFmtId="0" fontId="6" fillId="38" borderId="52" xfId="10" applyFont="1" applyFill="1" applyBorder="1" applyAlignment="1" applyProtection="1">
      <alignment horizontal="left" vertical="center" wrapText="1" shrinkToFit="1"/>
      <protection locked="0"/>
    </xf>
    <xf numFmtId="49" fontId="6" fillId="38" borderId="52" xfId="10" applyNumberFormat="1" applyFont="1" applyFill="1" applyBorder="1" applyAlignment="1" applyProtection="1">
      <alignment horizontal="left" vertical="center" wrapText="1" shrinkToFit="1"/>
      <protection locked="0"/>
    </xf>
    <xf numFmtId="0" fontId="6" fillId="38" borderId="52" xfId="10" applyFont="1" applyFill="1" applyBorder="1" applyAlignment="1" applyProtection="1">
      <alignment horizontal="left" vertical="center" shrinkToFit="1"/>
      <protection locked="0"/>
    </xf>
    <xf numFmtId="1" fontId="6" fillId="38" borderId="53" xfId="10" applyNumberFormat="1" applyFont="1" applyFill="1" applyBorder="1" applyAlignment="1" applyProtection="1">
      <alignment horizontal="right" vertical="center" shrinkToFit="1"/>
      <protection locked="0"/>
    </xf>
    <xf numFmtId="2" fontId="6" fillId="3" borderId="67" xfId="10" applyNumberFormat="1" applyFont="1" applyFill="1" applyBorder="1" applyAlignment="1" applyProtection="1">
      <alignment horizontal="right" vertical="center" wrapText="1"/>
      <protection locked="0"/>
    </xf>
    <xf numFmtId="0" fontId="6" fillId="40" borderId="15" xfId="10" applyFont="1" applyFill="1" applyBorder="1" applyAlignment="1" applyProtection="1">
      <alignment horizontal="left" vertical="center" wrapText="1"/>
      <protection locked="0"/>
    </xf>
    <xf numFmtId="0" fontId="6" fillId="40" borderId="25" xfId="10" applyFont="1" applyFill="1" applyBorder="1" applyAlignment="1" applyProtection="1">
      <alignment horizontal="left" vertical="center" wrapText="1"/>
      <protection locked="0"/>
    </xf>
    <xf numFmtId="49" fontId="6" fillId="40" borderId="25" xfId="10" applyNumberFormat="1" applyFont="1" applyFill="1" applyBorder="1" applyAlignment="1" applyProtection="1">
      <alignment horizontal="left" vertical="center" wrapText="1" shrinkToFit="1"/>
      <protection locked="0"/>
    </xf>
    <xf numFmtId="1" fontId="6" fillId="40" borderId="57" xfId="10" applyNumberFormat="1" applyFont="1" applyFill="1" applyBorder="1" applyAlignment="1" applyProtection="1">
      <alignment horizontal="right" vertical="center" wrapText="1"/>
      <protection locked="0"/>
    </xf>
    <xf numFmtId="0" fontId="6" fillId="38" borderId="15" xfId="10" applyFont="1" applyFill="1" applyBorder="1" applyAlignment="1" applyProtection="1">
      <alignment horizontal="left" vertical="center" wrapText="1"/>
      <protection locked="0"/>
    </xf>
    <xf numFmtId="0" fontId="6" fillId="38" borderId="25" xfId="10" applyFont="1" applyFill="1" applyBorder="1" applyAlignment="1" applyProtection="1">
      <alignment horizontal="left" vertical="center" wrapText="1"/>
      <protection locked="0"/>
    </xf>
    <xf numFmtId="49" fontId="6" fillId="38" borderId="25" xfId="10" applyNumberFormat="1" applyFont="1" applyFill="1" applyBorder="1" applyAlignment="1" applyProtection="1">
      <alignment horizontal="left" vertical="center" wrapText="1" shrinkToFit="1"/>
      <protection locked="0"/>
    </xf>
    <xf numFmtId="1" fontId="6" fillId="38" borderId="57" xfId="10" applyNumberFormat="1" applyFont="1" applyFill="1" applyBorder="1" applyAlignment="1" applyProtection="1">
      <alignment horizontal="right" vertical="center" wrapText="1"/>
      <protection locked="0"/>
    </xf>
    <xf numFmtId="0" fontId="6" fillId="43" borderId="15" xfId="10" applyFont="1" applyFill="1" applyBorder="1" applyAlignment="1" applyProtection="1">
      <alignment horizontal="left" vertical="center" wrapText="1"/>
      <protection locked="0"/>
    </xf>
    <xf numFmtId="0" fontId="6" fillId="43" borderId="25" xfId="10" applyFont="1" applyFill="1" applyBorder="1" applyAlignment="1" applyProtection="1">
      <alignment horizontal="left" vertical="center" wrapText="1"/>
      <protection locked="0"/>
    </xf>
    <xf numFmtId="49" fontId="6" fillId="43" borderId="25" xfId="10" applyNumberFormat="1" applyFont="1" applyFill="1" applyBorder="1" applyAlignment="1" applyProtection="1">
      <alignment horizontal="left" vertical="center" wrapText="1" shrinkToFit="1"/>
      <protection locked="0"/>
    </xf>
    <xf numFmtId="1" fontId="6" fillId="43" borderId="57" xfId="10" applyNumberFormat="1" applyFont="1" applyFill="1" applyBorder="1" applyAlignment="1" applyProtection="1">
      <alignment horizontal="right" vertical="center" wrapText="1"/>
      <protection locked="0"/>
    </xf>
    <xf numFmtId="0" fontId="6" fillId="27" borderId="15" xfId="10" applyFont="1" applyFill="1" applyBorder="1" applyAlignment="1" applyProtection="1">
      <alignment horizontal="left" vertical="center" wrapText="1"/>
      <protection locked="0"/>
    </xf>
    <xf numFmtId="0" fontId="6" fillId="27" borderId="25" xfId="10" applyFont="1" applyFill="1" applyBorder="1" applyAlignment="1" applyProtection="1">
      <alignment horizontal="left" vertical="center" wrapText="1"/>
      <protection locked="0"/>
    </xf>
    <xf numFmtId="49" fontId="6" fillId="27" borderId="25" xfId="10" applyNumberFormat="1" applyFont="1" applyFill="1" applyBorder="1" applyAlignment="1" applyProtection="1">
      <alignment horizontal="left" vertical="center" wrapText="1" shrinkToFit="1"/>
      <protection locked="0"/>
    </xf>
    <xf numFmtId="1" fontId="6" fillId="27" borderId="57" xfId="10" applyNumberFormat="1" applyFont="1" applyFill="1" applyBorder="1" applyAlignment="1" applyProtection="1">
      <alignment horizontal="right" vertical="center" wrapText="1"/>
      <protection locked="0"/>
    </xf>
    <xf numFmtId="1" fontId="8" fillId="0" borderId="0" xfId="10" applyNumberFormat="1" applyFont="1" applyAlignment="1" applyProtection="1">
      <alignment horizontal="left" vertical="center" wrapText="1"/>
      <protection locked="0"/>
    </xf>
    <xf numFmtId="2" fontId="6" fillId="3" borderId="8" xfId="10" applyNumberFormat="1" applyFont="1" applyFill="1" applyBorder="1" applyAlignment="1" applyProtection="1">
      <alignment horizontal="right" vertical="center" wrapText="1"/>
      <protection locked="0"/>
    </xf>
    <xf numFmtId="2" fontId="6" fillId="3" borderId="26" xfId="10" applyNumberFormat="1" applyFont="1" applyFill="1" applyBorder="1" applyAlignment="1" applyProtection="1">
      <alignment horizontal="right" vertical="center" wrapText="1"/>
      <protection locked="0"/>
    </xf>
    <xf numFmtId="2" fontId="6" fillId="3" borderId="56" xfId="10" applyNumberFormat="1" applyFont="1" applyFill="1" applyBorder="1" applyAlignment="1" applyProtection="1">
      <alignment horizontal="right" vertical="center" wrapText="1"/>
      <protection locked="0"/>
    </xf>
    <xf numFmtId="0" fontId="36" fillId="0" borderId="6" xfId="0" applyFont="1" applyBorder="1"/>
    <xf numFmtId="0" fontId="21" fillId="0" borderId="42" xfId="0" applyFont="1" applyBorder="1" applyAlignment="1">
      <alignment horizontal="left" vertical="center" wrapText="1" readingOrder="1"/>
    </xf>
    <xf numFmtId="0" fontId="37" fillId="0" borderId="42" xfId="0" applyFont="1" applyBorder="1" applyAlignment="1">
      <alignment horizontal="left" wrapText="1" readingOrder="1"/>
    </xf>
    <xf numFmtId="0" fontId="21" fillId="0" borderId="41" xfId="0" applyFont="1" applyBorder="1" applyAlignment="1">
      <alignment horizontal="left" vertical="center" wrapText="1" readingOrder="1"/>
    </xf>
    <xf numFmtId="0" fontId="37" fillId="0" borderId="41" xfId="0" applyFont="1" applyBorder="1" applyAlignment="1">
      <alignment horizontal="left" wrapText="1" readingOrder="1"/>
    </xf>
    <xf numFmtId="0" fontId="21" fillId="9" borderId="17" xfId="0" applyFont="1" applyFill="1" applyBorder="1" applyAlignment="1">
      <alignment horizontal="left" vertical="center" wrapText="1"/>
    </xf>
    <xf numFmtId="2" fontId="6" fillId="9" borderId="14" xfId="1" applyNumberFormat="1" applyFont="1" applyFill="1" applyBorder="1" applyAlignment="1">
      <alignment horizontal="right" vertical="center"/>
    </xf>
    <xf numFmtId="49" fontId="6" fillId="14" borderId="21" xfId="10" applyNumberFormat="1" applyFont="1" applyFill="1" applyBorder="1" applyAlignment="1" applyProtection="1">
      <alignment horizontal="left" vertical="center" shrinkToFit="1"/>
      <protection locked="0"/>
    </xf>
    <xf numFmtId="0" fontId="6" fillId="14" borderId="18" xfId="10" applyFont="1" applyFill="1" applyBorder="1" applyAlignment="1" applyProtection="1">
      <alignment horizontal="left" vertical="center" wrapText="1" shrinkToFit="1"/>
      <protection locked="0"/>
    </xf>
    <xf numFmtId="49" fontId="6" fillId="14" borderId="18" xfId="10" applyNumberFormat="1" applyFont="1" applyFill="1" applyBorder="1" applyAlignment="1" applyProtection="1">
      <alignment horizontal="left" vertical="center" wrapText="1" shrinkToFit="1"/>
      <protection locked="0"/>
    </xf>
    <xf numFmtId="0" fontId="6" fillId="14" borderId="18" xfId="10" applyFont="1" applyFill="1" applyBorder="1" applyAlignment="1" applyProtection="1">
      <alignment horizontal="left" vertical="center" shrinkToFit="1"/>
      <protection locked="0"/>
    </xf>
    <xf numFmtId="1" fontId="6" fillId="14" borderId="29" xfId="10" applyNumberFormat="1" applyFont="1" applyFill="1" applyBorder="1" applyAlignment="1" applyProtection="1">
      <alignment horizontal="right" vertical="center" shrinkToFit="1"/>
      <protection locked="0"/>
    </xf>
    <xf numFmtId="1" fontId="8" fillId="15" borderId="182" xfId="10" applyNumberFormat="1" applyFont="1" applyFill="1" applyBorder="1" applyAlignment="1" applyProtection="1">
      <alignment horizontal="left" vertical="center" wrapText="1"/>
      <protection locked="0"/>
    </xf>
    <xf numFmtId="1" fontId="8" fillId="15" borderId="52" xfId="10" applyNumberFormat="1" applyFont="1" applyFill="1" applyBorder="1" applyAlignment="1" applyProtection="1">
      <alignment horizontal="left" vertical="center" wrapText="1"/>
      <protection locked="0"/>
    </xf>
    <xf numFmtId="1" fontId="8" fillId="15" borderId="53" xfId="10" applyNumberFormat="1" applyFont="1" applyFill="1" applyBorder="1" applyAlignment="1" applyProtection="1">
      <alignment horizontal="left" vertical="center" wrapText="1"/>
      <protection locked="0"/>
    </xf>
    <xf numFmtId="0" fontId="6" fillId="14" borderId="18" xfId="10" applyFont="1" applyFill="1" applyBorder="1" applyAlignment="1" applyProtection="1">
      <alignment horizontal="right" vertical="center" shrinkToFit="1"/>
      <protection locked="0"/>
    </xf>
    <xf numFmtId="0" fontId="6" fillId="17" borderId="7" xfId="0" applyFont="1" applyFill="1" applyBorder="1" applyAlignment="1">
      <alignment horizontal="left" vertical="center"/>
    </xf>
    <xf numFmtId="0" fontId="6" fillId="8" borderId="33" xfId="0" applyFont="1" applyFill="1" applyBorder="1" applyAlignment="1">
      <alignment horizontal="left" vertical="center"/>
    </xf>
    <xf numFmtId="2" fontId="6" fillId="0" borderId="6" xfId="0" applyNumberFormat="1" applyFont="1" applyBorder="1" applyAlignment="1">
      <alignment vertical="center" wrapText="1"/>
    </xf>
    <xf numFmtId="2" fontId="6" fillId="10" borderId="6" xfId="0" applyNumberFormat="1" applyFont="1" applyFill="1" applyBorder="1" applyAlignment="1">
      <alignment vertical="center" wrapText="1"/>
    </xf>
    <xf numFmtId="2" fontId="6" fillId="0" borderId="0" xfId="1" applyNumberFormat="1" applyFont="1" applyAlignment="1" applyProtection="1">
      <alignment horizontal="right" vertical="center"/>
      <protection locked="0"/>
    </xf>
    <xf numFmtId="0" fontId="15" fillId="0" borderId="0" xfId="0" applyFont="1" applyAlignment="1">
      <alignment horizontal="right" vertical="center"/>
    </xf>
    <xf numFmtId="2" fontId="6" fillId="0" borderId="0" xfId="6" applyNumberFormat="1" applyFont="1" applyAlignment="1">
      <alignment horizontal="right" vertical="center"/>
    </xf>
    <xf numFmtId="2" fontId="6" fillId="0" borderId="0" xfId="7" applyNumberFormat="1" applyFont="1" applyAlignment="1" applyProtection="1">
      <alignment horizontal="right" vertical="center"/>
      <protection locked="0"/>
    </xf>
    <xf numFmtId="2" fontId="6" fillId="12" borderId="183" xfId="0" applyNumberFormat="1" applyFont="1" applyFill="1" applyBorder="1" applyAlignment="1">
      <alignment vertical="center" wrapText="1"/>
    </xf>
    <xf numFmtId="2" fontId="6" fillId="6" borderId="184" xfId="0" applyNumberFormat="1" applyFont="1" applyFill="1" applyBorder="1" applyAlignment="1">
      <alignment vertical="center" wrapText="1"/>
    </xf>
    <xf numFmtId="2" fontId="6" fillId="6" borderId="142" xfId="0" applyNumberFormat="1" applyFont="1" applyFill="1" applyBorder="1" applyAlignment="1">
      <alignment vertical="center" wrapText="1"/>
    </xf>
    <xf numFmtId="2" fontId="6" fillId="6" borderId="185" xfId="0" applyNumberFormat="1" applyFont="1" applyFill="1" applyBorder="1" applyAlignment="1">
      <alignment vertical="center" wrapText="1"/>
    </xf>
    <xf numFmtId="2" fontId="6" fillId="12" borderId="61" xfId="0" applyNumberFormat="1" applyFont="1" applyFill="1" applyBorder="1" applyAlignment="1">
      <alignment vertical="center" wrapText="1"/>
    </xf>
    <xf numFmtId="2" fontId="6" fillId="10" borderId="186" xfId="0" applyNumberFormat="1" applyFont="1" applyFill="1" applyBorder="1" applyAlignment="1">
      <alignment vertical="center" wrapText="1"/>
    </xf>
    <xf numFmtId="2" fontId="6" fillId="12" borderId="187" xfId="0" applyNumberFormat="1" applyFont="1" applyFill="1" applyBorder="1" applyAlignment="1">
      <alignment vertical="center" wrapText="1"/>
    </xf>
    <xf numFmtId="2" fontId="6" fillId="0" borderId="62" xfId="0" applyNumberFormat="1" applyFont="1" applyBorder="1" applyAlignment="1">
      <alignment vertical="center" wrapText="1"/>
    </xf>
    <xf numFmtId="2" fontId="6" fillId="10" borderId="62" xfId="0" applyNumberFormat="1" applyFont="1" applyFill="1" applyBorder="1" applyAlignment="1">
      <alignment vertical="center" wrapText="1"/>
    </xf>
    <xf numFmtId="2" fontId="6" fillId="12" borderId="188" xfId="0" applyNumberFormat="1" applyFont="1" applyFill="1" applyBorder="1" applyAlignment="1">
      <alignment vertical="center" wrapText="1"/>
    </xf>
    <xf numFmtId="2" fontId="6" fillId="10" borderId="123" xfId="0" applyNumberFormat="1" applyFont="1" applyFill="1" applyBorder="1" applyAlignment="1">
      <alignment vertical="center" wrapText="1"/>
    </xf>
    <xf numFmtId="2" fontId="6" fillId="10" borderId="122" xfId="0" applyNumberFormat="1" applyFont="1" applyFill="1" applyBorder="1" applyAlignment="1">
      <alignment vertical="center" wrapText="1"/>
    </xf>
    <xf numFmtId="2" fontId="6" fillId="10" borderId="189" xfId="0" applyNumberFormat="1" applyFont="1" applyFill="1" applyBorder="1" applyAlignment="1">
      <alignment vertical="center" wrapText="1"/>
    </xf>
    <xf numFmtId="2" fontId="6" fillId="12" borderId="22" xfId="0" applyNumberFormat="1" applyFont="1" applyFill="1" applyBorder="1" applyAlignment="1">
      <alignment vertical="center" wrapText="1"/>
    </xf>
    <xf numFmtId="2" fontId="6" fillId="12" borderId="190" xfId="0" applyNumberFormat="1" applyFont="1" applyFill="1" applyBorder="1" applyAlignment="1">
      <alignment vertical="center" wrapText="1"/>
    </xf>
    <xf numFmtId="0" fontId="8" fillId="13" borderId="191" xfId="0" applyFont="1" applyFill="1" applyBorder="1" applyAlignment="1">
      <alignment horizontal="left" vertical="center" wrapText="1"/>
    </xf>
    <xf numFmtId="0" fontId="8" fillId="22" borderId="52" xfId="0" applyFont="1" applyFill="1" applyBorder="1" applyAlignment="1">
      <alignment horizontal="left" vertical="center" wrapText="1"/>
    </xf>
    <xf numFmtId="0" fontId="8" fillId="15" borderId="0" xfId="1" applyFont="1" applyFill="1" applyAlignment="1">
      <alignment horizontal="right" vertical="center"/>
    </xf>
    <xf numFmtId="1" fontId="8" fillId="29" borderId="1" xfId="1" applyNumberFormat="1" applyFont="1" applyFill="1" applyBorder="1" applyAlignment="1">
      <alignment horizontal="left" vertical="center" wrapText="1"/>
    </xf>
    <xf numFmtId="1" fontId="8" fillId="29" borderId="164" xfId="1" applyNumberFormat="1" applyFont="1" applyFill="1" applyBorder="1" applyAlignment="1">
      <alignment horizontal="left" vertical="center" wrapText="1"/>
    </xf>
    <xf numFmtId="2" fontId="6" fillId="38" borderId="1" xfId="1" applyNumberFormat="1" applyFont="1" applyFill="1" applyBorder="1" applyAlignment="1">
      <alignment horizontal="left" vertical="center" shrinkToFit="1"/>
    </xf>
    <xf numFmtId="0" fontId="6" fillId="29" borderId="1" xfId="1" applyFont="1" applyFill="1" applyBorder="1" applyAlignment="1">
      <alignment horizontal="left" vertical="center" shrinkToFit="1"/>
    </xf>
    <xf numFmtId="0" fontId="6" fillId="29" borderId="164" xfId="1" applyFont="1" applyFill="1" applyBorder="1" applyAlignment="1">
      <alignment horizontal="left" vertical="center" shrinkToFit="1"/>
    </xf>
    <xf numFmtId="0" fontId="6" fillId="29" borderId="165" xfId="1" applyFont="1" applyFill="1" applyBorder="1" applyAlignment="1">
      <alignment horizontal="left" vertical="center" shrinkToFit="1"/>
    </xf>
    <xf numFmtId="0" fontId="6" fillId="29" borderId="49" xfId="1" applyFont="1" applyFill="1" applyBorder="1" applyAlignment="1">
      <alignment horizontal="left" vertical="center" shrinkToFit="1"/>
    </xf>
    <xf numFmtId="2" fontId="6" fillId="29" borderId="1" xfId="1" applyNumberFormat="1" applyFont="1" applyFill="1" applyBorder="1" applyAlignment="1">
      <alignment horizontal="left" vertical="center" shrinkToFit="1"/>
    </xf>
    <xf numFmtId="0" fontId="6" fillId="38" borderId="1" xfId="1" applyFont="1" applyFill="1" applyBorder="1" applyAlignment="1">
      <alignment horizontal="left" vertical="center" wrapText="1"/>
    </xf>
    <xf numFmtId="0" fontId="6" fillId="38" borderId="164" xfId="1" applyFont="1" applyFill="1" applyBorder="1" applyAlignment="1">
      <alignment horizontal="left" vertical="center" wrapText="1"/>
    </xf>
    <xf numFmtId="2" fontId="6" fillId="38" borderId="165" xfId="1" applyNumberFormat="1" applyFont="1" applyFill="1" applyBorder="1" applyAlignment="1">
      <alignment horizontal="left" vertical="center" shrinkToFit="1"/>
    </xf>
    <xf numFmtId="0" fontId="6" fillId="38" borderId="192" xfId="1" applyFont="1" applyFill="1" applyBorder="1" applyAlignment="1">
      <alignment horizontal="left" vertical="center" wrapText="1"/>
    </xf>
    <xf numFmtId="0" fontId="6" fillId="38" borderId="68" xfId="1" applyFont="1" applyFill="1" applyBorder="1" applyAlignment="1">
      <alignment horizontal="left" vertical="center" wrapText="1"/>
    </xf>
    <xf numFmtId="49" fontId="6" fillId="38" borderId="68" xfId="1" applyNumberFormat="1" applyFont="1" applyFill="1" applyBorder="1" applyAlignment="1">
      <alignment horizontal="left" vertical="center" wrapText="1" shrinkToFit="1"/>
    </xf>
    <xf numFmtId="1" fontId="6" fillId="38" borderId="68" xfId="1" applyNumberFormat="1" applyFont="1" applyFill="1" applyBorder="1" applyAlignment="1">
      <alignment horizontal="right" vertical="center" wrapText="1"/>
    </xf>
    <xf numFmtId="2" fontId="6" fillId="3" borderId="192" xfId="1" applyNumberFormat="1" applyFont="1" applyFill="1" applyBorder="1" applyAlignment="1">
      <alignment horizontal="right" vertical="center" wrapText="1"/>
    </xf>
    <xf numFmtId="0" fontId="6" fillId="38" borderId="165" xfId="1" applyFont="1" applyFill="1" applyBorder="1" applyAlignment="1">
      <alignment horizontal="left" vertical="center" wrapText="1"/>
    </xf>
    <xf numFmtId="0" fontId="6" fillId="38" borderId="49" xfId="1" applyFont="1" applyFill="1" applyBorder="1" applyAlignment="1">
      <alignment horizontal="left" vertical="center" wrapText="1"/>
    </xf>
    <xf numFmtId="0" fontId="6" fillId="29" borderId="1" xfId="1" applyFont="1" applyFill="1" applyBorder="1" applyAlignment="1">
      <alignment horizontal="left" vertical="center" wrapText="1"/>
    </xf>
    <xf numFmtId="0" fontId="6" fillId="29" borderId="164" xfId="1" applyFont="1" applyFill="1" applyBorder="1" applyAlignment="1">
      <alignment horizontal="left" vertical="center" wrapText="1"/>
    </xf>
    <xf numFmtId="0" fontId="6" fillId="29" borderId="192" xfId="1" applyFont="1" applyFill="1" applyBorder="1" applyAlignment="1">
      <alignment horizontal="left" vertical="center" wrapText="1"/>
    </xf>
    <xf numFmtId="0" fontId="6" fillId="29" borderId="68" xfId="1" applyFont="1" applyFill="1" applyBorder="1" applyAlignment="1">
      <alignment horizontal="left" vertical="center" wrapText="1"/>
    </xf>
    <xf numFmtId="49" fontId="6" fillId="29" borderId="68" xfId="1" applyNumberFormat="1" applyFont="1" applyFill="1" applyBorder="1" applyAlignment="1">
      <alignment horizontal="left" vertical="center" wrapText="1" shrinkToFit="1"/>
    </xf>
    <xf numFmtId="1" fontId="6" fillId="29" borderId="68" xfId="1" applyNumberFormat="1" applyFont="1" applyFill="1" applyBorder="1" applyAlignment="1">
      <alignment horizontal="right" vertical="center" wrapText="1"/>
    </xf>
    <xf numFmtId="2" fontId="15" fillId="19" borderId="112" xfId="0" applyNumberFormat="1" applyFont="1" applyFill="1" applyBorder="1" applyAlignment="1">
      <alignment horizontal="right" vertical="center" wrapText="1"/>
    </xf>
    <xf numFmtId="2" fontId="15" fillId="19" borderId="41" xfId="0" applyNumberFormat="1" applyFont="1" applyFill="1" applyBorder="1" applyAlignment="1">
      <alignment horizontal="right" vertical="center" wrapText="1"/>
    </xf>
    <xf numFmtId="2" fontId="15" fillId="19" borderId="115" xfId="0" applyNumberFormat="1" applyFont="1" applyFill="1" applyBorder="1" applyAlignment="1">
      <alignment horizontal="right" vertical="center" wrapText="1"/>
    </xf>
    <xf numFmtId="2" fontId="15" fillId="19" borderId="72" xfId="0" applyNumberFormat="1" applyFont="1" applyFill="1" applyBorder="1" applyAlignment="1">
      <alignment horizontal="right" vertical="center" wrapText="1"/>
    </xf>
    <xf numFmtId="0" fontId="8" fillId="36" borderId="176" xfId="1" applyFont="1" applyFill="1" applyBorder="1" applyAlignment="1" applyProtection="1">
      <alignment horizontal="left" vertical="center" wrapText="1"/>
      <protection locked="0"/>
    </xf>
    <xf numFmtId="0" fontId="32" fillId="15" borderId="0" xfId="0" applyFont="1" applyFill="1" applyAlignment="1">
      <alignment vertical="center"/>
    </xf>
    <xf numFmtId="0" fontId="27" fillId="15" borderId="4" xfId="10" applyFont="1" applyFill="1" applyBorder="1" applyAlignment="1">
      <alignment vertical="center"/>
    </xf>
    <xf numFmtId="0" fontId="18" fillId="15" borderId="4" xfId="10" applyFont="1" applyFill="1" applyBorder="1" applyAlignment="1">
      <alignment vertical="center"/>
    </xf>
    <xf numFmtId="0" fontId="15" fillId="0" borderId="94" xfId="0" applyFont="1" applyBorder="1" applyAlignment="1">
      <alignment vertical="center"/>
    </xf>
    <xf numFmtId="0" fontId="31" fillId="7" borderId="39" xfId="2" applyFont="1" applyFill="1" applyBorder="1" applyAlignment="1" applyProtection="1">
      <alignment horizontal="left" vertical="center" wrapText="1"/>
    </xf>
    <xf numFmtId="1" fontId="8" fillId="0" borderId="0" xfId="1" applyNumberFormat="1" applyFont="1" applyAlignment="1" applyProtection="1">
      <alignment horizontal="left" vertical="center" wrapText="1"/>
      <protection locked="0"/>
    </xf>
    <xf numFmtId="1" fontId="8" fillId="29" borderId="20" xfId="1" applyNumberFormat="1" applyFont="1" applyFill="1" applyBorder="1" applyAlignment="1">
      <alignment horizontal="left" vertical="center" wrapText="1"/>
    </xf>
    <xf numFmtId="2" fontId="6" fillId="3" borderId="20" xfId="1" applyNumberFormat="1" applyFont="1" applyFill="1" applyBorder="1" applyAlignment="1">
      <alignment horizontal="right" vertical="center" shrinkToFit="1"/>
    </xf>
    <xf numFmtId="165" fontId="6" fillId="3" borderId="20" xfId="1" applyNumberFormat="1" applyFont="1" applyFill="1" applyBorder="1" applyAlignment="1">
      <alignment horizontal="right" vertical="center" shrinkToFit="1"/>
    </xf>
    <xf numFmtId="166" fontId="6" fillId="3" borderId="193" xfId="1" applyNumberFormat="1" applyFont="1" applyFill="1" applyBorder="1" applyAlignment="1">
      <alignment horizontal="right" vertical="center" shrinkToFit="1"/>
    </xf>
    <xf numFmtId="2" fontId="6" fillId="3" borderId="193" xfId="1" applyNumberFormat="1" applyFont="1" applyFill="1" applyBorder="1" applyAlignment="1">
      <alignment horizontal="right" vertical="center" shrinkToFit="1"/>
    </xf>
    <xf numFmtId="2" fontId="6" fillId="3" borderId="20" xfId="1" applyNumberFormat="1" applyFont="1" applyFill="1" applyBorder="1" applyAlignment="1">
      <alignment horizontal="right" vertical="center" wrapText="1"/>
    </xf>
    <xf numFmtId="2" fontId="6" fillId="3" borderId="94" xfId="1" applyNumberFormat="1" applyFont="1" applyFill="1" applyBorder="1" applyAlignment="1">
      <alignment horizontal="right" vertical="center" wrapText="1"/>
    </xf>
    <xf numFmtId="2" fontId="6" fillId="3" borderId="193" xfId="1" applyNumberFormat="1" applyFont="1" applyFill="1" applyBorder="1" applyAlignment="1">
      <alignment horizontal="right" vertical="center" wrapText="1"/>
    </xf>
    <xf numFmtId="1" fontId="8" fillId="29" borderId="39" xfId="1" applyNumberFormat="1" applyFont="1" applyFill="1" applyBorder="1" applyAlignment="1">
      <alignment horizontal="left" vertical="center" wrapText="1"/>
    </xf>
    <xf numFmtId="0" fontId="21" fillId="9" borderId="16" xfId="0" applyFont="1" applyFill="1" applyBorder="1" applyAlignment="1">
      <alignment horizontal="left" vertical="center" wrapText="1"/>
    </xf>
    <xf numFmtId="0" fontId="21" fillId="9" borderId="6" xfId="0" applyFont="1" applyFill="1" applyBorder="1" applyAlignment="1">
      <alignment horizontal="left" vertical="center" wrapText="1"/>
    </xf>
    <xf numFmtId="0" fontId="19" fillId="46" borderId="12" xfId="0" applyFont="1" applyFill="1" applyBorder="1" applyAlignment="1">
      <alignment horizontal="left" vertical="center" wrapText="1"/>
    </xf>
    <xf numFmtId="0" fontId="19" fillId="46" borderId="37" xfId="0" applyFont="1" applyFill="1" applyBorder="1" applyAlignment="1">
      <alignment horizontal="left" vertical="center" wrapText="1"/>
    </xf>
    <xf numFmtId="0" fontId="21" fillId="9" borderId="182" xfId="0" applyFont="1" applyFill="1" applyBorder="1" applyAlignment="1">
      <alignment horizontal="left" vertical="center" wrapText="1"/>
    </xf>
    <xf numFmtId="0" fontId="6" fillId="0" borderId="194" xfId="0" applyFont="1" applyBorder="1" applyAlignment="1">
      <alignment horizontal="left" vertical="center" wrapText="1"/>
    </xf>
    <xf numFmtId="0" fontId="21" fillId="9" borderId="8" xfId="0" applyFont="1" applyFill="1" applyBorder="1" applyAlignment="1">
      <alignment horizontal="left" vertical="center" wrapText="1"/>
    </xf>
    <xf numFmtId="0" fontId="20" fillId="0" borderId="68" xfId="11" applyFont="1" applyBorder="1" applyAlignment="1">
      <alignment horizontal="left" vertical="center" wrapText="1"/>
    </xf>
    <xf numFmtId="0" fontId="15" fillId="0" borderId="0" xfId="12"/>
    <xf numFmtId="0" fontId="15" fillId="0" borderId="28" xfId="12" applyBorder="1"/>
    <xf numFmtId="0" fontId="15" fillId="0" borderId="27" xfId="12" applyBorder="1"/>
    <xf numFmtId="0" fontId="15" fillId="15" borderId="27" xfId="12" applyFill="1" applyBorder="1"/>
    <xf numFmtId="0" fontId="21" fillId="0" borderId="27" xfId="12" applyFont="1" applyBorder="1" applyAlignment="1">
      <alignment horizontal="left" vertical="center" wrapText="1"/>
    </xf>
    <xf numFmtId="0" fontId="15" fillId="0" borderId="26" xfId="12" applyBorder="1"/>
    <xf numFmtId="0" fontId="15" fillId="0" borderId="24" xfId="12" applyBorder="1"/>
    <xf numFmtId="0" fontId="15" fillId="0" borderId="6" xfId="12" applyBorder="1"/>
    <xf numFmtId="0" fontId="15" fillId="15" borderId="6" xfId="12" applyFill="1" applyBorder="1"/>
    <xf numFmtId="0" fontId="21" fillId="0" borderId="6" xfId="12" applyFont="1" applyBorder="1" applyAlignment="1">
      <alignment horizontal="left" vertical="center" wrapText="1"/>
    </xf>
    <xf numFmtId="0" fontId="15" fillId="0" borderId="8" xfId="12" applyBorder="1"/>
    <xf numFmtId="0" fontId="21" fillId="0" borderId="8" xfId="12" applyFont="1" applyBorder="1" applyAlignment="1">
      <alignment horizontal="left" vertical="center" wrapText="1"/>
    </xf>
    <xf numFmtId="0" fontId="15" fillId="15" borderId="23" xfId="12" applyFill="1" applyBorder="1"/>
    <xf numFmtId="0" fontId="19" fillId="15" borderId="6" xfId="12" applyFont="1" applyFill="1" applyBorder="1" applyAlignment="1">
      <alignment horizontal="left" vertical="center" wrapText="1"/>
    </xf>
    <xf numFmtId="0" fontId="22" fillId="15" borderId="6" xfId="12" applyFont="1" applyFill="1" applyBorder="1" applyAlignment="1">
      <alignment horizontal="left" vertical="center" wrapText="1"/>
    </xf>
    <xf numFmtId="0" fontId="37" fillId="15" borderId="23" xfId="12" applyFont="1" applyFill="1" applyBorder="1" applyAlignment="1">
      <alignment horizontal="left" vertical="center" wrapText="1"/>
    </xf>
    <xf numFmtId="0" fontId="21" fillId="15" borderId="23" xfId="12" applyFont="1" applyFill="1" applyBorder="1" applyAlignment="1">
      <alignment horizontal="left" vertical="center" wrapText="1"/>
    </xf>
    <xf numFmtId="0" fontId="21" fillId="15" borderId="6" xfId="12" applyFont="1" applyFill="1" applyBorder="1" applyAlignment="1">
      <alignment horizontal="left" vertical="center" wrapText="1"/>
    </xf>
    <xf numFmtId="0" fontId="6" fillId="0" borderId="6" xfId="12" applyFont="1" applyBorder="1" applyAlignment="1">
      <alignment horizontal="left" vertical="center" wrapText="1"/>
    </xf>
    <xf numFmtId="0" fontId="15" fillId="0" borderId="29" xfId="12" applyBorder="1"/>
    <xf numFmtId="0" fontId="15" fillId="0" borderId="18" xfId="12" applyBorder="1"/>
    <xf numFmtId="0" fontId="15" fillId="15" borderId="18" xfId="12" applyFill="1" applyBorder="1"/>
    <xf numFmtId="0" fontId="19" fillId="15" borderId="18" xfId="12" applyFont="1" applyFill="1" applyBorder="1" applyAlignment="1">
      <alignment horizontal="left" vertical="center" wrapText="1"/>
    </xf>
    <xf numFmtId="0" fontId="21" fillId="15" borderId="18" xfId="12" applyFont="1" applyFill="1" applyBorder="1" applyAlignment="1">
      <alignment horizontal="left" vertical="center" wrapText="1"/>
    </xf>
    <xf numFmtId="0" fontId="21" fillId="15" borderId="22" xfId="12" applyFont="1" applyFill="1" applyBorder="1" applyAlignment="1">
      <alignment horizontal="left" vertical="center" wrapText="1"/>
    </xf>
    <xf numFmtId="0" fontId="21" fillId="0" borderId="18" xfId="12" applyFont="1" applyBorder="1" applyAlignment="1">
      <alignment horizontal="left" vertical="center" wrapText="1"/>
    </xf>
    <xf numFmtId="0" fontId="6" fillId="0" borderId="18" xfId="12" applyFont="1" applyBorder="1" applyAlignment="1">
      <alignment horizontal="left" vertical="center" wrapText="1"/>
    </xf>
    <xf numFmtId="0" fontId="21" fillId="0" borderId="21" xfId="12" applyFont="1" applyBorder="1" applyAlignment="1">
      <alignment horizontal="left" vertical="center" wrapText="1"/>
    </xf>
    <xf numFmtId="1" fontId="8" fillId="29" borderId="53" xfId="1" applyNumberFormat="1" applyFont="1" applyFill="1" applyBorder="1" applyAlignment="1" applyProtection="1">
      <alignment horizontal="left" vertical="center" wrapText="1"/>
      <protection locked="0"/>
    </xf>
    <xf numFmtId="1" fontId="8" fillId="29" borderId="52" xfId="1" applyNumberFormat="1" applyFont="1" applyFill="1" applyBorder="1" applyAlignment="1" applyProtection="1">
      <alignment horizontal="left" vertical="center" wrapText="1"/>
      <protection locked="0"/>
    </xf>
    <xf numFmtId="1" fontId="8" fillId="29" borderId="55" xfId="1" applyNumberFormat="1" applyFont="1" applyFill="1" applyBorder="1" applyAlignment="1" applyProtection="1">
      <alignment horizontal="left" vertical="center" wrapText="1"/>
      <protection locked="0"/>
    </xf>
    <xf numFmtId="0" fontId="8" fillId="11" borderId="52" xfId="12" applyFont="1" applyFill="1" applyBorder="1" applyAlignment="1">
      <alignment horizontal="left" vertical="center" wrapText="1"/>
    </xf>
    <xf numFmtId="0" fontId="19" fillId="11" borderId="52" xfId="12" applyFont="1" applyFill="1" applyBorder="1" applyAlignment="1">
      <alignment horizontal="left" vertical="center" wrapText="1"/>
    </xf>
    <xf numFmtId="0" fontId="19" fillId="11" borderId="182" xfId="12" applyFont="1" applyFill="1" applyBorder="1" applyAlignment="1">
      <alignment horizontal="left" vertical="center" wrapText="1"/>
    </xf>
    <xf numFmtId="0" fontId="8" fillId="0" borderId="1" xfId="12" applyFont="1" applyBorder="1" applyAlignment="1">
      <alignment horizontal="center" vertical="center"/>
    </xf>
    <xf numFmtId="0" fontId="15" fillId="7" borderId="0" xfId="12" applyFill="1"/>
    <xf numFmtId="0" fontId="21" fillId="7" borderId="6" xfId="12" applyFont="1" applyFill="1" applyBorder="1" applyAlignment="1">
      <alignment horizontal="left" vertical="center" wrapText="1"/>
    </xf>
    <xf numFmtId="0" fontId="6" fillId="7" borderId="6" xfId="12" applyFont="1" applyFill="1" applyBorder="1" applyAlignment="1">
      <alignment horizontal="left" vertical="center" wrapText="1"/>
    </xf>
    <xf numFmtId="0" fontId="21" fillId="7" borderId="23" xfId="12" applyFont="1" applyFill="1" applyBorder="1" applyAlignment="1">
      <alignment horizontal="left" vertical="center" wrapText="1"/>
    </xf>
    <xf numFmtId="0" fontId="15" fillId="7" borderId="27" xfId="12" applyFill="1" applyBorder="1"/>
    <xf numFmtId="0" fontId="15" fillId="15" borderId="25" xfId="12" applyFill="1" applyBorder="1"/>
    <xf numFmtId="0" fontId="19" fillId="15" borderId="25" xfId="12" applyFont="1" applyFill="1" applyBorder="1" applyAlignment="1">
      <alignment horizontal="left" vertical="center" wrapText="1"/>
    </xf>
    <xf numFmtId="0" fontId="19" fillId="15" borderId="14" xfId="12" applyFont="1" applyFill="1" applyBorder="1" applyAlignment="1">
      <alignment horizontal="left" vertical="center" wrapText="1"/>
    </xf>
    <xf numFmtId="0" fontId="21" fillId="0" borderId="14" xfId="12" applyFont="1" applyBorder="1" applyAlignment="1">
      <alignment horizontal="left" vertical="center" wrapText="1"/>
    </xf>
    <xf numFmtId="0" fontId="21" fillId="0" borderId="23" xfId="12" applyFont="1" applyBorder="1" applyAlignment="1">
      <alignment horizontal="left" vertical="center" wrapText="1"/>
    </xf>
    <xf numFmtId="0" fontId="18" fillId="0" borderId="6" xfId="12" applyFont="1" applyBorder="1" applyAlignment="1">
      <alignment horizontal="left" vertical="center" wrapText="1"/>
    </xf>
    <xf numFmtId="0" fontId="18" fillId="0" borderId="18" xfId="12" applyFont="1" applyBorder="1" applyAlignment="1">
      <alignment horizontal="left" vertical="center" wrapText="1"/>
    </xf>
    <xf numFmtId="0" fontId="21" fillId="0" borderId="22" xfId="12" applyFont="1" applyBorder="1" applyAlignment="1">
      <alignment horizontal="left" vertical="center" wrapText="1"/>
    </xf>
    <xf numFmtId="0" fontId="21" fillId="0" borderId="0" xfId="12" applyFont="1" applyAlignment="1">
      <alignment horizontal="left" vertical="center" wrapText="1"/>
    </xf>
    <xf numFmtId="0" fontId="15" fillId="0" borderId="0" xfId="9" applyFont="1" applyAlignment="1">
      <alignment horizontal="left" vertical="top"/>
    </xf>
    <xf numFmtId="0" fontId="15" fillId="0" borderId="39" xfId="9" applyFont="1" applyBorder="1" applyAlignment="1">
      <alignment horizontal="left" vertical="top"/>
    </xf>
    <xf numFmtId="0" fontId="15" fillId="15" borderId="35" xfId="9" applyFont="1" applyFill="1" applyBorder="1" applyAlignment="1">
      <alignment horizontal="left" vertical="top"/>
    </xf>
    <xf numFmtId="0" fontId="16" fillId="0" borderId="0" xfId="12" applyFont="1"/>
    <xf numFmtId="0" fontId="39" fillId="7" borderId="0" xfId="12" applyFont="1" applyFill="1"/>
    <xf numFmtId="0" fontId="39" fillId="7" borderId="0" xfId="12" applyFont="1" applyFill="1" applyAlignment="1">
      <alignment horizontal="center"/>
    </xf>
    <xf numFmtId="168" fontId="40" fillId="7" borderId="23" xfId="12" applyNumberFormat="1" applyFont="1" applyFill="1" applyBorder="1"/>
    <xf numFmtId="0" fontId="39" fillId="7" borderId="6" xfId="12" applyFont="1" applyFill="1" applyBorder="1" applyAlignment="1">
      <alignment horizontal="center"/>
    </xf>
    <xf numFmtId="0" fontId="40" fillId="7" borderId="34" xfId="12" applyFont="1" applyFill="1" applyBorder="1"/>
    <xf numFmtId="0" fontId="39" fillId="7" borderId="47" xfId="12" applyFont="1" applyFill="1" applyBorder="1" applyAlignment="1">
      <alignment horizontal="center"/>
    </xf>
    <xf numFmtId="0" fontId="40" fillId="47" borderId="47" xfId="12" applyFont="1" applyFill="1" applyBorder="1" applyAlignment="1">
      <alignment horizontal="center"/>
    </xf>
    <xf numFmtId="0" fontId="39" fillId="7" borderId="7" xfId="12" applyFont="1" applyFill="1" applyBorder="1"/>
    <xf numFmtId="0" fontId="39" fillId="7" borderId="48" xfId="12" applyFont="1" applyFill="1" applyBorder="1" applyAlignment="1">
      <alignment horizontal="center"/>
    </xf>
    <xf numFmtId="0" fontId="3" fillId="7" borderId="0" xfId="12" applyFont="1" applyFill="1"/>
    <xf numFmtId="0" fontId="39" fillId="7" borderId="17" xfId="12" applyFont="1" applyFill="1" applyBorder="1" applyAlignment="1">
      <alignment horizontal="center"/>
    </xf>
    <xf numFmtId="0" fontId="39" fillId="7" borderId="51" xfId="12" applyFont="1" applyFill="1" applyBorder="1" applyAlignment="1">
      <alignment horizontal="center"/>
    </xf>
    <xf numFmtId="0" fontId="39" fillId="7" borderId="16" xfId="12" applyFont="1" applyFill="1" applyBorder="1" applyAlignment="1">
      <alignment horizontal="center"/>
    </xf>
    <xf numFmtId="10" fontId="39" fillId="7" borderId="16" xfId="12" applyNumberFormat="1" applyFont="1" applyFill="1" applyBorder="1" applyAlignment="1">
      <alignment horizontal="center"/>
    </xf>
    <xf numFmtId="0" fontId="42" fillId="48" borderId="51" xfId="12" applyFont="1" applyFill="1" applyBorder="1" applyAlignment="1">
      <alignment horizontal="center"/>
    </xf>
    <xf numFmtId="0" fontId="42" fillId="48" borderId="0" xfId="12" applyFont="1" applyFill="1" applyAlignment="1">
      <alignment horizontal="center"/>
    </xf>
    <xf numFmtId="0" fontId="42" fillId="48" borderId="16" xfId="12" applyFont="1" applyFill="1" applyBorder="1" applyAlignment="1">
      <alignment horizontal="center"/>
    </xf>
    <xf numFmtId="0" fontId="42" fillId="48" borderId="2" xfId="12" applyFont="1" applyFill="1" applyBorder="1" applyAlignment="1">
      <alignment horizontal="center"/>
    </xf>
    <xf numFmtId="0" fontId="42" fillId="48" borderId="2" xfId="12" applyFont="1" applyFill="1" applyBorder="1"/>
    <xf numFmtId="0" fontId="42" fillId="48" borderId="3" xfId="12" applyFont="1" applyFill="1" applyBorder="1"/>
    <xf numFmtId="0" fontId="39" fillId="47" borderId="4" xfId="12" applyFont="1" applyFill="1" applyBorder="1" applyAlignment="1">
      <alignment horizontal="center"/>
    </xf>
    <xf numFmtId="0" fontId="39" fillId="47" borderId="0" xfId="12" applyFont="1" applyFill="1"/>
    <xf numFmtId="0" fontId="40" fillId="47" borderId="0" xfId="12" applyFont="1" applyFill="1" applyAlignment="1">
      <alignment horizontal="right"/>
    </xf>
    <xf numFmtId="0" fontId="40" fillId="47" borderId="5" xfId="12" applyFont="1" applyFill="1" applyBorder="1" applyAlignment="1">
      <alignment horizontal="right"/>
    </xf>
    <xf numFmtId="168" fontId="39" fillId="7" borderId="0" xfId="12" applyNumberFormat="1" applyFont="1" applyFill="1"/>
    <xf numFmtId="168" fontId="39" fillId="7" borderId="5" xfId="12" applyNumberFormat="1" applyFont="1" applyFill="1" applyBorder="1"/>
    <xf numFmtId="0" fontId="39" fillId="7" borderId="9" xfId="12" applyFont="1" applyFill="1" applyBorder="1"/>
    <xf numFmtId="0" fontId="39" fillId="7" borderId="10" xfId="12" applyFont="1" applyFill="1" applyBorder="1"/>
    <xf numFmtId="0" fontId="39" fillId="7" borderId="176" xfId="12" applyFont="1" applyFill="1" applyBorder="1"/>
    <xf numFmtId="0" fontId="39" fillId="7" borderId="11" xfId="12" applyFont="1" applyFill="1" applyBorder="1"/>
    <xf numFmtId="0" fontId="39" fillId="47" borderId="1" xfId="12" applyFont="1" applyFill="1" applyBorder="1"/>
    <xf numFmtId="0" fontId="39" fillId="47" borderId="2" xfId="12" applyFont="1" applyFill="1" applyBorder="1"/>
    <xf numFmtId="0" fontId="40" fillId="47" borderId="2" xfId="12" applyFont="1" applyFill="1" applyBorder="1" applyAlignment="1">
      <alignment horizontal="right"/>
    </xf>
    <xf numFmtId="0" fontId="40" fillId="47" borderId="3" xfId="12" applyFont="1" applyFill="1" applyBorder="1" applyAlignment="1">
      <alignment horizontal="right"/>
    </xf>
    <xf numFmtId="0" fontId="39" fillId="7" borderId="9" xfId="12" applyFont="1" applyFill="1" applyBorder="1" applyAlignment="1">
      <alignment horizontal="center"/>
    </xf>
    <xf numFmtId="0" fontId="39" fillId="7" borderId="5" xfId="12" applyFont="1" applyFill="1" applyBorder="1"/>
    <xf numFmtId="2" fontId="6" fillId="36" borderId="6" xfId="1" applyNumberFormat="1" applyFont="1" applyFill="1" applyBorder="1" applyAlignment="1" applyProtection="1">
      <alignment horizontal="left" vertical="center" wrapText="1"/>
      <protection locked="0"/>
    </xf>
    <xf numFmtId="0" fontId="39" fillId="0" borderId="0" xfId="0" applyFont="1"/>
    <xf numFmtId="0" fontId="19" fillId="45" borderId="1" xfId="0" applyFont="1" applyFill="1" applyBorder="1" applyAlignment="1">
      <alignment horizontal="left" vertical="center" wrapText="1"/>
    </xf>
    <xf numFmtId="0" fontId="19" fillId="22" borderId="12" xfId="0" applyFont="1" applyFill="1" applyBorder="1" applyAlignment="1">
      <alignment horizontal="left" vertical="center" wrapText="1"/>
    </xf>
    <xf numFmtId="0" fontId="19" fillId="11" borderId="40" xfId="0" applyFont="1" applyFill="1" applyBorder="1" applyAlignment="1">
      <alignment horizontal="left" vertical="center" wrapText="1"/>
    </xf>
    <xf numFmtId="49" fontId="19" fillId="11" borderId="40" xfId="0" applyNumberFormat="1" applyFont="1" applyFill="1" applyBorder="1" applyAlignment="1">
      <alignment horizontal="left" vertical="center" wrapText="1"/>
    </xf>
    <xf numFmtId="0" fontId="8" fillId="11" borderId="40" xfId="0" applyFont="1" applyFill="1" applyBorder="1" applyAlignment="1">
      <alignment horizontal="left" vertical="center" wrapText="1"/>
    </xf>
    <xf numFmtId="0" fontId="19" fillId="45" borderId="36" xfId="0" applyFont="1" applyFill="1" applyBorder="1" applyAlignment="1">
      <alignment horizontal="left" vertical="center" wrapText="1"/>
    </xf>
    <xf numFmtId="0" fontId="19" fillId="11" borderId="13" xfId="0" applyFont="1" applyFill="1" applyBorder="1" applyAlignment="1">
      <alignment horizontal="left" vertical="center" wrapText="1"/>
    </xf>
    <xf numFmtId="0" fontId="19" fillId="11" borderId="47" xfId="12" applyFont="1" applyFill="1" applyBorder="1" applyAlignment="1">
      <alignment horizontal="left" vertical="center" wrapText="1"/>
    </xf>
    <xf numFmtId="0" fontId="8" fillId="11" borderId="47" xfId="12" applyFont="1" applyFill="1" applyBorder="1" applyAlignment="1">
      <alignment horizontal="left" vertical="center" wrapText="1"/>
    </xf>
    <xf numFmtId="0" fontId="21" fillId="7" borderId="0" xfId="12" applyFont="1" applyFill="1" applyAlignment="1">
      <alignment horizontal="left" vertical="center" wrapText="1"/>
    </xf>
    <xf numFmtId="0" fontId="6" fillId="7" borderId="0" xfId="12" applyFont="1" applyFill="1" applyAlignment="1">
      <alignment horizontal="left" vertical="center" wrapText="1"/>
    </xf>
    <xf numFmtId="0" fontId="38" fillId="7" borderId="0" xfId="12" applyFont="1" applyFill="1" applyAlignment="1">
      <alignment horizontal="left" vertical="center" wrapText="1"/>
    </xf>
    <xf numFmtId="0" fontId="19" fillId="7" borderId="0" xfId="12" applyFont="1" applyFill="1" applyAlignment="1">
      <alignment horizontal="left" vertical="center" wrapText="1"/>
    </xf>
    <xf numFmtId="0" fontId="21" fillId="0" borderId="197" xfId="12" applyFont="1" applyBorder="1" applyAlignment="1">
      <alignment horizontal="left" vertical="center" wrapText="1"/>
    </xf>
    <xf numFmtId="0" fontId="6" fillId="0" borderId="197" xfId="12" applyFont="1" applyBorder="1" applyAlignment="1">
      <alignment horizontal="left" vertical="center" wrapText="1"/>
    </xf>
    <xf numFmtId="0" fontId="15" fillId="0" borderId="197" xfId="12" applyBorder="1"/>
    <xf numFmtId="0" fontId="20" fillId="7" borderId="0" xfId="12" applyFont="1" applyFill="1" applyAlignment="1">
      <alignment horizontal="center" vertical="top" wrapText="1"/>
    </xf>
    <xf numFmtId="0" fontId="8" fillId="0" borderId="4" xfId="12" applyFont="1" applyBorder="1" applyAlignment="1">
      <alignment horizontal="center" vertical="center"/>
    </xf>
    <xf numFmtId="0" fontId="19" fillId="11" borderId="67" xfId="12" applyFont="1" applyFill="1" applyBorder="1" applyAlignment="1">
      <alignment horizontal="left" vertical="center" wrapText="1"/>
    </xf>
    <xf numFmtId="0" fontId="16" fillId="0" borderId="0" xfId="0" applyFont="1" applyAlignment="1">
      <alignment horizontal="left" vertical="center"/>
    </xf>
    <xf numFmtId="1" fontId="15" fillId="38" borderId="112" xfId="1" applyNumberFormat="1" applyFont="1" applyFill="1" applyBorder="1" applyAlignment="1">
      <alignment horizontal="left" vertical="center" wrapText="1"/>
    </xf>
    <xf numFmtId="1" fontId="21" fillId="38" borderId="41" xfId="1" applyNumberFormat="1" applyFont="1" applyFill="1" applyBorder="1" applyAlignment="1">
      <alignment horizontal="left" vertical="center" wrapText="1"/>
    </xf>
    <xf numFmtId="1" fontId="15" fillId="38" borderId="41" xfId="1" applyNumberFormat="1" applyFont="1" applyFill="1" applyBorder="1" applyAlignment="1">
      <alignment horizontal="left" vertical="center" wrapText="1"/>
    </xf>
    <xf numFmtId="1" fontId="15" fillId="38" borderId="74" xfId="1" applyNumberFormat="1" applyFont="1" applyFill="1" applyBorder="1" applyAlignment="1">
      <alignment horizontal="right" vertical="center" wrapText="1"/>
    </xf>
    <xf numFmtId="2" fontId="15" fillId="19" borderId="112" xfId="1" applyNumberFormat="1" applyFont="1" applyFill="1" applyBorder="1" applyAlignment="1">
      <alignment horizontal="right" vertical="center" wrapText="1"/>
    </xf>
    <xf numFmtId="2" fontId="15" fillId="19" borderId="41" xfId="1" applyNumberFormat="1" applyFont="1" applyFill="1" applyBorder="1" applyAlignment="1">
      <alignment horizontal="right" vertical="center" wrapText="1"/>
    </xf>
    <xf numFmtId="0" fontId="38" fillId="0" borderId="197" xfId="12" applyFont="1" applyBorder="1" applyAlignment="1">
      <alignment horizontal="left" vertical="center" wrapText="1"/>
    </xf>
    <xf numFmtId="0" fontId="19" fillId="0" borderId="197" xfId="12" applyFont="1" applyBorder="1" applyAlignment="1">
      <alignment horizontal="left" vertical="center" wrapText="1"/>
    </xf>
    <xf numFmtId="2" fontId="6" fillId="15" borderId="0" xfId="1" applyNumberFormat="1" applyFont="1" applyFill="1" applyAlignment="1" applyProtection="1">
      <alignment horizontal="center" vertical="center"/>
      <protection locked="0"/>
    </xf>
    <xf numFmtId="0" fontId="39" fillId="7" borderId="4" xfId="12" applyFont="1" applyFill="1" applyBorder="1" applyAlignment="1">
      <alignment horizontal="center"/>
    </xf>
    <xf numFmtId="0" fontId="42" fillId="48" borderId="1" xfId="12" applyFont="1" applyFill="1" applyBorder="1" applyAlignment="1">
      <alignment horizontal="center"/>
    </xf>
    <xf numFmtId="2" fontId="15" fillId="9" borderId="71" xfId="0" applyNumberFormat="1" applyFont="1" applyFill="1" applyBorder="1" applyAlignment="1">
      <alignment horizontal="right" vertical="center" wrapText="1"/>
    </xf>
    <xf numFmtId="169" fontId="39" fillId="7" borderId="16" xfId="12" applyNumberFormat="1" applyFont="1" applyFill="1" applyBorder="1" applyAlignment="1">
      <alignment horizontal="center"/>
    </xf>
    <xf numFmtId="2" fontId="39" fillId="7" borderId="7" xfId="0" applyNumberFormat="1" applyFont="1" applyFill="1" applyBorder="1"/>
    <xf numFmtId="0" fontId="15" fillId="0" borderId="32" xfId="0" applyFont="1" applyBorder="1" applyAlignment="1">
      <alignment vertical="center" wrapText="1"/>
    </xf>
    <xf numFmtId="14" fontId="15" fillId="0" borderId="93"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6" fillId="0" borderId="17" xfId="0" applyFont="1" applyBorder="1"/>
    <xf numFmtId="0" fontId="36" fillId="0" borderId="14" xfId="0" applyFont="1" applyBorder="1"/>
    <xf numFmtId="0" fontId="36" fillId="0" borderId="48" xfId="0" applyFont="1" applyBorder="1"/>
    <xf numFmtId="2" fontId="6" fillId="10" borderId="24" xfId="0" applyNumberFormat="1" applyFont="1" applyFill="1" applyBorder="1" applyAlignment="1">
      <alignment vertical="center" wrapText="1"/>
    </xf>
    <xf numFmtId="0" fontId="15" fillId="0" borderId="0" xfId="13" applyFont="1" applyAlignment="1">
      <alignment horizontal="left" vertical="center" wrapText="1"/>
    </xf>
    <xf numFmtId="0" fontId="2" fillId="0" borderId="0" xfId="14"/>
    <xf numFmtId="49" fontId="2" fillId="0" borderId="0" xfId="14" applyNumberFormat="1"/>
    <xf numFmtId="0" fontId="15" fillId="15" borderId="21" xfId="13" applyFont="1" applyFill="1" applyBorder="1" applyAlignment="1">
      <alignment horizontal="left" vertical="center" wrapText="1"/>
    </xf>
    <xf numFmtId="2" fontId="15" fillId="0" borderId="29" xfId="13" applyNumberFormat="1" applyFont="1" applyBorder="1" applyAlignment="1">
      <alignment horizontal="left" vertical="top" wrapText="1"/>
    </xf>
    <xf numFmtId="0" fontId="15" fillId="0" borderId="29" xfId="13" applyFont="1" applyBorder="1" applyAlignment="1">
      <alignment horizontal="left" vertical="top" wrapText="1"/>
    </xf>
    <xf numFmtId="0" fontId="15" fillId="15" borderId="26" xfId="13" applyFont="1" applyFill="1" applyBorder="1" applyAlignment="1">
      <alignment horizontal="left" vertical="center"/>
    </xf>
    <xf numFmtId="0" fontId="15" fillId="0" borderId="28" xfId="13" applyFont="1" applyBorder="1" applyAlignment="1">
      <alignment horizontal="left" vertical="center" wrapText="1"/>
    </xf>
    <xf numFmtId="0" fontId="15" fillId="15" borderId="26" xfId="13" applyFont="1" applyFill="1" applyBorder="1" applyAlignment="1">
      <alignment horizontal="left" vertical="center" wrapText="1"/>
    </xf>
    <xf numFmtId="2" fontId="15" fillId="0" borderId="0" xfId="13" applyNumberFormat="1" applyFont="1" applyAlignment="1">
      <alignment horizontal="left" vertical="center" wrapText="1"/>
    </xf>
    <xf numFmtId="2" fontId="15" fillId="0" borderId="0" xfId="13" applyNumberFormat="1" applyFont="1" applyAlignment="1">
      <alignment horizontal="left" vertical="center"/>
    </xf>
    <xf numFmtId="166" fontId="15" fillId="0" borderId="0" xfId="13" applyNumberFormat="1" applyFont="1" applyAlignment="1">
      <alignment horizontal="left" vertical="center" wrapText="1"/>
    </xf>
    <xf numFmtId="166" fontId="15" fillId="0" borderId="0" xfId="13" applyNumberFormat="1" applyFont="1" applyAlignment="1">
      <alignment horizontal="left" vertical="center"/>
    </xf>
    <xf numFmtId="0" fontId="15" fillId="0" borderId="0" xfId="13" applyFont="1" applyAlignment="1">
      <alignment horizontal="left" vertical="center"/>
    </xf>
    <xf numFmtId="2" fontId="15" fillId="0" borderId="29" xfId="13" applyNumberFormat="1" applyFont="1" applyBorder="1" applyAlignment="1">
      <alignment horizontal="left" vertical="center" wrapText="1"/>
    </xf>
    <xf numFmtId="0" fontId="15" fillId="0" borderId="29" xfId="13" applyFont="1" applyBorder="1" applyAlignment="1">
      <alignment horizontal="left" vertical="center" wrapText="1"/>
    </xf>
    <xf numFmtId="0" fontId="16" fillId="15" borderId="1" xfId="13" applyFont="1" applyFill="1" applyBorder="1" applyAlignment="1">
      <alignment horizontal="left" vertical="center" wrapText="1"/>
    </xf>
    <xf numFmtId="0" fontId="15" fillId="15" borderId="2" xfId="13" applyFont="1" applyFill="1" applyBorder="1" applyAlignment="1">
      <alignment horizontal="left" vertical="center" wrapText="1"/>
    </xf>
    <xf numFmtId="0" fontId="15" fillId="15" borderId="3" xfId="13" applyFont="1" applyFill="1" applyBorder="1" applyAlignment="1">
      <alignment horizontal="left" vertical="center" wrapText="1"/>
    </xf>
    <xf numFmtId="0" fontId="15" fillId="15" borderId="4" xfId="13" applyFont="1" applyFill="1" applyBorder="1" applyAlignment="1">
      <alignment horizontal="left" vertical="center" wrapText="1"/>
    </xf>
    <xf numFmtId="0" fontId="15" fillId="15" borderId="0" xfId="13" applyFont="1" applyFill="1" applyAlignment="1">
      <alignment horizontal="left" vertical="center" wrapText="1"/>
    </xf>
    <xf numFmtId="0" fontId="15" fillId="15" borderId="5" xfId="13" applyFont="1" applyFill="1" applyBorder="1" applyAlignment="1">
      <alignment horizontal="left" vertical="center" wrapText="1"/>
    </xf>
    <xf numFmtId="0" fontId="15" fillId="15" borderId="9" xfId="13" applyFont="1" applyFill="1" applyBorder="1" applyAlignment="1">
      <alignment horizontal="left" vertical="center" wrapText="1"/>
    </xf>
    <xf numFmtId="0" fontId="15" fillId="15" borderId="10" xfId="13" applyFont="1" applyFill="1" applyBorder="1" applyAlignment="1">
      <alignment horizontal="left" vertical="center" wrapText="1"/>
    </xf>
    <xf numFmtId="0" fontId="15" fillId="15" borderId="11" xfId="13" applyFont="1" applyFill="1" applyBorder="1" applyAlignment="1">
      <alignment horizontal="left" vertical="center" wrapText="1"/>
    </xf>
    <xf numFmtId="1" fontId="4" fillId="0" borderId="9" xfId="2" applyNumberFormat="1" applyBorder="1" applyAlignment="1" applyProtection="1">
      <alignment horizontal="left" vertical="center" wrapText="1"/>
      <protection locked="0"/>
    </xf>
    <xf numFmtId="0" fontId="4" fillId="0" borderId="0" xfId="2" applyAlignment="1" applyProtection="1">
      <alignment horizontal="left" vertical="center" wrapText="1"/>
      <protection locked="0"/>
    </xf>
    <xf numFmtId="0" fontId="4" fillId="0" borderId="0" xfId="2" applyAlignment="1" applyProtection="1"/>
    <xf numFmtId="0" fontId="4" fillId="0" borderId="10" xfId="2" applyBorder="1" applyAlignment="1" applyProtection="1">
      <alignment horizontal="left" vertical="center"/>
    </xf>
    <xf numFmtId="0" fontId="4" fillId="7" borderId="39" xfId="2" applyFill="1" applyBorder="1" applyAlignment="1" applyProtection="1">
      <alignment horizontal="left" vertical="center" wrapText="1"/>
    </xf>
    <xf numFmtId="0" fontId="4" fillId="0" borderId="0" xfId="2" applyAlignment="1" applyProtection="1">
      <alignment horizontal="left" vertical="center" wrapText="1"/>
    </xf>
    <xf numFmtId="1" fontId="4" fillId="0" borderId="0" xfId="2" applyNumberFormat="1" applyAlignment="1" applyProtection="1">
      <alignment horizontal="left" vertical="center" wrapText="1"/>
      <protection locked="0"/>
    </xf>
    <xf numFmtId="2" fontId="4" fillId="0" borderId="0" xfId="2" applyNumberFormat="1" applyAlignment="1" applyProtection="1">
      <alignment horizontal="left" vertical="center" wrapText="1"/>
      <protection locked="0"/>
    </xf>
    <xf numFmtId="0" fontId="4" fillId="0" borderId="0" xfId="2" quotePrefix="1" applyAlignment="1" applyProtection="1">
      <alignment horizontal="left" vertical="center" wrapText="1"/>
    </xf>
    <xf numFmtId="2" fontId="4" fillId="0" borderId="0" xfId="2" quotePrefix="1" applyNumberFormat="1" applyAlignment="1" applyProtection="1">
      <alignment horizontal="left" vertical="center" wrapText="1"/>
      <protection locked="0"/>
    </xf>
    <xf numFmtId="0" fontId="19" fillId="11" borderId="19" xfId="0" applyFont="1" applyFill="1" applyBorder="1" applyAlignment="1">
      <alignment horizontal="left" vertical="center" wrapText="1"/>
    </xf>
    <xf numFmtId="49" fontId="6" fillId="0" borderId="6" xfId="0" applyNumberFormat="1" applyFont="1" applyBorder="1" applyAlignment="1" applyProtection="1">
      <alignment horizontal="center" vertical="center" wrapText="1"/>
      <protection locked="0"/>
    </xf>
    <xf numFmtId="0" fontId="6" fillId="2" borderId="14" xfId="4" applyFont="1" applyFill="1" applyBorder="1" applyAlignment="1" applyProtection="1">
      <alignment horizontal="center"/>
      <protection locked="0"/>
    </xf>
    <xf numFmtId="49" fontId="6" fillId="0" borderId="25" xfId="0" applyNumberFormat="1" applyFont="1" applyBorder="1" applyAlignment="1" applyProtection="1">
      <alignment horizontal="center" vertical="center" wrapText="1"/>
      <protection locked="0"/>
    </xf>
    <xf numFmtId="2" fontId="6" fillId="0" borderId="6" xfId="0" applyNumberFormat="1" applyFont="1" applyBorder="1" applyAlignment="1" applyProtection="1">
      <alignment horizontal="left" vertical="center" wrapText="1"/>
      <protection locked="0"/>
    </xf>
    <xf numFmtId="0" fontId="6" fillId="2" borderId="6" xfId="4" applyFont="1" applyFill="1" applyBorder="1" applyProtection="1">
      <protection locked="0"/>
    </xf>
    <xf numFmtId="2" fontId="6" fillId="0" borderId="25" xfId="0" applyNumberFormat="1" applyFont="1" applyBorder="1" applyAlignment="1" applyProtection="1">
      <alignment horizontal="left" vertical="top" wrapText="1"/>
      <protection locked="0"/>
    </xf>
    <xf numFmtId="2" fontId="6" fillId="0" borderId="6" xfId="0" applyNumberFormat="1" applyFont="1" applyBorder="1" applyAlignment="1" applyProtection="1">
      <alignment horizontal="center" vertical="center" wrapText="1"/>
      <protection locked="0"/>
    </xf>
    <xf numFmtId="0" fontId="6" fillId="2" borderId="6" xfId="5" applyFont="1" applyFill="1" applyBorder="1" applyAlignment="1" applyProtection="1">
      <alignment horizontal="center"/>
      <protection locked="0"/>
    </xf>
    <xf numFmtId="2" fontId="6" fillId="0" borderId="25" xfId="0" applyNumberFormat="1" applyFont="1" applyBorder="1" applyAlignment="1" applyProtection="1">
      <alignment horizontal="center" vertical="center" wrapText="1"/>
      <protection locked="0"/>
    </xf>
    <xf numFmtId="2" fontId="6" fillId="0" borderId="6" xfId="0" applyNumberFormat="1" applyFont="1" applyBorder="1" applyAlignment="1" applyProtection="1">
      <alignment horizontal="center" vertical="center"/>
      <protection locked="0"/>
    </xf>
    <xf numFmtId="2" fontId="15" fillId="0" borderId="34" xfId="0" applyNumberFormat="1" applyFont="1" applyBorder="1" applyAlignment="1">
      <alignment horizontal="center" vertical="center"/>
    </xf>
    <xf numFmtId="2" fontId="6" fillId="0" borderId="49" xfId="0" applyNumberFormat="1" applyFont="1" applyBorder="1" applyAlignment="1" applyProtection="1">
      <alignment horizontal="center" vertical="center"/>
      <protection locked="0"/>
    </xf>
    <xf numFmtId="0" fontId="15" fillId="0" borderId="34" xfId="0" applyFont="1" applyBorder="1" applyAlignment="1">
      <alignment horizontal="left" vertical="center"/>
    </xf>
    <xf numFmtId="0" fontId="6" fillId="0" borderId="48" xfId="4" applyFont="1" applyBorder="1" applyAlignment="1">
      <alignment wrapText="1"/>
    </xf>
    <xf numFmtId="0" fontId="6" fillId="0" borderId="6" xfId="1" applyFont="1" applyBorder="1" applyAlignment="1">
      <alignment horizontal="center" vertical="center" wrapText="1"/>
    </xf>
    <xf numFmtId="0" fontId="6" fillId="2" borderId="14" xfId="5" applyFont="1" applyFill="1" applyBorder="1" applyAlignment="1" applyProtection="1">
      <alignment horizontal="center"/>
      <protection locked="0"/>
    </xf>
    <xf numFmtId="2" fontId="6" fillId="0" borderId="6" xfId="0" applyNumberFormat="1" applyFont="1" applyBorder="1" applyAlignment="1" applyProtection="1">
      <alignment horizontal="right" vertical="center"/>
      <protection locked="0"/>
    </xf>
    <xf numFmtId="0" fontId="6" fillId="14" borderId="18" xfId="10" applyFont="1" applyFill="1" applyBorder="1" applyAlignment="1" applyProtection="1">
      <alignment horizontal="left" vertical="center" wrapText="1"/>
      <protection locked="0"/>
    </xf>
    <xf numFmtId="0" fontId="6" fillId="14" borderId="18" xfId="10" applyFont="1" applyFill="1" applyBorder="1" applyAlignment="1" applyProtection="1">
      <alignment horizontal="right" vertical="center" wrapText="1"/>
      <protection locked="0"/>
    </xf>
    <xf numFmtId="0" fontId="6" fillId="14" borderId="50" xfId="10" applyFont="1" applyFill="1" applyBorder="1" applyAlignment="1">
      <alignment horizontal="left" vertical="center" wrapText="1"/>
    </xf>
    <xf numFmtId="14" fontId="6" fillId="14" borderId="18" xfId="10" applyNumberFormat="1" applyFont="1" applyFill="1" applyBorder="1" applyAlignment="1" applyProtection="1">
      <alignment horizontal="left" vertical="center" wrapText="1"/>
      <protection locked="0"/>
    </xf>
    <xf numFmtId="2" fontId="6" fillId="0" borderId="6" xfId="10" applyNumberFormat="1" applyFont="1" applyBorder="1" applyAlignment="1" applyProtection="1">
      <alignment horizontal="left" vertical="center" wrapText="1"/>
      <protection locked="0"/>
    </xf>
    <xf numFmtId="2" fontId="6" fillId="0" borderId="6" xfId="10" applyNumberFormat="1" applyFont="1" applyBorder="1" applyAlignment="1" applyProtection="1">
      <alignment horizontal="right" vertical="center"/>
      <protection locked="0"/>
    </xf>
    <xf numFmtId="0" fontId="6" fillId="0" borderId="6" xfId="10" applyFont="1" applyBorder="1" applyAlignment="1">
      <alignment horizontal="left" vertical="center" wrapText="1"/>
    </xf>
    <xf numFmtId="0" fontId="8" fillId="0" borderId="34" xfId="10" applyFont="1" applyBorder="1" applyAlignment="1">
      <alignment horizontal="left" vertical="center" wrapText="1"/>
    </xf>
    <xf numFmtId="0" fontId="15" fillId="0" borderId="25" xfId="1" applyFont="1" applyBorder="1" applyAlignment="1">
      <alignment horizontal="left" vertical="center"/>
    </xf>
    <xf numFmtId="0" fontId="15" fillId="0" borderId="25" xfId="1" applyFont="1" applyBorder="1" applyAlignment="1">
      <alignment horizontal="right" vertical="center" wrapText="1"/>
    </xf>
    <xf numFmtId="0" fontId="15" fillId="0" borderId="25" xfId="1" applyFont="1" applyBorder="1" applyAlignment="1">
      <alignment horizontal="right" vertical="center"/>
    </xf>
    <xf numFmtId="0" fontId="15" fillId="0" borderId="25" xfId="1" applyFont="1" applyBorder="1" applyAlignment="1">
      <alignment horizontal="left" vertical="center" wrapText="1"/>
    </xf>
    <xf numFmtId="0" fontId="15" fillId="0" borderId="49" xfId="1" applyFont="1" applyBorder="1" applyAlignment="1">
      <alignment horizontal="left" vertical="center" wrapText="1"/>
    </xf>
    <xf numFmtId="14" fontId="15" fillId="0" borderId="25" xfId="1" applyNumberFormat="1" applyFont="1" applyBorder="1" applyAlignment="1">
      <alignment horizontal="left" vertical="center"/>
    </xf>
    <xf numFmtId="2" fontId="15" fillId="0" borderId="0" xfId="0" applyNumberFormat="1" applyFont="1" applyAlignment="1">
      <alignment horizontal="right" vertical="center" wrapText="1"/>
    </xf>
    <xf numFmtId="165" fontId="6" fillId="0" borderId="27" xfId="1" applyNumberFormat="1" applyFont="1" applyBorder="1" applyAlignment="1">
      <alignment horizontal="right" vertical="center" shrinkToFit="1"/>
    </xf>
    <xf numFmtId="2" fontId="15" fillId="0" borderId="103" xfId="0" applyNumberFormat="1" applyFont="1" applyBorder="1" applyAlignment="1">
      <alignment horizontal="right" vertical="center" wrapText="1"/>
    </xf>
    <xf numFmtId="2" fontId="6" fillId="0" borderId="22" xfId="10" applyNumberFormat="1" applyFont="1" applyBorder="1" applyAlignment="1" applyProtection="1">
      <alignment horizontal="right" vertical="center" shrinkToFit="1"/>
      <protection locked="0"/>
    </xf>
    <xf numFmtId="2" fontId="6" fillId="0" borderId="23" xfId="10" applyNumberFormat="1" applyFont="1" applyBorder="1" applyAlignment="1" applyProtection="1">
      <alignment horizontal="right" vertical="center" shrinkToFit="1"/>
      <protection locked="0"/>
    </xf>
    <xf numFmtId="2" fontId="6" fillId="0" borderId="17" xfId="10" applyNumberFormat="1" applyFont="1" applyBorder="1" applyAlignment="1" applyProtection="1">
      <alignment horizontal="right" vertical="center" shrinkToFit="1"/>
      <protection locked="0"/>
    </xf>
    <xf numFmtId="2" fontId="6" fillId="7" borderId="23" xfId="10" applyNumberFormat="1" applyFont="1" applyFill="1" applyBorder="1" applyAlignment="1" applyProtection="1">
      <alignment horizontal="right" vertical="center" shrinkToFit="1"/>
      <protection locked="0"/>
    </xf>
    <xf numFmtId="166" fontId="6" fillId="0" borderId="23" xfId="10" applyNumberFormat="1" applyFont="1" applyBorder="1" applyAlignment="1" applyProtection="1">
      <alignment horizontal="right" vertical="center" shrinkToFit="1"/>
      <protection locked="0"/>
    </xf>
    <xf numFmtId="2" fontId="6" fillId="0" borderId="56" xfId="10" applyNumberFormat="1" applyFont="1" applyBorder="1" applyAlignment="1" applyProtection="1">
      <alignment horizontal="right" vertical="center" shrinkToFit="1"/>
      <protection locked="0"/>
    </xf>
    <xf numFmtId="2" fontId="6" fillId="0" borderId="23" xfId="10" applyNumberFormat="1" applyFont="1" applyBorder="1" applyAlignment="1">
      <alignment horizontal="right" vertical="center" shrinkToFit="1"/>
    </xf>
    <xf numFmtId="2" fontId="6" fillId="0" borderId="6" xfId="10" applyNumberFormat="1" applyFont="1" applyBorder="1" applyAlignment="1">
      <alignment horizontal="right" vertical="center" shrinkToFit="1"/>
    </xf>
    <xf numFmtId="167" fontId="6" fillId="15" borderId="23" xfId="10" applyNumberFormat="1" applyFont="1" applyFill="1" applyBorder="1" applyAlignment="1">
      <alignment horizontal="right" vertical="center" shrinkToFit="1"/>
    </xf>
    <xf numFmtId="167" fontId="6" fillId="7" borderId="23" xfId="10" applyNumberFormat="1" applyFont="1" applyFill="1" applyBorder="1" applyAlignment="1">
      <alignment horizontal="right" vertical="center" shrinkToFit="1"/>
    </xf>
    <xf numFmtId="2" fontId="6" fillId="7" borderId="23" xfId="10" applyNumberFormat="1" applyFont="1" applyFill="1" applyBorder="1" applyAlignment="1">
      <alignment horizontal="right" vertical="center" shrinkToFi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24" borderId="17" xfId="0" applyFont="1" applyFill="1" applyBorder="1" applyAlignment="1">
      <alignment horizontal="left" vertical="center" wrapText="1"/>
    </xf>
    <xf numFmtId="0" fontId="6" fillId="0" borderId="2" xfId="0" applyFont="1" applyBorder="1" applyAlignment="1">
      <alignment horizontal="right" vertical="center" wrapText="1"/>
    </xf>
    <xf numFmtId="0" fontId="8" fillId="22" borderId="16" xfId="0" applyFont="1" applyFill="1" applyBorder="1" applyAlignment="1">
      <alignment horizontal="left" vertical="center" wrapText="1"/>
    </xf>
    <xf numFmtId="2" fontId="6" fillId="15" borderId="6" xfId="0" applyNumberFormat="1" applyFont="1" applyFill="1" applyBorder="1" applyAlignment="1">
      <alignment horizontal="right" vertical="center" wrapText="1"/>
    </xf>
    <xf numFmtId="2" fontId="6" fillId="0" borderId="69" xfId="10" applyNumberFormat="1" applyFont="1" applyBorder="1" applyAlignment="1" applyProtection="1">
      <alignment horizontal="right" vertical="center" shrinkToFit="1"/>
      <protection locked="0"/>
    </xf>
    <xf numFmtId="0" fontId="6" fillId="0" borderId="34" xfId="1" applyFont="1" applyBorder="1" applyAlignment="1">
      <alignment horizontal="left" vertical="center" wrapText="1"/>
    </xf>
    <xf numFmtId="2" fontId="21" fillId="24" borderId="17" xfId="0" applyNumberFormat="1" applyFont="1" applyFill="1" applyBorder="1" applyAlignment="1">
      <alignment horizontal="left" vertical="center" wrapText="1"/>
    </xf>
    <xf numFmtId="14" fontId="15" fillId="0" borderId="104" xfId="0" applyNumberFormat="1" applyFont="1" applyBorder="1" applyAlignment="1">
      <alignment vertical="center"/>
    </xf>
    <xf numFmtId="0" fontId="6" fillId="14" borderId="14" xfId="10" applyFont="1" applyFill="1" applyBorder="1" applyAlignment="1" applyProtection="1">
      <alignment horizontal="right" vertical="center" shrinkToFit="1"/>
      <protection locked="0"/>
    </xf>
    <xf numFmtId="0" fontId="6" fillId="14" borderId="27" xfId="10" applyFont="1" applyFill="1" applyBorder="1" applyAlignment="1" applyProtection="1">
      <alignment horizontal="right" vertical="center" shrinkToFit="1"/>
      <protection locked="0"/>
    </xf>
    <xf numFmtId="0" fontId="46" fillId="0" borderId="0" xfId="0" applyFont="1" applyAlignment="1">
      <alignment horizontal="left" vertical="center" wrapText="1"/>
    </xf>
    <xf numFmtId="0" fontId="48" fillId="0" borderId="0" xfId="0" applyFont="1" applyAlignment="1">
      <alignment horizontal="left" vertical="center" wrapText="1"/>
    </xf>
    <xf numFmtId="0" fontId="46" fillId="14" borderId="0" xfId="0" applyFont="1" applyFill="1" applyAlignment="1">
      <alignment horizontal="left" vertical="center" wrapText="1"/>
    </xf>
    <xf numFmtId="0" fontId="47" fillId="0" borderId="0" xfId="0" applyFont="1" applyAlignment="1">
      <alignment horizontal="left" wrapText="1" readingOrder="1"/>
    </xf>
    <xf numFmtId="0" fontId="49" fillId="0" borderId="0" xfId="0" applyFont="1" applyAlignment="1">
      <alignment horizontal="left" vertical="center" wrapText="1"/>
    </xf>
    <xf numFmtId="2" fontId="46" fillId="0" borderId="0" xfId="0" applyNumberFormat="1" applyFont="1" applyAlignment="1">
      <alignment horizontal="left" vertical="center" wrapText="1"/>
    </xf>
    <xf numFmtId="0" fontId="22" fillId="0" borderId="0" xfId="0" applyFont="1" applyAlignment="1">
      <alignment horizontal="left" vertical="center" wrapText="1"/>
    </xf>
    <xf numFmtId="0" fontId="21" fillId="0" borderId="47" xfId="0" applyFont="1" applyBorder="1" applyAlignment="1">
      <alignment horizontal="left" vertical="center" wrapText="1"/>
    </xf>
    <xf numFmtId="0" fontId="21" fillId="0" borderId="16" xfId="0" applyFont="1" applyBorder="1" applyAlignment="1">
      <alignment horizontal="left" vertical="center" wrapText="1"/>
    </xf>
    <xf numFmtId="0" fontId="19" fillId="0" borderId="16" xfId="0" applyFont="1" applyBorder="1" applyAlignment="1">
      <alignment horizontal="left" vertical="center" wrapText="1"/>
    </xf>
    <xf numFmtId="0" fontId="21" fillId="0" borderId="14" xfId="0" applyFont="1" applyBorder="1" applyAlignment="1">
      <alignment horizontal="left" vertical="center" wrapText="1"/>
    </xf>
    <xf numFmtId="165" fontId="6" fillId="0" borderId="6" xfId="1" applyNumberFormat="1" applyFont="1" applyBorder="1" applyAlignment="1">
      <alignment horizontal="right" vertical="center" shrinkToFit="1"/>
    </xf>
    <xf numFmtId="2" fontId="6" fillId="0" borderId="40" xfId="1" applyNumberFormat="1" applyFont="1" applyBorder="1" applyAlignment="1" applyProtection="1">
      <alignment horizontal="right" vertical="center" shrinkToFit="1"/>
      <protection locked="0"/>
    </xf>
    <xf numFmtId="2" fontId="6" fillId="0" borderId="47" xfId="1" applyNumberFormat="1" applyFont="1" applyBorder="1" applyAlignment="1" applyProtection="1">
      <alignment horizontal="right" vertical="center" wrapText="1"/>
      <protection locked="0"/>
    </xf>
    <xf numFmtId="167" fontId="21" fillId="25" borderId="17" xfId="11" applyNumberFormat="1" applyFont="1" applyFill="1" applyBorder="1" applyAlignment="1">
      <alignment horizontal="right" vertical="center" wrapText="1"/>
    </xf>
    <xf numFmtId="0" fontId="27" fillId="0" borderId="0" xfId="11" applyFont="1"/>
    <xf numFmtId="167" fontId="21" fillId="9" borderId="15" xfId="11" applyNumberFormat="1" applyFont="1" applyFill="1" applyBorder="1" applyAlignment="1">
      <alignment horizontal="right" vertical="center" wrapText="1"/>
    </xf>
    <xf numFmtId="167" fontId="21" fillId="25" borderId="23" xfId="11" applyNumberFormat="1" applyFont="1" applyFill="1" applyBorder="1" applyAlignment="1">
      <alignment horizontal="right" vertical="center" wrapText="1"/>
    </xf>
    <xf numFmtId="167" fontId="21" fillId="9" borderId="23" xfId="11" applyNumberFormat="1" applyFont="1" applyFill="1" applyBorder="1" applyAlignment="1">
      <alignment horizontal="right" vertical="center" wrapText="1"/>
    </xf>
    <xf numFmtId="167" fontId="21" fillId="9" borderId="33" xfId="11" applyNumberFormat="1" applyFont="1" applyFill="1" applyBorder="1" applyAlignment="1">
      <alignment horizontal="right" vertical="center" wrapText="1"/>
    </xf>
    <xf numFmtId="167" fontId="21" fillId="9" borderId="114" xfId="11" applyNumberFormat="1" applyFont="1" applyFill="1" applyBorder="1" applyAlignment="1">
      <alignment horizontal="right" vertical="center" wrapText="1"/>
    </xf>
    <xf numFmtId="2" fontId="15" fillId="25" borderId="23" xfId="11" applyNumberFormat="1" applyFill="1" applyBorder="1" applyAlignment="1">
      <alignment horizontal="right"/>
    </xf>
    <xf numFmtId="2" fontId="15" fillId="9" borderId="15" xfId="11" applyNumberFormat="1" applyFill="1" applyBorder="1" applyAlignment="1">
      <alignment horizontal="right"/>
    </xf>
    <xf numFmtId="167" fontId="15" fillId="25" borderId="23" xfId="11" applyNumberFormat="1" applyFill="1" applyBorder="1" applyAlignment="1">
      <alignment horizontal="right"/>
    </xf>
    <xf numFmtId="17" fontId="18" fillId="15" borderId="19" xfId="1" applyNumberFormat="1" applyFont="1" applyFill="1" applyBorder="1" applyAlignment="1">
      <alignment horizontal="left" vertical="center"/>
    </xf>
    <xf numFmtId="165" fontId="6" fillId="15" borderId="23" xfId="10" applyNumberFormat="1" applyFont="1" applyFill="1" applyBorder="1" applyAlignment="1" applyProtection="1">
      <alignment horizontal="right" vertical="center" shrinkToFit="1"/>
      <protection locked="0"/>
    </xf>
    <xf numFmtId="0" fontId="18" fillId="0" borderId="90" xfId="0" applyFont="1" applyBorder="1" applyAlignment="1">
      <alignment horizontal="left" vertical="center"/>
    </xf>
    <xf numFmtId="0" fontId="18" fillId="0" borderId="19" xfId="0" applyFont="1" applyBorder="1" applyAlignment="1">
      <alignment horizontal="left" vertical="center"/>
    </xf>
    <xf numFmtId="0" fontId="6" fillId="0" borderId="104" xfId="0" applyFont="1" applyBorder="1" applyAlignment="1">
      <alignment vertical="center"/>
    </xf>
    <xf numFmtId="0" fontId="6" fillId="0" borderId="91" xfId="0" applyFont="1" applyBorder="1" applyAlignment="1">
      <alignment horizontal="left" vertical="center" wrapText="1"/>
    </xf>
    <xf numFmtId="0" fontId="6" fillId="9" borderId="91" xfId="0" applyFont="1" applyFill="1" applyBorder="1" applyAlignment="1">
      <alignment horizontal="left" vertical="center" wrapText="1"/>
    </xf>
    <xf numFmtId="2" fontId="15" fillId="0" borderId="0" xfId="0" applyNumberFormat="1" applyFont="1" applyAlignment="1">
      <alignment horizontal="left" vertical="center"/>
    </xf>
    <xf numFmtId="0" fontId="6" fillId="0" borderId="17" xfId="0" applyFont="1" applyBorder="1" applyAlignment="1">
      <alignment horizontal="left" vertical="center" wrapText="1"/>
    </xf>
    <xf numFmtId="43" fontId="6" fillId="0" borderId="17" xfId="0" applyNumberFormat="1" applyFont="1" applyBorder="1" applyAlignment="1">
      <alignment horizontal="left" vertical="center" wrapText="1"/>
    </xf>
    <xf numFmtId="2" fontId="6" fillId="0" borderId="17" xfId="0" applyNumberFormat="1" applyFont="1" applyBorder="1" applyAlignment="1">
      <alignment horizontal="left" vertical="center" wrapText="1"/>
    </xf>
    <xf numFmtId="0" fontId="6" fillId="24" borderId="17" xfId="0" applyFont="1" applyFill="1" applyBorder="1" applyAlignment="1">
      <alignment horizontal="left" vertical="center" wrapText="1"/>
    </xf>
    <xf numFmtId="2" fontId="6" fillId="24" borderId="17" xfId="0" applyNumberFormat="1" applyFont="1" applyFill="1" applyBorder="1" applyAlignment="1">
      <alignment horizontal="left" vertical="center" wrapText="1"/>
    </xf>
    <xf numFmtId="43" fontId="6" fillId="0" borderId="16" xfId="0" applyNumberFormat="1" applyFont="1" applyBorder="1" applyAlignment="1">
      <alignment horizontal="left" vertical="center" wrapText="1"/>
    </xf>
    <xf numFmtId="167" fontId="21" fillId="0" borderId="14" xfId="11" applyNumberFormat="1" applyFont="1" applyBorder="1" applyAlignment="1">
      <alignment horizontal="right" vertical="center" wrapText="1"/>
    </xf>
    <xf numFmtId="167" fontId="21" fillId="0" borderId="6" xfId="11" applyNumberFormat="1" applyFont="1" applyBorder="1" applyAlignment="1">
      <alignment horizontal="right" vertical="center" wrapText="1"/>
    </xf>
    <xf numFmtId="167" fontId="21" fillId="0" borderId="23" xfId="11" applyNumberFormat="1" applyFont="1" applyBorder="1" applyAlignment="1">
      <alignment horizontal="right" vertical="center" wrapText="1"/>
    </xf>
    <xf numFmtId="167" fontId="15" fillId="0" borderId="23" xfId="11" applyNumberFormat="1" applyBorder="1" applyAlignment="1">
      <alignment horizontal="right"/>
    </xf>
    <xf numFmtId="2" fontId="15" fillId="0" borderId="23" xfId="11" applyNumberFormat="1" applyBorder="1" applyAlignment="1">
      <alignment horizontal="right"/>
    </xf>
    <xf numFmtId="2" fontId="15" fillId="0" borderId="6" xfId="11" applyNumberFormat="1" applyBorder="1" applyAlignment="1">
      <alignment horizontal="right"/>
    </xf>
    <xf numFmtId="2" fontId="15" fillId="0" borderId="34" xfId="11" applyNumberFormat="1" applyBorder="1" applyAlignment="1">
      <alignment horizontal="right"/>
    </xf>
    <xf numFmtId="167" fontId="15" fillId="0" borderId="6" xfId="11" applyNumberFormat="1" applyBorder="1" applyAlignment="1">
      <alignment horizontal="right"/>
    </xf>
    <xf numFmtId="167" fontId="15" fillId="0" borderId="25" xfId="11" applyNumberFormat="1" applyBorder="1" applyAlignment="1">
      <alignment horizontal="right"/>
    </xf>
    <xf numFmtId="2" fontId="6" fillId="15" borderId="56" xfId="1" applyNumberFormat="1" applyFont="1" applyFill="1" applyBorder="1" applyAlignment="1">
      <alignment horizontal="right" vertical="center" shrinkToFit="1"/>
    </xf>
    <xf numFmtId="0" fontId="6" fillId="28" borderId="6" xfId="1" applyFont="1" applyFill="1" applyBorder="1" applyAlignment="1">
      <alignment horizontal="left" vertical="center"/>
    </xf>
    <xf numFmtId="0" fontId="28" fillId="15" borderId="0" xfId="1" applyFont="1" applyFill="1" applyAlignment="1">
      <alignment horizontal="center" vertical="center"/>
    </xf>
    <xf numFmtId="0" fontId="6" fillId="30" borderId="6" xfId="1" applyFont="1" applyFill="1" applyBorder="1" applyAlignment="1">
      <alignment horizontal="left" vertical="center" wrapText="1"/>
    </xf>
    <xf numFmtId="0" fontId="6" fillId="34" borderId="6" xfId="1" applyFont="1" applyFill="1" applyBorder="1" applyAlignment="1">
      <alignment horizontal="left" vertical="center"/>
    </xf>
    <xf numFmtId="0" fontId="6" fillId="33" borderId="6" xfId="1" applyFont="1" applyFill="1" applyBorder="1" applyAlignment="1">
      <alignment horizontal="left" vertical="center"/>
    </xf>
    <xf numFmtId="0" fontId="6" fillId="32" borderId="6" xfId="1" applyFont="1" applyFill="1" applyBorder="1" applyAlignment="1">
      <alignment horizontal="left" vertical="center"/>
    </xf>
    <xf numFmtId="0" fontId="6" fillId="39" borderId="34" xfId="1" applyFont="1" applyFill="1" applyBorder="1" applyAlignment="1">
      <alignment horizontal="left" vertical="center" wrapText="1"/>
    </xf>
    <xf numFmtId="0" fontId="6" fillId="39" borderId="23" xfId="1" applyFont="1" applyFill="1" applyBorder="1" applyAlignment="1">
      <alignment horizontal="left" vertical="center" wrapText="1"/>
    </xf>
    <xf numFmtId="0" fontId="6" fillId="0" borderId="6" xfId="1" applyFont="1" applyBorder="1" applyAlignment="1">
      <alignment horizontal="left" vertical="center" wrapText="1"/>
    </xf>
    <xf numFmtId="0" fontId="6" fillId="3" borderId="6" xfId="1" applyFont="1" applyFill="1" applyBorder="1" applyAlignment="1">
      <alignment horizontal="left" vertical="center"/>
    </xf>
    <xf numFmtId="0" fontId="6" fillId="4" borderId="6" xfId="1" applyFont="1" applyFill="1" applyBorder="1" applyAlignment="1">
      <alignment horizontal="left" vertical="center"/>
    </xf>
    <xf numFmtId="0" fontId="6" fillId="5" borderId="6" xfId="1" applyFont="1" applyFill="1" applyBorder="1" applyAlignment="1">
      <alignment horizontal="left" vertical="center"/>
    </xf>
    <xf numFmtId="0" fontId="6" fillId="15" borderId="6" xfId="1" applyFont="1" applyFill="1" applyBorder="1" applyAlignment="1">
      <alignment horizontal="left" vertical="center"/>
    </xf>
    <xf numFmtId="2" fontId="6" fillId="15" borderId="13" xfId="1" applyNumberFormat="1" applyFont="1" applyFill="1" applyBorder="1" applyAlignment="1" applyProtection="1">
      <alignment horizontal="center" vertical="center"/>
      <protection locked="0"/>
    </xf>
    <xf numFmtId="2" fontId="6" fillId="15" borderId="19" xfId="1" applyNumberFormat="1" applyFont="1" applyFill="1" applyBorder="1" applyAlignment="1" applyProtection="1">
      <alignment horizontal="center" vertical="center"/>
      <protection locked="0"/>
    </xf>
    <xf numFmtId="164" fontId="6" fillId="15" borderId="38" xfId="1" applyNumberFormat="1" applyFont="1" applyFill="1" applyBorder="1" applyAlignment="1" applyProtection="1">
      <alignment horizontal="center" vertical="center"/>
      <protection locked="0"/>
    </xf>
    <xf numFmtId="164" fontId="6" fillId="15" borderId="36" xfId="1" applyNumberFormat="1" applyFont="1" applyFill="1" applyBorder="1" applyAlignment="1" applyProtection="1">
      <alignment horizontal="center" vertical="center"/>
      <protection locked="0"/>
    </xf>
    <xf numFmtId="164" fontId="6" fillId="15" borderId="37" xfId="1" applyNumberFormat="1" applyFont="1" applyFill="1" applyBorder="1" applyAlignment="1" applyProtection="1">
      <alignment horizontal="center" vertical="center"/>
      <protection locked="0"/>
    </xf>
    <xf numFmtId="2" fontId="18" fillId="15" borderId="13" xfId="1" applyNumberFormat="1" applyFont="1" applyFill="1" applyBorder="1" applyAlignment="1" applyProtection="1">
      <alignment horizontal="center" vertical="center"/>
      <protection locked="0"/>
    </xf>
    <xf numFmtId="2" fontId="18" fillId="15" borderId="19" xfId="1" applyNumberFormat="1" applyFont="1" applyFill="1" applyBorder="1" applyAlignment="1" applyProtection="1">
      <alignment horizontal="center" vertical="center"/>
      <protection locked="0"/>
    </xf>
    <xf numFmtId="0" fontId="8" fillId="2" borderId="7" xfId="1" applyFont="1" applyFill="1" applyBorder="1" applyAlignment="1" applyProtection="1">
      <alignment horizontal="center" vertical="center"/>
      <protection locked="0"/>
    </xf>
    <xf numFmtId="14" fontId="18" fillId="0" borderId="0" xfId="1" applyNumberFormat="1" applyFont="1" applyAlignment="1" applyProtection="1">
      <alignment horizontal="center" vertical="center"/>
      <protection locked="0"/>
    </xf>
    <xf numFmtId="14" fontId="18" fillId="0" borderId="7" xfId="1" applyNumberFormat="1" applyFont="1" applyBorder="1" applyAlignment="1" applyProtection="1">
      <alignment horizontal="center" vertical="center"/>
      <protection locked="0"/>
    </xf>
    <xf numFmtId="0" fontId="8" fillId="15" borderId="4" xfId="1" applyFont="1" applyFill="1" applyBorder="1" applyAlignment="1">
      <alignment horizontal="right" vertical="center"/>
    </xf>
    <xf numFmtId="0" fontId="8" fillId="15" borderId="0" xfId="1" applyFont="1" applyFill="1" applyAlignment="1">
      <alignment horizontal="right" vertical="center"/>
    </xf>
    <xf numFmtId="0" fontId="6" fillId="15" borderId="0" xfId="1" applyFont="1" applyFill="1" applyAlignment="1">
      <alignment horizontal="center" vertical="center" wrapText="1"/>
    </xf>
    <xf numFmtId="0" fontId="4" fillId="15" borderId="0" xfId="2" applyFill="1" applyBorder="1" applyAlignment="1" applyProtection="1">
      <alignment horizontal="center" vertical="center"/>
    </xf>
    <xf numFmtId="0" fontId="25" fillId="15" borderId="0" xfId="2" applyFont="1" applyFill="1" applyBorder="1" applyAlignment="1" applyProtection="1">
      <alignment horizontal="center" vertical="center"/>
    </xf>
    <xf numFmtId="0" fontId="29" fillId="15" borderId="0" xfId="1" applyFont="1" applyFill="1" applyAlignment="1">
      <alignment horizontal="center" vertical="center"/>
    </xf>
    <xf numFmtId="0" fontId="8" fillId="15" borderId="12" xfId="1" applyFont="1" applyFill="1" applyBorder="1" applyAlignment="1">
      <alignment horizontal="left" vertical="center"/>
    </xf>
    <xf numFmtId="0" fontId="8" fillId="15" borderId="13" xfId="1" applyFont="1" applyFill="1" applyBorder="1" applyAlignment="1">
      <alignment horizontal="left" vertical="center"/>
    </xf>
    <xf numFmtId="0" fontId="4" fillId="15" borderId="10" xfId="2" applyFill="1" applyBorder="1" applyAlignment="1" applyProtection="1">
      <alignment horizontal="center" vertical="center"/>
    </xf>
    <xf numFmtId="0" fontId="19" fillId="46" borderId="1" xfId="0" applyFont="1" applyFill="1" applyBorder="1" applyAlignment="1">
      <alignment horizontal="center" vertical="center" wrapText="1"/>
    </xf>
    <xf numFmtId="0" fontId="19" fillId="46" borderId="3" xfId="0" applyFont="1" applyFill="1" applyBorder="1" applyAlignment="1">
      <alignment horizontal="center" vertical="center" wrapText="1"/>
    </xf>
    <xf numFmtId="0" fontId="19" fillId="11" borderId="136" xfId="0" applyFont="1" applyFill="1" applyBorder="1" applyAlignment="1">
      <alignment vertical="center" wrapText="1"/>
    </xf>
    <xf numFmtId="0" fontId="19" fillId="11" borderId="137" xfId="0" applyFont="1" applyFill="1" applyBorder="1" applyAlignment="1">
      <alignment vertical="center" wrapText="1"/>
    </xf>
    <xf numFmtId="0" fontId="8" fillId="24" borderId="35" xfId="1" applyFont="1" applyFill="1" applyBorder="1" applyAlignment="1" applyProtection="1">
      <alignment horizontal="center" vertical="center" wrapText="1"/>
      <protection locked="0"/>
    </xf>
    <xf numFmtId="0" fontId="8" fillId="24" borderId="37" xfId="1" applyFont="1" applyFill="1" applyBorder="1" applyAlignment="1" applyProtection="1">
      <alignment horizontal="center" vertical="center" wrapText="1"/>
      <protection locked="0"/>
    </xf>
    <xf numFmtId="0" fontId="8" fillId="0" borderId="20" xfId="12" applyFont="1" applyBorder="1" applyAlignment="1">
      <alignment horizontal="center" vertical="top" wrapText="1"/>
    </xf>
    <xf numFmtId="0" fontId="20" fillId="0" borderId="103" xfId="12" applyFont="1" applyBorder="1" applyAlignment="1">
      <alignment horizontal="center" vertical="top" wrapText="1"/>
    </xf>
    <xf numFmtId="0" fontId="20" fillId="0" borderId="196" xfId="12" applyFont="1" applyBorder="1" applyAlignment="1">
      <alignment horizontal="center" vertical="top" wrapText="1"/>
    </xf>
    <xf numFmtId="0" fontId="8" fillId="24" borderId="136" xfId="1" applyFont="1" applyFill="1" applyBorder="1" applyAlignment="1" applyProtection="1">
      <alignment horizontal="center" vertical="center" wrapText="1"/>
      <protection locked="0"/>
    </xf>
    <xf numFmtId="0" fontId="8" fillId="24" borderId="198" xfId="1" applyFont="1" applyFill="1" applyBorder="1" applyAlignment="1" applyProtection="1">
      <alignment horizontal="center" vertical="center" wrapText="1"/>
      <protection locked="0"/>
    </xf>
    <xf numFmtId="0" fontId="3" fillId="7" borderId="4" xfId="12" quotePrefix="1" applyFont="1" applyFill="1" applyBorder="1" applyAlignment="1">
      <alignment horizontal="center"/>
    </xf>
    <xf numFmtId="0" fontId="3" fillId="7" borderId="5" xfId="12" quotePrefix="1" applyFont="1" applyFill="1" applyBorder="1" applyAlignment="1">
      <alignment horizontal="center"/>
    </xf>
    <xf numFmtId="0" fontId="39" fillId="7" borderId="4" xfId="12" applyFont="1" applyFill="1" applyBorder="1" applyAlignment="1">
      <alignment horizontal="center"/>
    </xf>
    <xf numFmtId="0" fontId="39" fillId="7" borderId="5" xfId="12" applyFont="1" applyFill="1" applyBorder="1" applyAlignment="1">
      <alignment horizontal="center"/>
    </xf>
    <xf numFmtId="0" fontId="43" fillId="7" borderId="183" xfId="12" applyFont="1" applyFill="1" applyBorder="1" applyAlignment="1">
      <alignment horizontal="left" vertical="center" wrapText="1"/>
    </xf>
    <xf numFmtId="0" fontId="39" fillId="7" borderId="199" xfId="12" applyFont="1" applyFill="1" applyBorder="1" applyAlignment="1">
      <alignment horizontal="left" vertical="center" wrapText="1"/>
    </xf>
    <xf numFmtId="0" fontId="39" fillId="7" borderId="200" xfId="12" applyFont="1" applyFill="1" applyBorder="1" applyAlignment="1">
      <alignment horizontal="left" vertical="center" wrapText="1"/>
    </xf>
    <xf numFmtId="0" fontId="39" fillId="7" borderId="201" xfId="12" applyFont="1" applyFill="1" applyBorder="1" applyAlignment="1">
      <alignment horizontal="left" vertical="center" wrapText="1"/>
    </xf>
    <xf numFmtId="0" fontId="39" fillId="7" borderId="0" xfId="12" applyFont="1" applyFill="1" applyAlignment="1">
      <alignment horizontal="left" vertical="center" wrapText="1"/>
    </xf>
    <xf numFmtId="0" fontId="39" fillId="7" borderId="202" xfId="12" applyFont="1" applyFill="1" applyBorder="1" applyAlignment="1">
      <alignment horizontal="left" vertical="center" wrapText="1"/>
    </xf>
    <xf numFmtId="0" fontId="39" fillId="7" borderId="203" xfId="12" applyFont="1" applyFill="1" applyBorder="1" applyAlignment="1">
      <alignment horizontal="left" vertical="center" wrapText="1"/>
    </xf>
    <xf numFmtId="0" fontId="39" fillId="7" borderId="197" xfId="12" applyFont="1" applyFill="1" applyBorder="1" applyAlignment="1">
      <alignment horizontal="left" vertical="center" wrapText="1"/>
    </xf>
    <xf numFmtId="0" fontId="39" fillId="7" borderId="204" xfId="12" applyFont="1" applyFill="1" applyBorder="1" applyAlignment="1">
      <alignment horizontal="left" vertical="center" wrapText="1"/>
    </xf>
    <xf numFmtId="0" fontId="19" fillId="41" borderId="35" xfId="12" applyFont="1" applyFill="1" applyBorder="1" applyAlignment="1">
      <alignment horizontal="center" vertical="center" wrapText="1"/>
    </xf>
    <xf numFmtId="0" fontId="19" fillId="41" borderId="36" xfId="12" applyFont="1" applyFill="1" applyBorder="1" applyAlignment="1">
      <alignment horizontal="center" vertical="center" wrapText="1"/>
    </xf>
    <xf numFmtId="0" fontId="19" fillId="41" borderId="37" xfId="12" applyFont="1" applyFill="1" applyBorder="1" applyAlignment="1">
      <alignment horizontal="center" vertical="center" wrapText="1"/>
    </xf>
    <xf numFmtId="0" fontId="8" fillId="0" borderId="103" xfId="12" applyFont="1" applyBorder="1" applyAlignment="1">
      <alignment horizontal="center" vertical="top" wrapText="1"/>
    </xf>
    <xf numFmtId="0" fontId="8" fillId="0" borderId="196" xfId="12" applyFont="1" applyBorder="1" applyAlignment="1">
      <alignment horizontal="center" vertical="top" wrapText="1"/>
    </xf>
    <xf numFmtId="0" fontId="42" fillId="48" borderId="1" xfId="12" applyFont="1" applyFill="1" applyBorder="1" applyAlignment="1">
      <alignment horizontal="center"/>
    </xf>
    <xf numFmtId="0" fontId="42" fillId="48" borderId="3" xfId="12" applyFont="1" applyFill="1" applyBorder="1" applyAlignment="1">
      <alignment horizontal="center"/>
    </xf>
    <xf numFmtId="0" fontId="45" fillId="7" borderId="4" xfId="12" applyFont="1" applyFill="1" applyBorder="1" applyAlignment="1">
      <alignment horizontal="center"/>
    </xf>
    <xf numFmtId="0" fontId="45" fillId="7" borderId="5" xfId="12" applyFont="1" applyFill="1" applyBorder="1" applyAlignment="1">
      <alignment horizontal="center"/>
    </xf>
    <xf numFmtId="0" fontId="39" fillId="7" borderId="4" xfId="12" quotePrefix="1" applyFont="1" applyFill="1" applyBorder="1" applyAlignment="1">
      <alignment horizontal="center"/>
    </xf>
    <xf numFmtId="0" fontId="39" fillId="7" borderId="5" xfId="12" quotePrefix="1" applyFont="1" applyFill="1" applyBorder="1" applyAlignment="1">
      <alignment horizontal="center"/>
    </xf>
    <xf numFmtId="0" fontId="3" fillId="7" borderId="4" xfId="12" applyFont="1" applyFill="1" applyBorder="1" applyAlignment="1">
      <alignment horizontal="center"/>
    </xf>
    <xf numFmtId="0" fontId="3" fillId="7" borderId="5" xfId="12" applyFont="1" applyFill="1" applyBorder="1" applyAlignment="1">
      <alignment horizontal="center"/>
    </xf>
    <xf numFmtId="0" fontId="19" fillId="15" borderId="105" xfId="0" applyFont="1" applyFill="1" applyBorder="1" applyAlignment="1">
      <alignment horizontal="left" vertical="center" wrapText="1"/>
    </xf>
    <xf numFmtId="0" fontId="19" fillId="15" borderId="106" xfId="0" applyFont="1" applyFill="1" applyBorder="1" applyAlignment="1">
      <alignment horizontal="left" vertical="center" wrapText="1"/>
    </xf>
    <xf numFmtId="0" fontId="19" fillId="15" borderId="107" xfId="0" applyFont="1" applyFill="1" applyBorder="1" applyAlignment="1">
      <alignment horizontal="left" vertical="center" wrapText="1"/>
    </xf>
    <xf numFmtId="0" fontId="44" fillId="0" borderId="35" xfId="0" applyFont="1" applyBorder="1" applyAlignment="1">
      <alignment horizontal="center" vertical="center" wrapText="1"/>
    </xf>
    <xf numFmtId="0" fontId="36" fillId="0" borderId="36" xfId="0" applyFont="1" applyBorder="1" applyAlignment="1">
      <alignment horizontal="center" vertical="center"/>
    </xf>
    <xf numFmtId="0" fontId="36" fillId="0" borderId="37" xfId="0" applyFont="1" applyBorder="1" applyAlignment="1">
      <alignment horizontal="center" vertical="center"/>
    </xf>
    <xf numFmtId="0" fontId="6" fillId="14" borderId="97" xfId="0" applyFont="1" applyFill="1" applyBorder="1" applyAlignment="1">
      <alignment horizontal="center" vertical="center" wrapText="1"/>
    </xf>
    <xf numFmtId="0" fontId="6" fillId="14" borderId="195" xfId="0" applyFont="1" applyFill="1" applyBorder="1" applyAlignment="1">
      <alignment horizontal="center" vertical="center" wrapText="1"/>
    </xf>
    <xf numFmtId="0" fontId="16" fillId="24" borderId="9" xfId="0" applyFont="1" applyFill="1" applyBorder="1" applyAlignment="1">
      <alignment horizontal="center" vertical="center"/>
    </xf>
    <xf numFmtId="0" fontId="16" fillId="24" borderId="10" xfId="0" applyFont="1" applyFill="1" applyBorder="1" applyAlignment="1">
      <alignment horizontal="center" vertical="center"/>
    </xf>
    <xf numFmtId="0" fontId="16" fillId="15" borderId="91" xfId="0" applyFont="1" applyFill="1" applyBorder="1" applyAlignment="1">
      <alignment horizontal="center" vertical="center" wrapText="1"/>
    </xf>
    <xf numFmtId="0" fontId="16" fillId="15" borderId="121" xfId="0" applyFont="1" applyFill="1" applyBorder="1" applyAlignment="1">
      <alignment horizontal="center" vertical="center" wrapText="1"/>
    </xf>
    <xf numFmtId="0" fontId="6" fillId="14" borderId="125" xfId="0" applyFont="1" applyFill="1" applyBorder="1" applyAlignment="1">
      <alignment horizontal="center" vertical="center" wrapText="1"/>
    </xf>
    <xf numFmtId="0" fontId="6" fillId="14" borderId="168" xfId="0" applyFont="1" applyFill="1" applyBorder="1" applyAlignment="1">
      <alignment horizontal="center" vertical="center" wrapText="1"/>
    </xf>
    <xf numFmtId="0" fontId="6" fillId="14" borderId="46" xfId="0" applyFont="1" applyFill="1" applyBorder="1" applyAlignment="1">
      <alignment horizontal="center" vertical="center" wrapText="1"/>
    </xf>
    <xf numFmtId="0" fontId="6" fillId="14" borderId="112" xfId="0" applyFont="1" applyFill="1" applyBorder="1" applyAlignment="1">
      <alignment horizontal="center" vertical="center" wrapText="1"/>
    </xf>
    <xf numFmtId="0" fontId="15" fillId="0" borderId="91"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91" xfId="0" applyFont="1" applyBorder="1" applyAlignment="1">
      <alignment horizontal="left" vertical="center" wrapText="1"/>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8" fillId="0" borderId="91" xfId="0" applyFont="1" applyBorder="1" applyAlignment="1">
      <alignment horizontal="left" vertical="center" wrapText="1"/>
    </xf>
    <xf numFmtId="0" fontId="18" fillId="0" borderId="36" xfId="0" applyFont="1" applyBorder="1" applyAlignment="1">
      <alignment horizontal="left" vertical="center"/>
    </xf>
    <xf numFmtId="0" fontId="18" fillId="0" borderId="37" xfId="0" applyFont="1" applyBorder="1" applyAlignment="1">
      <alignment horizontal="left" vertical="center"/>
    </xf>
    <xf numFmtId="0" fontId="15" fillId="0" borderId="36" xfId="0" applyFont="1" applyBorder="1" applyAlignment="1">
      <alignment horizontal="left" vertical="center" wrapText="1"/>
    </xf>
    <xf numFmtId="0" fontId="15" fillId="0" borderId="37" xfId="0" applyFont="1" applyBorder="1" applyAlignment="1">
      <alignment horizontal="left" vertical="center" wrapText="1"/>
    </xf>
    <xf numFmtId="0" fontId="18" fillId="0" borderId="36" xfId="0" applyFont="1" applyBorder="1" applyAlignment="1">
      <alignment horizontal="left" vertical="center" wrapText="1"/>
    </xf>
    <xf numFmtId="0" fontId="18" fillId="0" borderId="37" xfId="0" applyFont="1" applyBorder="1" applyAlignment="1">
      <alignment horizontal="left" vertical="center" wrapText="1"/>
    </xf>
    <xf numFmtId="0" fontId="8" fillId="24" borderId="36" xfId="1" applyFont="1" applyFill="1" applyBorder="1" applyAlignment="1" applyProtection="1">
      <alignment horizontal="center" vertical="center" wrapText="1"/>
      <protection locked="0"/>
    </xf>
  </cellXfs>
  <cellStyles count="15">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AFF95F32-4520-40B5-93EB-0AF3C97571B8}"/>
    <cellStyle name="Normal 4" xfId="5" xr:uid="{00000000-0005-0000-0000-000008000000}"/>
    <cellStyle name="Normal 5" xfId="6" xr:uid="{00000000-0005-0000-0000-000009000000}"/>
    <cellStyle name="Normal 6" xfId="7" xr:uid="{00000000-0005-0000-0000-00000A000000}"/>
    <cellStyle name="Normal 7" xfId="11" xr:uid="{00000000-0005-0000-0000-00000B000000}"/>
    <cellStyle name="Normal 8" xfId="14" xr:uid="{505A916B-689C-4E87-851B-ABFC4C9F2AFF}"/>
    <cellStyle name="Percent 2" xfId="8" xr:uid="{00000000-0005-0000-0000-00000C000000}"/>
  </cellStyles>
  <dxfs count="1451">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horizontal/>
      </border>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horizontal/>
      </border>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horizontal/>
      </border>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top style="medium">
          <color auto="1"/>
        </top>
        <bottom style="medium">
          <color auto="1"/>
        </bottom>
      </border>
    </dxf>
    <dxf>
      <font>
        <b val="0"/>
        <i val="0"/>
        <strike val="0"/>
        <condense val="0"/>
        <extend val="0"/>
        <outline val="0"/>
        <shadow val="0"/>
        <u val="none"/>
        <vertAlign val="baseline"/>
        <sz val="11"/>
        <color auto="1"/>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thin">
          <color rgb="FF000000"/>
        </left>
        <right/>
        <top style="medium">
          <color auto="1"/>
        </top>
        <bottom style="medium">
          <color auto="1"/>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top style="medium">
          <color auto="1"/>
        </top>
        <bottom style="medium">
          <color auto="1"/>
        </bottom>
      </border>
    </dxf>
    <dxf>
      <font>
        <b val="0"/>
        <i val="0"/>
        <strike val="0"/>
        <condense val="0"/>
        <extend val="0"/>
        <outline val="0"/>
        <shadow val="0"/>
        <u val="none"/>
        <vertAlign val="baseline"/>
        <sz val="11"/>
        <color rgb="FFFFFFFF"/>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0" tint="-0.34998626667073579"/>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2" formatCode="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font>
        <sz val="11"/>
        <color auto="1"/>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medium">
          <color indexed="64"/>
        </top>
        <bottom style="thin">
          <color indexed="64"/>
        </bottom>
        <vertical/>
        <horizontal/>
      </border>
      <protection locked="0" hidden="0"/>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C0C0C0"/>
      <color rgb="FFFFFF99"/>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BWXBRS!$G$368:$CI$368</c:f>
              <c:numCache>
                <c:formatCode>0.00</c:formatCode>
                <c:ptCount val="81"/>
                <c:pt idx="0">
                  <c:v>0</c:v>
                </c:pt>
                <c:pt idx="1">
                  <c:v>0</c:v>
                </c:pt>
                <c:pt idx="2">
                  <c:v>97.254182465999975</c:v>
                </c:pt>
                <c:pt idx="3">
                  <c:v>106.51834949736738</c:v>
                </c:pt>
                <c:pt idx="4">
                  <c:v>114.77191994578537</c:v>
                </c:pt>
                <c:pt idx="5">
                  <c:v>122.23420847241869</c:v>
                </c:pt>
                <c:pt idx="6">
                  <c:v>125.54512215149364</c:v>
                </c:pt>
                <c:pt idx="7">
                  <c:v>128.6741739787102</c:v>
                </c:pt>
                <c:pt idx="8">
                  <c:v>131.4890229316521</c:v>
                </c:pt>
                <c:pt idx="9">
                  <c:v>134.15908503898959</c:v>
                </c:pt>
                <c:pt idx="10">
                  <c:v>136.74211763032329</c:v>
                </c:pt>
                <c:pt idx="11">
                  <c:v>139.11691685098248</c:v>
                </c:pt>
                <c:pt idx="12">
                  <c:v>141.38303842361034</c:v>
                </c:pt>
                <c:pt idx="13">
                  <c:v>143.55813101175343</c:v>
                </c:pt>
                <c:pt idx="14">
                  <c:v>145.63059400682474</c:v>
                </c:pt>
                <c:pt idx="15">
                  <c:v>147.5742066749221</c:v>
                </c:pt>
                <c:pt idx="16">
                  <c:v>150.03135202273219</c:v>
                </c:pt>
                <c:pt idx="17">
                  <c:v>152.36029013628675</c:v>
                </c:pt>
                <c:pt idx="18">
                  <c:v>154.62648658370085</c:v>
                </c:pt>
                <c:pt idx="19">
                  <c:v>156.82578464051559</c:v>
                </c:pt>
                <c:pt idx="20">
                  <c:v>158.92949873043347</c:v>
                </c:pt>
                <c:pt idx="21">
                  <c:v>160.91640205472484</c:v>
                </c:pt>
                <c:pt idx="22">
                  <c:v>162.8859439713159</c:v>
                </c:pt>
                <c:pt idx="23">
                  <c:v>164.83532755069726</c:v>
                </c:pt>
                <c:pt idx="24">
                  <c:v>166.72516934078794</c:v>
                </c:pt>
                <c:pt idx="25">
                  <c:v>168.57206276217298</c:v>
                </c:pt>
                <c:pt idx="26">
                  <c:v>170.29415430657738</c:v>
                </c:pt>
                <c:pt idx="27">
                  <c:v>171.94170744601973</c:v>
                </c:pt>
                <c:pt idx="28">
                  <c:v>173.5825683960135</c:v>
                </c:pt>
                <c:pt idx="29">
                  <c:v>175.18669976954243</c:v>
                </c:pt>
                <c:pt idx="30">
                  <c:v>176.72404581687371</c:v>
                </c:pt>
                <c:pt idx="31">
                  <c:v>178.25976749218725</c:v>
                </c:pt>
                <c:pt idx="32">
                  <c:v>179.76608295463808</c:v>
                </c:pt>
                <c:pt idx="33">
                  <c:v>181.20501828434354</c:v>
                </c:pt>
                <c:pt idx="34">
                  <c:v>182.64934560119519</c:v>
                </c:pt>
                <c:pt idx="35">
                  <c:v>184.06591387715679</c:v>
                </c:pt>
                <c:pt idx="36">
                  <c:v>185.41908886826488</c:v>
                </c:pt>
                <c:pt idx="37">
                  <c:v>186.78413051474155</c:v>
                </c:pt>
                <c:pt idx="38">
                  <c:v>188.09066851247249</c:v>
                </c:pt>
                <c:pt idx="39">
                  <c:v>188.93022878735857</c:v>
                </c:pt>
                <c:pt idx="40">
                  <c:v>189.77246025938226</c:v>
                </c:pt>
                <c:pt idx="41">
                  <c:v>190.57782585771332</c:v>
                </c:pt>
                <c:pt idx="42">
                  <c:v>191.41789360977458</c:v>
                </c:pt>
                <c:pt idx="43">
                  <c:v>192.26063861152838</c:v>
                </c:pt>
                <c:pt idx="44">
                  <c:v>193.06655022983594</c:v>
                </c:pt>
                <c:pt idx="45">
                  <c:v>193.90717172017995</c:v>
                </c:pt>
                <c:pt idx="46">
                  <c:v>194.71357667852405</c:v>
                </c:pt>
                <c:pt idx="47">
                  <c:v>195.55469837483133</c:v>
                </c:pt>
                <c:pt idx="48">
                  <c:v>196.39346784652295</c:v>
                </c:pt>
                <c:pt idx="49">
                  <c:v>197.20062482891092</c:v>
                </c:pt>
                <c:pt idx="50">
                  <c:v>198.04250822066228</c:v>
                </c:pt>
                <c:pt idx="51">
                  <c:v>198.88206439926583</c:v>
                </c:pt>
                <c:pt idx="52">
                  <c:v>199.6900140881998</c:v>
                </c:pt>
                <c:pt idx="53">
                  <c:v>200.530197340288</c:v>
                </c:pt>
                <c:pt idx="54">
                  <c:v>201.37064574924699</c:v>
                </c:pt>
                <c:pt idx="55">
                  <c:v>202.17949172176881</c:v>
                </c:pt>
                <c:pt idx="56">
                  <c:v>203.02059143962765</c:v>
                </c:pt>
                <c:pt idx="57">
                  <c:v>203.82760071708307</c:v>
                </c:pt>
                <c:pt idx="58">
                  <c:v>204.66943177763829</c:v>
                </c:pt>
                <c:pt idx="59">
                  <c:v>205.5115488533454</c:v>
                </c:pt>
                <c:pt idx="60">
                  <c:v>206.31958834130552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198B-4BCF-B3BB-9291F72D04DD}"/>
            </c:ext>
          </c:extLst>
        </c:ser>
        <c:ser>
          <c:idx val="0"/>
          <c:order val="1"/>
          <c:tx>
            <c:v>Unmeasured household consumption</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BWXBRS!$G$369:$CI$369</c:f>
              <c:numCache>
                <c:formatCode>0.00</c:formatCode>
                <c:ptCount val="81"/>
                <c:pt idx="0">
                  <c:v>0</c:v>
                </c:pt>
                <c:pt idx="1">
                  <c:v>0</c:v>
                </c:pt>
                <c:pt idx="2">
                  <c:v>89.399155516839997</c:v>
                </c:pt>
                <c:pt idx="3">
                  <c:v>79.49879330845647</c:v>
                </c:pt>
                <c:pt idx="4">
                  <c:v>70.683107562874881</c:v>
                </c:pt>
                <c:pt idx="5">
                  <c:v>62.837614908835469</c:v>
                </c:pt>
                <c:pt idx="6">
                  <c:v>59.907145708296426</c:v>
                </c:pt>
                <c:pt idx="7">
                  <c:v>57.106986067536255</c:v>
                </c:pt>
                <c:pt idx="8">
                  <c:v>54.351071860989464</c:v>
                </c:pt>
                <c:pt idx="9">
                  <c:v>51.725565502751671</c:v>
                </c:pt>
                <c:pt idx="10">
                  <c:v>49.222978979535966</c:v>
                </c:pt>
                <c:pt idx="11">
                  <c:v>46.834387352995158</c:v>
                </c:pt>
                <c:pt idx="12">
                  <c:v>44.557806938375059</c:v>
                </c:pt>
                <c:pt idx="13">
                  <c:v>42.392321271099746</c:v>
                </c:pt>
                <c:pt idx="14">
                  <c:v>40.328281094283582</c:v>
                </c:pt>
                <c:pt idx="15">
                  <c:v>38.360875350086495</c:v>
                </c:pt>
                <c:pt idx="16">
                  <c:v>36.485822012041581</c:v>
                </c:pt>
                <c:pt idx="17">
                  <c:v>34.698080814096677</c:v>
                </c:pt>
                <c:pt idx="18">
                  <c:v>32.99548176517861</c:v>
                </c:pt>
                <c:pt idx="19">
                  <c:v>31.372561507504326</c:v>
                </c:pt>
                <c:pt idx="20">
                  <c:v>29.89423278681166</c:v>
                </c:pt>
                <c:pt idx="21">
                  <c:v>28.532256857878224</c:v>
                </c:pt>
                <c:pt idx="22">
                  <c:v>27.233293515363727</c:v>
                </c:pt>
                <c:pt idx="23">
                  <c:v>25.993636258817382</c:v>
                </c:pt>
                <c:pt idx="24">
                  <c:v>24.808738983164705</c:v>
                </c:pt>
                <c:pt idx="25">
                  <c:v>23.674356632547411</c:v>
                </c:pt>
                <c:pt idx="26">
                  <c:v>22.592369881260389</c:v>
                </c:pt>
                <c:pt idx="27">
                  <c:v>21.559263629131763</c:v>
                </c:pt>
                <c:pt idx="28">
                  <c:v>20.573839545888443</c:v>
                </c:pt>
                <c:pt idx="29">
                  <c:v>19.633544322170664</c:v>
                </c:pt>
                <c:pt idx="30">
                  <c:v>18.735994824694856</c:v>
                </c:pt>
                <c:pt idx="31">
                  <c:v>17.879853837423205</c:v>
                </c:pt>
                <c:pt idx="32">
                  <c:v>17.063139864220332</c:v>
                </c:pt>
                <c:pt idx="33">
                  <c:v>16.283097581057916</c:v>
                </c:pt>
                <c:pt idx="34">
                  <c:v>15.539246580728843</c:v>
                </c:pt>
                <c:pt idx="35">
                  <c:v>14.829441251020491</c:v>
                </c:pt>
                <c:pt idx="36">
                  <c:v>14.151517591089087</c:v>
                </c:pt>
                <c:pt idx="37">
                  <c:v>13.505218657831804</c:v>
                </c:pt>
                <c:pt idx="38">
                  <c:v>12.888117366832864</c:v>
                </c:pt>
                <c:pt idx="39">
                  <c:v>12.876476102299364</c:v>
                </c:pt>
                <c:pt idx="40">
                  <c:v>12.865068452481934</c:v>
                </c:pt>
                <c:pt idx="41">
                  <c:v>12.853193958259929</c:v>
                </c:pt>
                <c:pt idx="42">
                  <c:v>12.84175358141353</c:v>
                </c:pt>
                <c:pt idx="43">
                  <c:v>12.830542353922102</c:v>
                </c:pt>
                <c:pt idx="44">
                  <c:v>12.818874089866885</c:v>
                </c:pt>
                <c:pt idx="45">
                  <c:v>12.807631524882268</c:v>
                </c:pt>
                <c:pt idx="46">
                  <c:v>12.796099037591883</c:v>
                </c:pt>
                <c:pt idx="47">
                  <c:v>12.784986798668999</c:v>
                </c:pt>
                <c:pt idx="48">
                  <c:v>12.773781705031443</c:v>
                </c:pt>
                <c:pt idx="49">
                  <c:v>12.762450209399757</c:v>
                </c:pt>
                <c:pt idx="50">
                  <c:v>12.751530974102302</c:v>
                </c:pt>
                <c:pt idx="51">
                  <c:v>12.740521061959001</c:v>
                </c:pt>
                <c:pt idx="52">
                  <c:v>12.729387373660908</c:v>
                </c:pt>
                <c:pt idx="53">
                  <c:v>12.718505982440536</c:v>
                </c:pt>
                <c:pt idx="54">
                  <c:v>12.707688323160779</c:v>
                </c:pt>
                <c:pt idx="55">
                  <c:v>12.696749411422145</c:v>
                </c:pt>
                <c:pt idx="56">
                  <c:v>12.6860582838718</c:v>
                </c:pt>
                <c:pt idx="57">
                  <c:v>12.675099258249714</c:v>
                </c:pt>
                <c:pt idx="58">
                  <c:v>12.664533442015649</c:v>
                </c:pt>
                <c:pt idx="59">
                  <c:v>12.654029732101645</c:v>
                </c:pt>
                <c:pt idx="60">
                  <c:v>12.643263373604526</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198B-4BCF-B3BB-9291F72D04DD}"/>
            </c:ext>
          </c:extLst>
        </c:ser>
        <c:ser>
          <c:idx val="1"/>
          <c:order val="2"/>
          <c:tx>
            <c:v>Non-household consumption</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BWXBRS!$G$370:$CI$370</c:f>
              <c:numCache>
                <c:formatCode>0.00</c:formatCode>
                <c:ptCount val="81"/>
                <c:pt idx="0">
                  <c:v>0</c:v>
                </c:pt>
                <c:pt idx="1">
                  <c:v>0</c:v>
                </c:pt>
                <c:pt idx="2">
                  <c:v>57.508380664160839</c:v>
                </c:pt>
                <c:pt idx="3">
                  <c:v>57.679339247338142</c:v>
                </c:pt>
                <c:pt idx="4">
                  <c:v>57.962641199667033</c:v>
                </c:pt>
                <c:pt idx="5">
                  <c:v>58.135175213317723</c:v>
                </c:pt>
                <c:pt idx="6">
                  <c:v>58.286301901197511</c:v>
                </c:pt>
                <c:pt idx="7">
                  <c:v>58.390349726119958</c:v>
                </c:pt>
                <c:pt idx="8">
                  <c:v>58.489107916530799</c:v>
                </c:pt>
                <c:pt idx="9">
                  <c:v>58.605854470103409</c:v>
                </c:pt>
                <c:pt idx="10">
                  <c:v>58.735262721583574</c:v>
                </c:pt>
                <c:pt idx="11">
                  <c:v>58.841987106109826</c:v>
                </c:pt>
                <c:pt idx="12">
                  <c:v>58.952974103760802</c:v>
                </c:pt>
                <c:pt idx="13">
                  <c:v>59.059648937660896</c:v>
                </c:pt>
                <c:pt idx="14">
                  <c:v>59.173565047318668</c:v>
                </c:pt>
                <c:pt idx="15">
                  <c:v>59.2610996261784</c:v>
                </c:pt>
                <c:pt idx="16">
                  <c:v>59.35525816123512</c:v>
                </c:pt>
                <c:pt idx="17">
                  <c:v>59.438940639774465</c:v>
                </c:pt>
                <c:pt idx="18">
                  <c:v>59.629245946681891</c:v>
                </c:pt>
                <c:pt idx="19">
                  <c:v>59.854612872276192</c:v>
                </c:pt>
                <c:pt idx="20">
                  <c:v>60.033321240295706</c:v>
                </c:pt>
                <c:pt idx="21">
                  <c:v>60.268377618562162</c:v>
                </c:pt>
                <c:pt idx="22">
                  <c:v>60.434559922054113</c:v>
                </c:pt>
                <c:pt idx="23">
                  <c:v>60.604412188038992</c:v>
                </c:pt>
                <c:pt idx="24">
                  <c:v>60.777817250373914</c:v>
                </c:pt>
                <c:pt idx="25">
                  <c:v>60.954664531771719</c:v>
                </c:pt>
                <c:pt idx="26">
                  <c:v>61.134851688709304</c:v>
                </c:pt>
                <c:pt idx="27">
                  <c:v>61.318283619180605</c:v>
                </c:pt>
                <c:pt idx="28">
                  <c:v>61.504871153980829</c:v>
                </c:pt>
                <c:pt idx="29">
                  <c:v>61.694530940009741</c:v>
                </c:pt>
                <c:pt idx="30">
                  <c:v>61.887184238111239</c:v>
                </c:pt>
                <c:pt idx="31">
                  <c:v>62.082759210659532</c:v>
                </c:pt>
                <c:pt idx="32">
                  <c:v>62.281186696776246</c:v>
                </c:pt>
                <c:pt idx="33">
                  <c:v>62.482402589219504</c:v>
                </c:pt>
                <c:pt idx="34">
                  <c:v>62.686347130143503</c:v>
                </c:pt>
                <c:pt idx="35">
                  <c:v>62.892963489198202</c:v>
                </c:pt>
                <c:pt idx="36">
                  <c:v>63.102198658166003</c:v>
                </c:pt>
                <c:pt idx="37">
                  <c:v>63.314003221597815</c:v>
                </c:pt>
                <c:pt idx="38">
                  <c:v>63.528330367078617</c:v>
                </c:pt>
                <c:pt idx="39">
                  <c:v>63.74513570171576</c:v>
                </c:pt>
                <c:pt idx="40">
                  <c:v>63.964377830824624</c:v>
                </c:pt>
                <c:pt idx="41">
                  <c:v>64.186018192223983</c:v>
                </c:pt>
                <c:pt idx="42">
                  <c:v>64.410019755426035</c:v>
                </c:pt>
                <c:pt idx="43">
                  <c:v>64.636348410926388</c:v>
                </c:pt>
                <c:pt idx="44">
                  <c:v>64.864971694931882</c:v>
                </c:pt>
                <c:pt idx="45">
                  <c:v>65.095858659023008</c:v>
                </c:pt>
                <c:pt idx="46">
                  <c:v>65.32898091773616</c:v>
                </c:pt>
                <c:pt idx="47">
                  <c:v>65.564311005036885</c:v>
                </c:pt>
                <c:pt idx="48">
                  <c:v>65.801823813503347</c:v>
                </c:pt>
                <c:pt idx="49">
                  <c:v>66.041495354228857</c:v>
                </c:pt>
                <c:pt idx="50">
                  <c:v>66.283302675671095</c:v>
                </c:pt>
                <c:pt idx="51">
                  <c:v>66.527225311250149</c:v>
                </c:pt>
                <c:pt idx="52">
                  <c:v>66.773242540792452</c:v>
                </c:pt>
                <c:pt idx="53">
                  <c:v>67.021336363959065</c:v>
                </c:pt>
                <c:pt idx="54">
                  <c:v>67.271488400397359</c:v>
                </c:pt>
                <c:pt idx="55">
                  <c:v>67.5236828702335</c:v>
                </c:pt>
                <c:pt idx="56">
                  <c:v>67.77790387285927</c:v>
                </c:pt>
                <c:pt idx="57">
                  <c:v>68.03413686656701</c:v>
                </c:pt>
                <c:pt idx="58">
                  <c:v>68.292368230546927</c:v>
                </c:pt>
                <c:pt idx="59">
                  <c:v>68.552585605177356</c:v>
                </c:pt>
                <c:pt idx="60">
                  <c:v>68.814777083320621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198B-4BCF-B3BB-9291F72D04DD}"/>
            </c:ext>
          </c:extLst>
        </c:ser>
        <c:ser>
          <c:idx val="2"/>
          <c:order val="3"/>
          <c:tx>
            <c:v>Total leakage</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BWXBRS!$G$371:$CI$371</c:f>
              <c:numCache>
                <c:formatCode>0.00</c:formatCode>
                <c:ptCount val="81"/>
                <c:pt idx="0">
                  <c:v>0</c:v>
                </c:pt>
                <c:pt idx="1">
                  <c:v>0</c:v>
                </c:pt>
                <c:pt idx="2">
                  <c:v>35.646000000000001</c:v>
                </c:pt>
                <c:pt idx="3">
                  <c:v>31.59713329947148</c:v>
                </c:pt>
                <c:pt idx="4">
                  <c:v>32.497133299471479</c:v>
                </c:pt>
                <c:pt idx="5">
                  <c:v>32.09713329947148</c:v>
                </c:pt>
                <c:pt idx="6">
                  <c:v>31.84713329947148</c:v>
                </c:pt>
                <c:pt idx="7">
                  <c:v>31.84713329947148</c:v>
                </c:pt>
                <c:pt idx="8">
                  <c:v>31.84713329947148</c:v>
                </c:pt>
                <c:pt idx="9">
                  <c:v>31.84713329947148</c:v>
                </c:pt>
                <c:pt idx="10">
                  <c:v>31.84713329947148</c:v>
                </c:pt>
                <c:pt idx="11">
                  <c:v>31.84713329947148</c:v>
                </c:pt>
                <c:pt idx="12">
                  <c:v>31.84713329947148</c:v>
                </c:pt>
                <c:pt idx="13">
                  <c:v>31.84713329947148</c:v>
                </c:pt>
                <c:pt idx="14">
                  <c:v>31.84713329947148</c:v>
                </c:pt>
                <c:pt idx="15">
                  <c:v>31.84713329947148</c:v>
                </c:pt>
                <c:pt idx="16">
                  <c:v>31.84713329947148</c:v>
                </c:pt>
                <c:pt idx="17">
                  <c:v>31.84713329947148</c:v>
                </c:pt>
                <c:pt idx="18">
                  <c:v>31.84713329947148</c:v>
                </c:pt>
                <c:pt idx="19">
                  <c:v>31.84713329947148</c:v>
                </c:pt>
                <c:pt idx="20">
                  <c:v>31.84713329947148</c:v>
                </c:pt>
                <c:pt idx="21">
                  <c:v>31.84713329947148</c:v>
                </c:pt>
                <c:pt idx="22">
                  <c:v>31.84713329947148</c:v>
                </c:pt>
                <c:pt idx="23">
                  <c:v>31.84713329947148</c:v>
                </c:pt>
                <c:pt idx="24">
                  <c:v>31.84713329947148</c:v>
                </c:pt>
                <c:pt idx="25">
                  <c:v>31.84713329947148</c:v>
                </c:pt>
                <c:pt idx="26">
                  <c:v>31.84713329947148</c:v>
                </c:pt>
                <c:pt idx="27">
                  <c:v>31.84713329947148</c:v>
                </c:pt>
                <c:pt idx="28">
                  <c:v>31.84713329947148</c:v>
                </c:pt>
                <c:pt idx="29">
                  <c:v>31.84713329947148</c:v>
                </c:pt>
                <c:pt idx="30">
                  <c:v>31.84713329947148</c:v>
                </c:pt>
                <c:pt idx="31">
                  <c:v>31.84713329947148</c:v>
                </c:pt>
                <c:pt idx="32">
                  <c:v>31.84713329947148</c:v>
                </c:pt>
                <c:pt idx="33">
                  <c:v>31.84713329947148</c:v>
                </c:pt>
                <c:pt idx="34">
                  <c:v>31.84713329947148</c:v>
                </c:pt>
                <c:pt idx="35">
                  <c:v>31.84713329947148</c:v>
                </c:pt>
                <c:pt idx="36">
                  <c:v>31.84713329947148</c:v>
                </c:pt>
                <c:pt idx="37">
                  <c:v>31.84713329947148</c:v>
                </c:pt>
                <c:pt idx="38">
                  <c:v>31.84713329947148</c:v>
                </c:pt>
                <c:pt idx="39">
                  <c:v>31.84713329947148</c:v>
                </c:pt>
                <c:pt idx="40">
                  <c:v>31.84713329947148</c:v>
                </c:pt>
                <c:pt idx="41">
                  <c:v>31.84713329947148</c:v>
                </c:pt>
                <c:pt idx="42">
                  <c:v>31.84713329947148</c:v>
                </c:pt>
                <c:pt idx="43">
                  <c:v>31.84713329947148</c:v>
                </c:pt>
                <c:pt idx="44">
                  <c:v>31.84713329947148</c:v>
                </c:pt>
                <c:pt idx="45">
                  <c:v>31.84713329947148</c:v>
                </c:pt>
                <c:pt idx="46">
                  <c:v>31.84713329947148</c:v>
                </c:pt>
                <c:pt idx="47">
                  <c:v>31.84713329947148</c:v>
                </c:pt>
                <c:pt idx="48">
                  <c:v>31.84713329947148</c:v>
                </c:pt>
                <c:pt idx="49">
                  <c:v>31.84713329947148</c:v>
                </c:pt>
                <c:pt idx="50">
                  <c:v>31.84713329947148</c:v>
                </c:pt>
                <c:pt idx="51">
                  <c:v>31.84713329947148</c:v>
                </c:pt>
                <c:pt idx="52">
                  <c:v>31.84713329947148</c:v>
                </c:pt>
                <c:pt idx="53">
                  <c:v>31.84713329947148</c:v>
                </c:pt>
                <c:pt idx="54">
                  <c:v>31.84713329947148</c:v>
                </c:pt>
                <c:pt idx="55">
                  <c:v>31.84713329947148</c:v>
                </c:pt>
                <c:pt idx="56">
                  <c:v>31.84713329947148</c:v>
                </c:pt>
                <c:pt idx="57">
                  <c:v>31.84713329947148</c:v>
                </c:pt>
                <c:pt idx="58">
                  <c:v>31.84713329947148</c:v>
                </c:pt>
                <c:pt idx="59">
                  <c:v>31.84713329947148</c:v>
                </c:pt>
                <c:pt idx="60">
                  <c:v>31.84713329947148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198B-4BCF-B3BB-9291F72D04DD}"/>
            </c:ext>
          </c:extLst>
        </c:ser>
        <c:ser>
          <c:idx val="3"/>
          <c:order val="4"/>
          <c:tx>
            <c:v>Other components of demand</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BWXBRS!$G$372:$CI$372</c:f>
              <c:numCache>
                <c:formatCode>0.00</c:formatCode>
                <c:ptCount val="81"/>
                <c:pt idx="0">
                  <c:v>0</c:v>
                </c:pt>
                <c:pt idx="1">
                  <c:v>0</c:v>
                </c:pt>
                <c:pt idx="2">
                  <c:v>3.6300000000000523</c:v>
                </c:pt>
                <c:pt idx="3">
                  <c:v>3.6299999999999955</c:v>
                </c:pt>
                <c:pt idx="4">
                  <c:v>3.6299999999999955</c:v>
                </c:pt>
                <c:pt idx="5">
                  <c:v>3.6299999999999955</c:v>
                </c:pt>
                <c:pt idx="6">
                  <c:v>3.6299999999999386</c:v>
                </c:pt>
                <c:pt idx="7">
                  <c:v>3.6299999999999955</c:v>
                </c:pt>
                <c:pt idx="8">
                  <c:v>3.6299999999999955</c:v>
                </c:pt>
                <c:pt idx="9">
                  <c:v>3.6299999999999955</c:v>
                </c:pt>
                <c:pt idx="10">
                  <c:v>3.6299999999999955</c:v>
                </c:pt>
                <c:pt idx="11">
                  <c:v>3.6299999999999955</c:v>
                </c:pt>
                <c:pt idx="12">
                  <c:v>3.6299999999999955</c:v>
                </c:pt>
                <c:pt idx="13">
                  <c:v>3.6299999999999955</c:v>
                </c:pt>
                <c:pt idx="14">
                  <c:v>3.6299999999999955</c:v>
                </c:pt>
                <c:pt idx="15">
                  <c:v>3.6299999999999386</c:v>
                </c:pt>
                <c:pt idx="16">
                  <c:v>3.6299999999999955</c:v>
                </c:pt>
                <c:pt idx="17">
                  <c:v>3.6299999999999955</c:v>
                </c:pt>
                <c:pt idx="18">
                  <c:v>3.6299999999999386</c:v>
                </c:pt>
                <c:pt idx="19">
                  <c:v>3.6299999999999955</c:v>
                </c:pt>
                <c:pt idx="20">
                  <c:v>3.6299999999999955</c:v>
                </c:pt>
                <c:pt idx="21">
                  <c:v>3.6299999999999386</c:v>
                </c:pt>
                <c:pt idx="22">
                  <c:v>3.6299999999999386</c:v>
                </c:pt>
                <c:pt idx="23">
                  <c:v>3.6299999999999955</c:v>
                </c:pt>
                <c:pt idx="24">
                  <c:v>3.6299999999999386</c:v>
                </c:pt>
                <c:pt idx="25">
                  <c:v>3.6299999999999386</c:v>
                </c:pt>
                <c:pt idx="26">
                  <c:v>3.6299999999999386</c:v>
                </c:pt>
                <c:pt idx="27">
                  <c:v>3.6300000000000523</c:v>
                </c:pt>
                <c:pt idx="28">
                  <c:v>3.6299999999999386</c:v>
                </c:pt>
                <c:pt idx="29">
                  <c:v>3.6299999999999955</c:v>
                </c:pt>
                <c:pt idx="30">
                  <c:v>3.6299999999999955</c:v>
                </c:pt>
                <c:pt idx="31">
                  <c:v>3.6299999999999386</c:v>
                </c:pt>
                <c:pt idx="32">
                  <c:v>3.6300000000000523</c:v>
                </c:pt>
                <c:pt idx="33">
                  <c:v>3.6299999999999955</c:v>
                </c:pt>
                <c:pt idx="34">
                  <c:v>3.6299999999999386</c:v>
                </c:pt>
                <c:pt idx="35">
                  <c:v>3.6299999999999955</c:v>
                </c:pt>
                <c:pt idx="36">
                  <c:v>3.6299999999999955</c:v>
                </c:pt>
                <c:pt idx="37">
                  <c:v>3.6299999999999386</c:v>
                </c:pt>
                <c:pt idx="38">
                  <c:v>3.6299999999999386</c:v>
                </c:pt>
                <c:pt idx="39">
                  <c:v>3.6299999999999386</c:v>
                </c:pt>
                <c:pt idx="40">
                  <c:v>3.6299999999999955</c:v>
                </c:pt>
                <c:pt idx="41">
                  <c:v>3.6299999999999386</c:v>
                </c:pt>
                <c:pt idx="42">
                  <c:v>3.6299999999999955</c:v>
                </c:pt>
                <c:pt idx="43">
                  <c:v>3.6299999999999955</c:v>
                </c:pt>
                <c:pt idx="44">
                  <c:v>3.6299999999999955</c:v>
                </c:pt>
                <c:pt idx="45">
                  <c:v>3.6299999999999955</c:v>
                </c:pt>
                <c:pt idx="46">
                  <c:v>3.6299999999999955</c:v>
                </c:pt>
                <c:pt idx="47">
                  <c:v>3.6299999999999955</c:v>
                </c:pt>
                <c:pt idx="48">
                  <c:v>3.6299999999999955</c:v>
                </c:pt>
                <c:pt idx="49">
                  <c:v>3.6299999999999955</c:v>
                </c:pt>
                <c:pt idx="50">
                  <c:v>3.6299999999999955</c:v>
                </c:pt>
                <c:pt idx="51">
                  <c:v>3.6299999999999955</c:v>
                </c:pt>
                <c:pt idx="52">
                  <c:v>3.6299999999999955</c:v>
                </c:pt>
                <c:pt idx="53">
                  <c:v>3.6299999999999955</c:v>
                </c:pt>
                <c:pt idx="54">
                  <c:v>3.6299999999999955</c:v>
                </c:pt>
                <c:pt idx="55">
                  <c:v>3.6299999999999955</c:v>
                </c:pt>
                <c:pt idx="56">
                  <c:v>3.6299999999999386</c:v>
                </c:pt>
                <c:pt idx="57">
                  <c:v>3.6299999999999955</c:v>
                </c:pt>
                <c:pt idx="58">
                  <c:v>3.6299999999999386</c:v>
                </c:pt>
                <c:pt idx="59">
                  <c:v>3.6299999999999955</c:v>
                </c:pt>
                <c:pt idx="60">
                  <c:v>3.6299999999999386</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198B-4BCF-B3BB-9291F72D04D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BWXBRS!$G$373:$CI$373</c:f>
              <c:numCache>
                <c:formatCode>0.00</c:formatCode>
                <c:ptCount val="81"/>
                <c:pt idx="0">
                  <c:v>0</c:v>
                </c:pt>
                <c:pt idx="1">
                  <c:v>0</c:v>
                </c:pt>
                <c:pt idx="2">
                  <c:v>312.91624999999999</c:v>
                </c:pt>
                <c:pt idx="3">
                  <c:v>308.05</c:v>
                </c:pt>
                <c:pt idx="4">
                  <c:v>307.64375000000001</c:v>
                </c:pt>
                <c:pt idx="5">
                  <c:v>307.23750000000001</c:v>
                </c:pt>
                <c:pt idx="6">
                  <c:v>312.80125000000004</c:v>
                </c:pt>
                <c:pt idx="7">
                  <c:v>312.39500000000004</c:v>
                </c:pt>
                <c:pt idx="8">
                  <c:v>311.98875000000004</c:v>
                </c:pt>
                <c:pt idx="9">
                  <c:v>311.58250000000004</c:v>
                </c:pt>
                <c:pt idx="10">
                  <c:v>311.17625000000004</c:v>
                </c:pt>
                <c:pt idx="11">
                  <c:v>309.15000000000003</c:v>
                </c:pt>
                <c:pt idx="12">
                  <c:v>308.74375000000003</c:v>
                </c:pt>
                <c:pt idx="13">
                  <c:v>308.33750000000003</c:v>
                </c:pt>
                <c:pt idx="14">
                  <c:v>307.93125000000003</c:v>
                </c:pt>
                <c:pt idx="15">
                  <c:v>307.52500000000003</c:v>
                </c:pt>
                <c:pt idx="16">
                  <c:v>303.11875000000003</c:v>
                </c:pt>
                <c:pt idx="17">
                  <c:v>302.71250000000003</c:v>
                </c:pt>
                <c:pt idx="18">
                  <c:v>302.30625000000003</c:v>
                </c:pt>
                <c:pt idx="19">
                  <c:v>301.90000000000003</c:v>
                </c:pt>
                <c:pt idx="20">
                  <c:v>301.49375000000003</c:v>
                </c:pt>
                <c:pt idx="21">
                  <c:v>301.13750000000005</c:v>
                </c:pt>
                <c:pt idx="22">
                  <c:v>300.73125000000005</c:v>
                </c:pt>
                <c:pt idx="23">
                  <c:v>300.32500000000005</c:v>
                </c:pt>
                <c:pt idx="24">
                  <c:v>299.91875000000005</c:v>
                </c:pt>
                <c:pt idx="25">
                  <c:v>299.51250000000005</c:v>
                </c:pt>
                <c:pt idx="26">
                  <c:v>299.10625000000005</c:v>
                </c:pt>
                <c:pt idx="27">
                  <c:v>298.70000000000005</c:v>
                </c:pt>
                <c:pt idx="28">
                  <c:v>298.29375000000005</c:v>
                </c:pt>
                <c:pt idx="29">
                  <c:v>297.88750000000005</c:v>
                </c:pt>
                <c:pt idx="30">
                  <c:v>297.48125000000005</c:v>
                </c:pt>
                <c:pt idx="31">
                  <c:v>297.07500000000005</c:v>
                </c:pt>
                <c:pt idx="32">
                  <c:v>296.66875000000005</c:v>
                </c:pt>
                <c:pt idx="33">
                  <c:v>296.26250000000005</c:v>
                </c:pt>
                <c:pt idx="34">
                  <c:v>295.85625000000005</c:v>
                </c:pt>
                <c:pt idx="35">
                  <c:v>295.45000000000005</c:v>
                </c:pt>
                <c:pt idx="36">
                  <c:v>295.04375000000005</c:v>
                </c:pt>
                <c:pt idx="37">
                  <c:v>294.63750000000005</c:v>
                </c:pt>
                <c:pt idx="38">
                  <c:v>294.23125000000005</c:v>
                </c:pt>
                <c:pt idx="39">
                  <c:v>293.82500000000005</c:v>
                </c:pt>
                <c:pt idx="40">
                  <c:v>293.41875000000005</c:v>
                </c:pt>
                <c:pt idx="41">
                  <c:v>293.01250000000005</c:v>
                </c:pt>
                <c:pt idx="42">
                  <c:v>292.60625000000005</c:v>
                </c:pt>
                <c:pt idx="43">
                  <c:v>292.20000000000005</c:v>
                </c:pt>
                <c:pt idx="44">
                  <c:v>291.79375000000005</c:v>
                </c:pt>
                <c:pt idx="45">
                  <c:v>291.38750000000005</c:v>
                </c:pt>
                <c:pt idx="46">
                  <c:v>290.98125000000005</c:v>
                </c:pt>
                <c:pt idx="47">
                  <c:v>290.57500000000005</c:v>
                </c:pt>
                <c:pt idx="48">
                  <c:v>290.16875000000005</c:v>
                </c:pt>
                <c:pt idx="49">
                  <c:v>289.76250000000005</c:v>
                </c:pt>
                <c:pt idx="50">
                  <c:v>289.35625000000005</c:v>
                </c:pt>
                <c:pt idx="51">
                  <c:v>288.95000000000005</c:v>
                </c:pt>
                <c:pt idx="52">
                  <c:v>288.54375000000005</c:v>
                </c:pt>
                <c:pt idx="53">
                  <c:v>288.13750000000005</c:v>
                </c:pt>
                <c:pt idx="54">
                  <c:v>287.73125000000005</c:v>
                </c:pt>
                <c:pt idx="55">
                  <c:v>287.32500000000005</c:v>
                </c:pt>
                <c:pt idx="56">
                  <c:v>286.91875000000005</c:v>
                </c:pt>
                <c:pt idx="57">
                  <c:v>286.51250000000005</c:v>
                </c:pt>
                <c:pt idx="58">
                  <c:v>286.10625000000005</c:v>
                </c:pt>
                <c:pt idx="59">
                  <c:v>285.70000000000005</c:v>
                </c:pt>
                <c:pt idx="60">
                  <c:v>285.29375000000005</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198B-4BCF-B3BB-9291F72D04D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BWXBRS!$G$374:$CI$374</c:f>
              <c:numCache>
                <c:formatCode>0.00</c:formatCode>
                <c:ptCount val="81"/>
                <c:pt idx="0">
                  <c:v>0</c:v>
                </c:pt>
                <c:pt idx="1">
                  <c:v>0</c:v>
                </c:pt>
                <c:pt idx="2">
                  <c:v>297.03769836589561</c:v>
                </c:pt>
                <c:pt idx="3">
                  <c:v>292.62464374448263</c:v>
                </c:pt>
                <c:pt idx="4">
                  <c:v>293.39656939065537</c:v>
                </c:pt>
                <c:pt idx="5">
                  <c:v>292.97875636294009</c:v>
                </c:pt>
                <c:pt idx="6">
                  <c:v>293.27819933136942</c:v>
                </c:pt>
                <c:pt idx="7">
                  <c:v>294.03411863558057</c:v>
                </c:pt>
                <c:pt idx="8">
                  <c:v>294.39047918038762</c:v>
                </c:pt>
                <c:pt idx="9">
                  <c:v>294.78128984008026</c:v>
                </c:pt>
                <c:pt idx="10">
                  <c:v>292.56392887272381</c:v>
                </c:pt>
                <c:pt idx="11">
                  <c:v>292.91627264199764</c:v>
                </c:pt>
                <c:pt idx="12">
                  <c:v>293.16493227879522</c:v>
                </c:pt>
                <c:pt idx="13">
                  <c:v>293.44316276662897</c:v>
                </c:pt>
                <c:pt idx="14">
                  <c:v>293.87247917355546</c:v>
                </c:pt>
                <c:pt idx="15">
                  <c:v>292.22358092345303</c:v>
                </c:pt>
                <c:pt idx="16">
                  <c:v>293.07217763269705</c:v>
                </c:pt>
                <c:pt idx="17">
                  <c:v>293.89991558351215</c:v>
                </c:pt>
                <c:pt idx="18">
                  <c:v>294.8334110449893</c:v>
                </c:pt>
                <c:pt idx="19">
                  <c:v>295.69559917661883</c:v>
                </c:pt>
                <c:pt idx="20">
                  <c:v>295.19052684896207</c:v>
                </c:pt>
                <c:pt idx="21">
                  <c:v>296.13176542690599</c:v>
                </c:pt>
                <c:pt idx="22">
                  <c:v>297.15410237769277</c:v>
                </c:pt>
                <c:pt idx="23">
                  <c:v>298.12301560694266</c:v>
                </c:pt>
                <c:pt idx="24">
                  <c:v>299.11898561087224</c:v>
                </c:pt>
                <c:pt idx="25">
                  <c:v>298.72723204642256</c:v>
                </c:pt>
                <c:pt idx="26">
                  <c:v>299.68244936570846</c:v>
                </c:pt>
                <c:pt idx="27">
                  <c:v>300.69571108355717</c:v>
                </c:pt>
                <c:pt idx="28">
                  <c:v>301.73664176292669</c:v>
                </c:pt>
                <c:pt idx="29">
                  <c:v>302.57685552920066</c:v>
                </c:pt>
                <c:pt idx="30">
                  <c:v>302.23716280935668</c:v>
                </c:pt>
                <c:pt idx="31">
                  <c:v>303.23720884623469</c:v>
                </c:pt>
                <c:pt idx="32">
                  <c:v>304.30525496311202</c:v>
                </c:pt>
                <c:pt idx="33">
                  <c:v>305.14062100298196</c:v>
                </c:pt>
                <c:pt idx="34">
                  <c:v>306.16710581614075</c:v>
                </c:pt>
                <c:pt idx="35">
                  <c:v>307.28848757843826</c:v>
                </c:pt>
                <c:pt idx="36">
                  <c:v>308.2714302972455</c:v>
                </c:pt>
                <c:pt idx="37">
                  <c:v>309.39381104459522</c:v>
                </c:pt>
                <c:pt idx="38">
                  <c:v>310.54860027447353</c:v>
                </c:pt>
                <c:pt idx="39">
                  <c:v>311.74925784566017</c:v>
                </c:pt>
                <c:pt idx="40">
                  <c:v>312.95078253797095</c:v>
                </c:pt>
                <c:pt idx="41">
                  <c:v>314.05312520753176</c:v>
                </c:pt>
                <c:pt idx="42">
                  <c:v>315.28333514991743</c:v>
                </c:pt>
                <c:pt idx="43">
                  <c:v>316.57632582164206</c:v>
                </c:pt>
                <c:pt idx="44">
                  <c:v>317.58598693302076</c:v>
                </c:pt>
                <c:pt idx="45">
                  <c:v>318.927877616714</c:v>
                </c:pt>
                <c:pt idx="46">
                  <c:v>320.06903537962893</c:v>
                </c:pt>
                <c:pt idx="47">
                  <c:v>321.38047780427962</c:v>
                </c:pt>
                <c:pt idx="48">
                  <c:v>322.69849828412316</c:v>
                </c:pt>
                <c:pt idx="49">
                  <c:v>323.73555187864093</c:v>
                </c:pt>
                <c:pt idx="50">
                  <c:v>325.16315226021948</c:v>
                </c:pt>
                <c:pt idx="51">
                  <c:v>326.44411690393827</c:v>
                </c:pt>
                <c:pt idx="52">
                  <c:v>327.48643191431023</c:v>
                </c:pt>
                <c:pt idx="53">
                  <c:v>328.95207914036132</c:v>
                </c:pt>
                <c:pt idx="54">
                  <c:v>330.23963607323378</c:v>
                </c:pt>
                <c:pt idx="55">
                  <c:v>331.49674687849921</c:v>
                </c:pt>
                <c:pt idx="56">
                  <c:v>332.82237280853894</c:v>
                </c:pt>
                <c:pt idx="57">
                  <c:v>334.13495678195846</c:v>
                </c:pt>
                <c:pt idx="58">
                  <c:v>335.32864339616305</c:v>
                </c:pt>
                <c:pt idx="59">
                  <c:v>336.73047336732975</c:v>
                </c:pt>
                <c:pt idx="60">
                  <c:v>337.98861175785333</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198B-4BCF-B3BB-9291F72D04D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BWXBRS!$G$377:$CI$377</c:f>
              <c:numCache>
                <c:formatCode>0.00</c:formatCode>
                <c:ptCount val="81"/>
                <c:pt idx="0">
                  <c:v>0</c:v>
                </c:pt>
                <c:pt idx="1">
                  <c:v>0</c:v>
                </c:pt>
                <c:pt idx="2">
                  <c:v>97.254182465999975</c:v>
                </c:pt>
                <c:pt idx="3">
                  <c:v>106.51834949736738</c:v>
                </c:pt>
                <c:pt idx="4">
                  <c:v>114.77191994578537</c:v>
                </c:pt>
                <c:pt idx="5">
                  <c:v>122.23420847241869</c:v>
                </c:pt>
                <c:pt idx="6">
                  <c:v>124.93436600579827</c:v>
                </c:pt>
                <c:pt idx="7">
                  <c:v>126.32540411531076</c:v>
                </c:pt>
                <c:pt idx="8">
                  <c:v>127.34732189402793</c:v>
                </c:pt>
                <c:pt idx="9">
                  <c:v>128.17791086488242</c:v>
                </c:pt>
                <c:pt idx="10">
                  <c:v>128.87622134139826</c:v>
                </c:pt>
                <c:pt idx="11">
                  <c:v>127.30956352920617</c:v>
                </c:pt>
                <c:pt idx="12">
                  <c:v>125.38984953678958</c:v>
                </c:pt>
                <c:pt idx="13">
                  <c:v>125.22579035872251</c:v>
                </c:pt>
                <c:pt idx="14">
                  <c:v>124.93901970750321</c:v>
                </c:pt>
                <c:pt idx="15">
                  <c:v>124.50106283708857</c:v>
                </c:pt>
                <c:pt idx="16">
                  <c:v>125.32635123460597</c:v>
                </c:pt>
                <c:pt idx="17">
                  <c:v>126.04912866702718</c:v>
                </c:pt>
                <c:pt idx="18">
                  <c:v>126.71493809305518</c:v>
                </c:pt>
                <c:pt idx="19">
                  <c:v>127.31963788461007</c:v>
                </c:pt>
                <c:pt idx="20">
                  <c:v>127.84292919008399</c:v>
                </c:pt>
                <c:pt idx="21">
                  <c:v>128.63690759820417</c:v>
                </c:pt>
                <c:pt idx="22">
                  <c:v>129.750661637805</c:v>
                </c:pt>
                <c:pt idx="23">
                  <c:v>130.86612324942701</c:v>
                </c:pt>
                <c:pt idx="24">
                  <c:v>131.9336933051155</c:v>
                </c:pt>
                <c:pt idx="25">
                  <c:v>132.97307772312473</c:v>
                </c:pt>
                <c:pt idx="26">
                  <c:v>133.98336102940621</c:v>
                </c:pt>
                <c:pt idx="27">
                  <c:v>134.78876283124285</c:v>
                </c:pt>
                <c:pt idx="28">
                  <c:v>135.5797906329901</c:v>
                </c:pt>
                <c:pt idx="29">
                  <c:v>136.33282125521703</c:v>
                </c:pt>
                <c:pt idx="30">
                  <c:v>137.01947427646499</c:v>
                </c:pt>
                <c:pt idx="31">
                  <c:v>137.72028145874478</c:v>
                </c:pt>
                <c:pt idx="32">
                  <c:v>138.42189992200153</c:v>
                </c:pt>
                <c:pt idx="33">
                  <c:v>139.06412021997377</c:v>
                </c:pt>
                <c:pt idx="34">
                  <c:v>139.7095024234867</c:v>
                </c:pt>
                <c:pt idx="35">
                  <c:v>140.3378836614207</c:v>
                </c:pt>
                <c:pt idx="36">
                  <c:v>143.48639269974541</c:v>
                </c:pt>
                <c:pt idx="37">
                  <c:v>146.95929753643065</c:v>
                </c:pt>
                <c:pt idx="38">
                  <c:v>148.11731337046089</c:v>
                </c:pt>
                <c:pt idx="39">
                  <c:v>148.86465700065</c:v>
                </c:pt>
                <c:pt idx="40">
                  <c:v>149.67008181001552</c:v>
                </c:pt>
                <c:pt idx="41">
                  <c:v>150.43938513301265</c:v>
                </c:pt>
                <c:pt idx="42">
                  <c:v>151.24080480890635</c:v>
                </c:pt>
                <c:pt idx="43">
                  <c:v>152.04352933127399</c:v>
                </c:pt>
                <c:pt idx="44">
                  <c:v>152.80105527122319</c:v>
                </c:pt>
                <c:pt idx="45">
                  <c:v>153.58204759117473</c:v>
                </c:pt>
                <c:pt idx="46">
                  <c:v>154.33009142700172</c:v>
                </c:pt>
                <c:pt idx="47">
                  <c:v>155.11131076181545</c:v>
                </c:pt>
                <c:pt idx="48">
                  <c:v>155.89030812306595</c:v>
                </c:pt>
                <c:pt idx="49">
                  <c:v>156.63947476040894</c:v>
                </c:pt>
                <c:pt idx="50">
                  <c:v>157.42183347789756</c:v>
                </c:pt>
                <c:pt idx="51">
                  <c:v>158.20146568262484</c:v>
                </c:pt>
                <c:pt idx="52">
                  <c:v>158.95178832404045</c:v>
                </c:pt>
                <c:pt idx="53">
                  <c:v>159.73334143221101</c:v>
                </c:pt>
                <c:pt idx="54">
                  <c:v>160.51422972969183</c:v>
                </c:pt>
                <c:pt idx="55">
                  <c:v>161.26579770431402</c:v>
                </c:pt>
                <c:pt idx="56">
                  <c:v>162.04862163144395</c:v>
                </c:pt>
                <c:pt idx="57">
                  <c:v>162.79857515001214</c:v>
                </c:pt>
                <c:pt idx="58">
                  <c:v>163.58183041161135</c:v>
                </c:pt>
                <c:pt idx="59">
                  <c:v>164.36549078057007</c:v>
                </c:pt>
                <c:pt idx="60">
                  <c:v>165.1168052553852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E30C-4F15-A40E-6EAB241610B3}"/>
            </c:ext>
          </c:extLst>
        </c:ser>
        <c:ser>
          <c:idx val="0"/>
          <c:order val="1"/>
          <c:tx>
            <c:v>Unmeasured household consumption</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BWXBRS!$G$378:$CI$378</c:f>
              <c:numCache>
                <c:formatCode>0.00</c:formatCode>
                <c:ptCount val="81"/>
                <c:pt idx="0">
                  <c:v>0</c:v>
                </c:pt>
                <c:pt idx="1">
                  <c:v>0</c:v>
                </c:pt>
                <c:pt idx="2">
                  <c:v>89.399155516839997</c:v>
                </c:pt>
                <c:pt idx="3">
                  <c:v>79.49879330845647</c:v>
                </c:pt>
                <c:pt idx="4">
                  <c:v>70.683107562874881</c:v>
                </c:pt>
                <c:pt idx="5">
                  <c:v>62.837614908835469</c:v>
                </c:pt>
                <c:pt idx="6">
                  <c:v>59.705334454000038</c:v>
                </c:pt>
                <c:pt idx="7">
                  <c:v>56.398629335601733</c:v>
                </c:pt>
                <c:pt idx="8">
                  <c:v>53.210248615938539</c:v>
                </c:pt>
                <c:pt idx="9">
                  <c:v>50.219846787774081</c:v>
                </c:pt>
                <c:pt idx="10">
                  <c:v>47.413244510496334</c:v>
                </c:pt>
                <c:pt idx="11">
                  <c:v>44.350083482180722</c:v>
                </c:pt>
                <c:pt idx="12">
                  <c:v>41.481296977448501</c:v>
                </c:pt>
                <c:pt idx="13">
                  <c:v>39.169765723834807</c:v>
                </c:pt>
                <c:pt idx="14">
                  <c:v>37.006872647891797</c:v>
                </c:pt>
                <c:pt idx="15">
                  <c:v>34.981408094004912</c:v>
                </c:pt>
                <c:pt idx="16">
                  <c:v>33.188194010067988</c:v>
                </c:pt>
                <c:pt idx="17">
                  <c:v>31.501127522453945</c:v>
                </c:pt>
                <c:pt idx="18">
                  <c:v>29.914041157917872</c:v>
                </c:pt>
                <c:pt idx="19">
                  <c:v>28.419348442478441</c:v>
                </c:pt>
                <c:pt idx="20">
                  <c:v>27.080338472229208</c:v>
                </c:pt>
                <c:pt idx="21">
                  <c:v>25.897001390005716</c:v>
                </c:pt>
                <c:pt idx="22">
                  <c:v>24.802912069059325</c:v>
                </c:pt>
                <c:pt idx="23">
                  <c:v>23.765231166546055</c:v>
                </c:pt>
                <c:pt idx="24">
                  <c:v>22.777953386514302</c:v>
                </c:pt>
                <c:pt idx="25">
                  <c:v>21.837189182334235</c:v>
                </c:pt>
                <c:pt idx="26">
                  <c:v>20.729909017769891</c:v>
                </c:pt>
                <c:pt idx="27">
                  <c:v>19.664851984053829</c:v>
                </c:pt>
                <c:pt idx="28">
                  <c:v>18.647785407817096</c:v>
                </c:pt>
                <c:pt idx="29">
                  <c:v>17.676163330830747</c:v>
                </c:pt>
                <c:pt idx="30">
                  <c:v>16.747351590023143</c:v>
                </c:pt>
                <c:pt idx="31">
                  <c:v>15.861426753436209</c:v>
                </c:pt>
                <c:pt idx="32">
                  <c:v>15.016775523152965</c:v>
                </c:pt>
                <c:pt idx="33">
                  <c:v>14.209178584616559</c:v>
                </c:pt>
                <c:pt idx="34">
                  <c:v>13.438315828319517</c:v>
                </c:pt>
                <c:pt idx="35">
                  <c:v>12.70233486882954</c:v>
                </c:pt>
                <c:pt idx="36">
                  <c:v>12.123161912725649</c:v>
                </c:pt>
                <c:pt idx="37">
                  <c:v>11.589852291109887</c:v>
                </c:pt>
                <c:pt idx="38">
                  <c:v>10.976249055540567</c:v>
                </c:pt>
                <c:pt idx="39">
                  <c:v>10.971045198684866</c:v>
                </c:pt>
                <c:pt idx="40">
                  <c:v>10.968622826654233</c:v>
                </c:pt>
                <c:pt idx="41">
                  <c:v>10.965374488776579</c:v>
                </c:pt>
                <c:pt idx="42">
                  <c:v>10.962636559275348</c:v>
                </c:pt>
                <c:pt idx="43">
                  <c:v>10.959967584288561</c:v>
                </c:pt>
                <c:pt idx="44">
                  <c:v>10.956075662342302</c:v>
                </c:pt>
                <c:pt idx="45">
                  <c:v>10.952291524890725</c:v>
                </c:pt>
                <c:pt idx="46">
                  <c:v>10.947914607405314</c:v>
                </c:pt>
                <c:pt idx="47">
                  <c:v>10.944089480864005</c:v>
                </c:pt>
                <c:pt idx="48">
                  <c:v>10.940098856610852</c:v>
                </c:pt>
                <c:pt idx="49">
                  <c:v>10.935712738734487</c:v>
                </c:pt>
                <c:pt idx="50">
                  <c:v>10.931867682292989</c:v>
                </c:pt>
                <c:pt idx="51">
                  <c:v>10.927839113813118</c:v>
                </c:pt>
                <c:pt idx="52">
                  <c:v>10.923450239551586</c:v>
                </c:pt>
                <c:pt idx="53">
                  <c:v>10.919462923525014</c:v>
                </c:pt>
                <c:pt idx="54">
                  <c:v>10.915426546950386</c:v>
                </c:pt>
                <c:pt idx="55">
                  <c:v>10.911040390971392</c:v>
                </c:pt>
                <c:pt idx="56">
                  <c:v>10.90704827130358</c:v>
                </c:pt>
                <c:pt idx="57">
                  <c:v>10.902518886700065</c:v>
                </c:pt>
                <c:pt idx="58">
                  <c:v>10.898504417050606</c:v>
                </c:pt>
                <c:pt idx="59">
                  <c:v>10.894490450411354</c:v>
                </c:pt>
                <c:pt idx="60">
                  <c:v>10.889975126193701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E30C-4F15-A40E-6EAB241610B3}"/>
            </c:ext>
          </c:extLst>
        </c:ser>
        <c:ser>
          <c:idx val="1"/>
          <c:order val="2"/>
          <c:tx>
            <c:v>Non-household consumption</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BWXBRS!$G$379:$CI$379</c:f>
              <c:numCache>
                <c:formatCode>0.00</c:formatCode>
                <c:ptCount val="81"/>
                <c:pt idx="0">
                  <c:v>0</c:v>
                </c:pt>
                <c:pt idx="1">
                  <c:v>0</c:v>
                </c:pt>
                <c:pt idx="2">
                  <c:v>57.508380664160839</c:v>
                </c:pt>
                <c:pt idx="3">
                  <c:v>57.679339247338142</c:v>
                </c:pt>
                <c:pt idx="4">
                  <c:v>57.962641199667033</c:v>
                </c:pt>
                <c:pt idx="5">
                  <c:v>58.135175213317723</c:v>
                </c:pt>
                <c:pt idx="6">
                  <c:v>58.148949368882747</c:v>
                </c:pt>
                <c:pt idx="7">
                  <c:v>57.920734912165372</c:v>
                </c:pt>
                <c:pt idx="8">
                  <c:v>57.569392575006418</c:v>
                </c:pt>
                <c:pt idx="9">
                  <c:v>57.115789071637593</c:v>
                </c:pt>
                <c:pt idx="10">
                  <c:v>56.555237544545918</c:v>
                </c:pt>
                <c:pt idx="11">
                  <c:v>55.79455388214997</c:v>
                </c:pt>
                <c:pt idx="12">
                  <c:v>54.978155802082199</c:v>
                </c:pt>
                <c:pt idx="13">
                  <c:v>54.039787486651058</c:v>
                </c:pt>
                <c:pt idx="14">
                  <c:v>52.991706689419949</c:v>
                </c:pt>
                <c:pt idx="15">
                  <c:v>51.80072554793815</c:v>
                </c:pt>
                <c:pt idx="16">
                  <c:v>50.526764115458732</c:v>
                </c:pt>
                <c:pt idx="17">
                  <c:v>49.153839126221158</c:v>
                </c:pt>
                <c:pt idx="18">
                  <c:v>47.773338459235454</c:v>
                </c:pt>
                <c:pt idx="19">
                  <c:v>46.314723993850698</c:v>
                </c:pt>
                <c:pt idx="20">
                  <c:v>44.697514020283066</c:v>
                </c:pt>
                <c:pt idx="21">
                  <c:v>43.268044632043619</c:v>
                </c:pt>
                <c:pt idx="22">
                  <c:v>42.03649881293186</c:v>
                </c:pt>
                <c:pt idx="23">
                  <c:v>41.049864964285277</c:v>
                </c:pt>
                <c:pt idx="24">
                  <c:v>40.306527079669436</c:v>
                </c:pt>
                <c:pt idx="25">
                  <c:v>39.805100459147795</c:v>
                </c:pt>
                <c:pt idx="26">
                  <c:v>39.544213472496018</c:v>
                </c:pt>
                <c:pt idx="27">
                  <c:v>39.522501518320738</c:v>
                </c:pt>
                <c:pt idx="28">
                  <c:v>39.738605913422795</c:v>
                </c:pt>
                <c:pt idx="29">
                  <c:v>40.191085865879607</c:v>
                </c:pt>
                <c:pt idx="30">
                  <c:v>40.87836195349098</c:v>
                </c:pt>
                <c:pt idx="31">
                  <c:v>41.803119093514681</c:v>
                </c:pt>
                <c:pt idx="32">
                  <c:v>42.964097519893627</c:v>
                </c:pt>
                <c:pt idx="33">
                  <c:v>44.356287969087255</c:v>
                </c:pt>
                <c:pt idx="34">
                  <c:v>45.978060352678163</c:v>
                </c:pt>
                <c:pt idx="35">
                  <c:v>47.827717610331106</c:v>
                </c:pt>
                <c:pt idx="36">
                  <c:v>49.731416912139231</c:v>
                </c:pt>
                <c:pt idx="37">
                  <c:v>51.516478542457165</c:v>
                </c:pt>
                <c:pt idx="38">
                  <c:v>53.183717905392967</c:v>
                </c:pt>
                <c:pt idx="39">
                  <c:v>54.733775910542121</c:v>
                </c:pt>
                <c:pt idx="40">
                  <c:v>56.167273461251341</c:v>
                </c:pt>
                <c:pt idx="41">
                  <c:v>57.484812742941287</c:v>
                </c:pt>
                <c:pt idx="42">
                  <c:v>58.686977280690392</c:v>
                </c:pt>
                <c:pt idx="43">
                  <c:v>59.774334568146685</c:v>
                </c:pt>
                <c:pt idx="44">
                  <c:v>60.747435933850397</c:v>
                </c:pt>
                <c:pt idx="45">
                  <c:v>61.606817466660878</c:v>
                </c:pt>
                <c:pt idx="46">
                  <c:v>62.353002050624909</c:v>
                </c:pt>
                <c:pt idx="47">
                  <c:v>62.986498631191097</c:v>
                </c:pt>
                <c:pt idx="48">
                  <c:v>63.507804493268146</c:v>
                </c:pt>
                <c:pt idx="49">
                  <c:v>63.91740481042563</c:v>
                </c:pt>
                <c:pt idx="50">
                  <c:v>64.215773292886212</c:v>
                </c:pt>
                <c:pt idx="51">
                  <c:v>64.459695928465266</c:v>
                </c:pt>
                <c:pt idx="52">
                  <c:v>64.705713158007569</c:v>
                </c:pt>
                <c:pt idx="53">
                  <c:v>64.953806981174182</c:v>
                </c:pt>
                <c:pt idx="54">
                  <c:v>65.203959017612476</c:v>
                </c:pt>
                <c:pt idx="55">
                  <c:v>65.456153487448617</c:v>
                </c:pt>
                <c:pt idx="56">
                  <c:v>65.710374490074386</c:v>
                </c:pt>
                <c:pt idx="57">
                  <c:v>65.966607483782127</c:v>
                </c:pt>
                <c:pt idx="58">
                  <c:v>66.224838847762044</c:v>
                </c:pt>
                <c:pt idx="59">
                  <c:v>66.485056222392473</c:v>
                </c:pt>
                <c:pt idx="60">
                  <c:v>66.747247700535738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E30C-4F15-A40E-6EAB241610B3}"/>
            </c:ext>
          </c:extLst>
        </c:ser>
        <c:ser>
          <c:idx val="2"/>
          <c:order val="3"/>
          <c:tx>
            <c:v>Total leakage</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BWXBRS!$G$380:$CI$380</c:f>
              <c:numCache>
                <c:formatCode>0.00</c:formatCode>
                <c:ptCount val="81"/>
                <c:pt idx="0">
                  <c:v>0</c:v>
                </c:pt>
                <c:pt idx="1">
                  <c:v>0</c:v>
                </c:pt>
                <c:pt idx="2">
                  <c:v>35.646000000000001</c:v>
                </c:pt>
                <c:pt idx="3">
                  <c:v>31.59713329947148</c:v>
                </c:pt>
                <c:pt idx="4">
                  <c:v>32.497133299471479</c:v>
                </c:pt>
                <c:pt idx="5">
                  <c:v>32.09713329947148</c:v>
                </c:pt>
                <c:pt idx="6">
                  <c:v>31.728969974273923</c:v>
                </c:pt>
                <c:pt idx="7">
                  <c:v>31.077954668384791</c:v>
                </c:pt>
                <c:pt idx="8">
                  <c:v>30.395913329155491</c:v>
                </c:pt>
                <c:pt idx="9">
                  <c:v>29.916872332931433</c:v>
                </c:pt>
                <c:pt idx="10">
                  <c:v>29.473916413778731</c:v>
                </c:pt>
                <c:pt idx="11">
                  <c:v>28.899652986075246</c:v>
                </c:pt>
                <c:pt idx="12">
                  <c:v>28.326677266360626</c:v>
                </c:pt>
                <c:pt idx="13">
                  <c:v>27.404021706091996</c:v>
                </c:pt>
                <c:pt idx="14">
                  <c:v>26.727498311574927</c:v>
                </c:pt>
                <c:pt idx="15">
                  <c:v>26.067170440554442</c:v>
                </c:pt>
                <c:pt idx="16">
                  <c:v>25.606060432039079</c:v>
                </c:pt>
                <c:pt idx="17">
                  <c:v>25.322553906270251</c:v>
                </c:pt>
                <c:pt idx="18">
                  <c:v>24.981479379181469</c:v>
                </c:pt>
                <c:pt idx="19">
                  <c:v>24.679717048766307</c:v>
                </c:pt>
                <c:pt idx="20">
                  <c:v>24.230087070271722</c:v>
                </c:pt>
                <c:pt idx="21">
                  <c:v>23.9708748134675</c:v>
                </c:pt>
                <c:pt idx="22">
                  <c:v>23.751148704411278</c:v>
                </c:pt>
                <c:pt idx="23">
                  <c:v>23.638810195663531</c:v>
                </c:pt>
                <c:pt idx="24">
                  <c:v>23.449526947155327</c:v>
                </c:pt>
                <c:pt idx="25">
                  <c:v>23.201395239571873</c:v>
                </c:pt>
                <c:pt idx="26">
                  <c:v>23.055479578419742</c:v>
                </c:pt>
                <c:pt idx="27">
                  <c:v>22.872004243842888</c:v>
                </c:pt>
                <c:pt idx="28">
                  <c:v>22.637858113120863</c:v>
                </c:pt>
                <c:pt idx="29">
                  <c:v>22.305000388295731</c:v>
                </c:pt>
                <c:pt idx="30">
                  <c:v>21.960514944256232</c:v>
                </c:pt>
                <c:pt idx="31">
                  <c:v>21.960514944256232</c:v>
                </c:pt>
                <c:pt idx="32">
                  <c:v>21.960514944256232</c:v>
                </c:pt>
                <c:pt idx="33">
                  <c:v>21.960514944256232</c:v>
                </c:pt>
                <c:pt idx="34">
                  <c:v>21.960514944256232</c:v>
                </c:pt>
                <c:pt idx="35">
                  <c:v>21.960514944256232</c:v>
                </c:pt>
                <c:pt idx="36">
                  <c:v>21.960514944256232</c:v>
                </c:pt>
                <c:pt idx="37">
                  <c:v>21.960514944256232</c:v>
                </c:pt>
                <c:pt idx="38">
                  <c:v>21.960514944256232</c:v>
                </c:pt>
                <c:pt idx="39">
                  <c:v>21.960514944256232</c:v>
                </c:pt>
                <c:pt idx="40">
                  <c:v>21.960514944256232</c:v>
                </c:pt>
                <c:pt idx="41">
                  <c:v>21.960514944256232</c:v>
                </c:pt>
                <c:pt idx="42">
                  <c:v>21.960514944256232</c:v>
                </c:pt>
                <c:pt idx="43">
                  <c:v>21.960514944256232</c:v>
                </c:pt>
                <c:pt idx="44">
                  <c:v>21.960514944256232</c:v>
                </c:pt>
                <c:pt idx="45">
                  <c:v>21.960514944256232</c:v>
                </c:pt>
                <c:pt idx="46">
                  <c:v>21.960514944256232</c:v>
                </c:pt>
                <c:pt idx="47">
                  <c:v>21.960514944256232</c:v>
                </c:pt>
                <c:pt idx="48">
                  <c:v>21.960514944256232</c:v>
                </c:pt>
                <c:pt idx="49">
                  <c:v>21.960514944256232</c:v>
                </c:pt>
                <c:pt idx="50">
                  <c:v>21.960514944256232</c:v>
                </c:pt>
                <c:pt idx="51">
                  <c:v>21.960514944256232</c:v>
                </c:pt>
                <c:pt idx="52">
                  <c:v>21.960514944256232</c:v>
                </c:pt>
                <c:pt idx="53">
                  <c:v>21.960514944256232</c:v>
                </c:pt>
                <c:pt idx="54">
                  <c:v>21.960514944256232</c:v>
                </c:pt>
                <c:pt idx="55">
                  <c:v>21.960514944256232</c:v>
                </c:pt>
                <c:pt idx="56">
                  <c:v>21.960514944256232</c:v>
                </c:pt>
                <c:pt idx="57">
                  <c:v>21.960514944256232</c:v>
                </c:pt>
                <c:pt idx="58">
                  <c:v>21.960514944256232</c:v>
                </c:pt>
                <c:pt idx="59">
                  <c:v>21.960514944256232</c:v>
                </c:pt>
                <c:pt idx="60">
                  <c:v>21.960514944256232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E30C-4F15-A40E-6EAB241610B3}"/>
            </c:ext>
          </c:extLst>
        </c:ser>
        <c:ser>
          <c:idx val="3"/>
          <c:order val="4"/>
          <c:tx>
            <c:v>Other components of demand</c:v>
          </c:tx>
          <c:spPr>
            <a:ln w="25400">
              <a:noFill/>
            </a:ln>
          </c:spPr>
          <c:cat>
            <c:strRef>
              <c:f>BWXBRS!$G$23:$CI$23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BWXBRS!$G$381:$CI$381</c:f>
              <c:numCache>
                <c:formatCode>0.00</c:formatCode>
                <c:ptCount val="81"/>
                <c:pt idx="0">
                  <c:v>0</c:v>
                </c:pt>
                <c:pt idx="1">
                  <c:v>0</c:v>
                </c:pt>
                <c:pt idx="2">
                  <c:v>3.6300000000000523</c:v>
                </c:pt>
                <c:pt idx="3">
                  <c:v>3.6299999999999955</c:v>
                </c:pt>
                <c:pt idx="4">
                  <c:v>3.6299999999999955</c:v>
                </c:pt>
                <c:pt idx="5">
                  <c:v>3.6299999999999955</c:v>
                </c:pt>
                <c:pt idx="6">
                  <c:v>3.6299999999999955</c:v>
                </c:pt>
                <c:pt idx="7">
                  <c:v>3.6299999999999955</c:v>
                </c:pt>
                <c:pt idx="8">
                  <c:v>3.6299999999999386</c:v>
                </c:pt>
                <c:pt idx="9">
                  <c:v>3.6299999999999386</c:v>
                </c:pt>
                <c:pt idx="10">
                  <c:v>3.6300000000000523</c:v>
                </c:pt>
                <c:pt idx="11">
                  <c:v>3.6299999999999955</c:v>
                </c:pt>
                <c:pt idx="12">
                  <c:v>3.629999999999967</c:v>
                </c:pt>
                <c:pt idx="13">
                  <c:v>3.6300000000000523</c:v>
                </c:pt>
                <c:pt idx="14">
                  <c:v>3.6299999999999955</c:v>
                </c:pt>
                <c:pt idx="15">
                  <c:v>3.6300000000000239</c:v>
                </c:pt>
                <c:pt idx="16">
                  <c:v>3.6300000000000239</c:v>
                </c:pt>
                <c:pt idx="17">
                  <c:v>3.629999999999967</c:v>
                </c:pt>
                <c:pt idx="18">
                  <c:v>3.629999999999967</c:v>
                </c:pt>
                <c:pt idx="19">
                  <c:v>3.6299999999999955</c:v>
                </c:pt>
                <c:pt idx="20">
                  <c:v>3.6299999999999955</c:v>
                </c:pt>
                <c:pt idx="21">
                  <c:v>3.6299999999999386</c:v>
                </c:pt>
                <c:pt idx="22">
                  <c:v>3.6300000000000239</c:v>
                </c:pt>
                <c:pt idx="23">
                  <c:v>3.6300000000000523</c:v>
                </c:pt>
                <c:pt idx="24">
                  <c:v>3.6299999999999386</c:v>
                </c:pt>
                <c:pt idx="25">
                  <c:v>3.6300000000000239</c:v>
                </c:pt>
                <c:pt idx="26">
                  <c:v>3.629999999999967</c:v>
                </c:pt>
                <c:pt idx="27">
                  <c:v>3.629999999999967</c:v>
                </c:pt>
                <c:pt idx="28">
                  <c:v>3.629999999999967</c:v>
                </c:pt>
                <c:pt idx="29">
                  <c:v>3.629999999999967</c:v>
                </c:pt>
                <c:pt idx="30">
                  <c:v>3.6299999999999955</c:v>
                </c:pt>
                <c:pt idx="31">
                  <c:v>3.6299999999999955</c:v>
                </c:pt>
                <c:pt idx="32">
                  <c:v>3.629999999999967</c:v>
                </c:pt>
                <c:pt idx="33">
                  <c:v>3.6300000000000239</c:v>
                </c:pt>
                <c:pt idx="34">
                  <c:v>3.629999999999967</c:v>
                </c:pt>
                <c:pt idx="35">
                  <c:v>3.6299999999999386</c:v>
                </c:pt>
                <c:pt idx="36">
                  <c:v>3.629999999999967</c:v>
                </c:pt>
                <c:pt idx="37">
                  <c:v>3.6299999999999955</c:v>
                </c:pt>
                <c:pt idx="38">
                  <c:v>3.629999999999967</c:v>
                </c:pt>
                <c:pt idx="39">
                  <c:v>3.6299999999999955</c:v>
                </c:pt>
                <c:pt idx="40">
                  <c:v>3.629999999999967</c:v>
                </c:pt>
                <c:pt idx="41">
                  <c:v>3.6299999999999955</c:v>
                </c:pt>
                <c:pt idx="42">
                  <c:v>3.629999999999967</c:v>
                </c:pt>
                <c:pt idx="43">
                  <c:v>3.629999999999967</c:v>
                </c:pt>
                <c:pt idx="44">
                  <c:v>3.629999999999967</c:v>
                </c:pt>
                <c:pt idx="45">
                  <c:v>3.629999999999967</c:v>
                </c:pt>
                <c:pt idx="46">
                  <c:v>3.629999999999967</c:v>
                </c:pt>
                <c:pt idx="47">
                  <c:v>3.6299999999999955</c:v>
                </c:pt>
                <c:pt idx="48">
                  <c:v>3.629999999999967</c:v>
                </c:pt>
                <c:pt idx="49">
                  <c:v>3.6299999999999955</c:v>
                </c:pt>
                <c:pt idx="50">
                  <c:v>3.6299999999999955</c:v>
                </c:pt>
                <c:pt idx="51">
                  <c:v>3.6299999999999955</c:v>
                </c:pt>
                <c:pt idx="52">
                  <c:v>3.6299999999999955</c:v>
                </c:pt>
                <c:pt idx="53">
                  <c:v>3.6299999999999955</c:v>
                </c:pt>
                <c:pt idx="54">
                  <c:v>3.6299999999999386</c:v>
                </c:pt>
                <c:pt idx="55">
                  <c:v>3.6299999999999955</c:v>
                </c:pt>
                <c:pt idx="56">
                  <c:v>3.6300000000000523</c:v>
                </c:pt>
                <c:pt idx="57">
                  <c:v>3.6299999999999386</c:v>
                </c:pt>
                <c:pt idx="58">
                  <c:v>3.6299999999999386</c:v>
                </c:pt>
                <c:pt idx="59">
                  <c:v>3.6299999999999955</c:v>
                </c:pt>
                <c:pt idx="60">
                  <c:v>3.6299999999999955</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E30C-4F15-A40E-6EAB241610B3}"/>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BWXBRS!$G$382:$CI$382</c:f>
              <c:numCache>
                <c:formatCode>0.00</c:formatCode>
                <c:ptCount val="81"/>
                <c:pt idx="0">
                  <c:v>0</c:v>
                </c:pt>
                <c:pt idx="1">
                  <c:v>0</c:v>
                </c:pt>
                <c:pt idx="2">
                  <c:v>312.91624999999999</c:v>
                </c:pt>
                <c:pt idx="3">
                  <c:v>308.05</c:v>
                </c:pt>
                <c:pt idx="4">
                  <c:v>307.64375000000001</c:v>
                </c:pt>
                <c:pt idx="5">
                  <c:v>307.23750000000001</c:v>
                </c:pt>
                <c:pt idx="6">
                  <c:v>312.80125000000004</c:v>
                </c:pt>
                <c:pt idx="7">
                  <c:v>312.39500000000004</c:v>
                </c:pt>
                <c:pt idx="8">
                  <c:v>311.98875000000004</c:v>
                </c:pt>
                <c:pt idx="9">
                  <c:v>311.58250000000004</c:v>
                </c:pt>
                <c:pt idx="10">
                  <c:v>311.17625000000004</c:v>
                </c:pt>
                <c:pt idx="11">
                  <c:v>309.15000000000003</c:v>
                </c:pt>
                <c:pt idx="12">
                  <c:v>308.74375000000003</c:v>
                </c:pt>
                <c:pt idx="13">
                  <c:v>308.33750000000003</c:v>
                </c:pt>
                <c:pt idx="14">
                  <c:v>307.93125000000003</c:v>
                </c:pt>
                <c:pt idx="15">
                  <c:v>307.52500000000003</c:v>
                </c:pt>
                <c:pt idx="16">
                  <c:v>303.11875000000003</c:v>
                </c:pt>
                <c:pt idx="17">
                  <c:v>302.71250000000003</c:v>
                </c:pt>
                <c:pt idx="18">
                  <c:v>302.30625000000003</c:v>
                </c:pt>
                <c:pt idx="19">
                  <c:v>301.90000000000003</c:v>
                </c:pt>
                <c:pt idx="20">
                  <c:v>301.49375000000003</c:v>
                </c:pt>
                <c:pt idx="21">
                  <c:v>301.13750000000005</c:v>
                </c:pt>
                <c:pt idx="22">
                  <c:v>300.73125000000005</c:v>
                </c:pt>
                <c:pt idx="23">
                  <c:v>300.32500000000005</c:v>
                </c:pt>
                <c:pt idx="24">
                  <c:v>299.91875000000005</c:v>
                </c:pt>
                <c:pt idx="25">
                  <c:v>299.51250000000005</c:v>
                </c:pt>
                <c:pt idx="26">
                  <c:v>299.10625000000005</c:v>
                </c:pt>
                <c:pt idx="27">
                  <c:v>298.70000000000005</c:v>
                </c:pt>
                <c:pt idx="28">
                  <c:v>298.29375000000005</c:v>
                </c:pt>
                <c:pt idx="29">
                  <c:v>297.88750000000005</c:v>
                </c:pt>
                <c:pt idx="30">
                  <c:v>297.48125000000005</c:v>
                </c:pt>
                <c:pt idx="31">
                  <c:v>297.07500000000005</c:v>
                </c:pt>
                <c:pt idx="32">
                  <c:v>296.66875000000005</c:v>
                </c:pt>
                <c:pt idx="33">
                  <c:v>296.26250000000005</c:v>
                </c:pt>
                <c:pt idx="34">
                  <c:v>295.85625000000005</c:v>
                </c:pt>
                <c:pt idx="35">
                  <c:v>295.45000000000005</c:v>
                </c:pt>
                <c:pt idx="36">
                  <c:v>295.04375000000005</c:v>
                </c:pt>
                <c:pt idx="37">
                  <c:v>294.63750000000005</c:v>
                </c:pt>
                <c:pt idx="38">
                  <c:v>294.23125000000005</c:v>
                </c:pt>
                <c:pt idx="39">
                  <c:v>293.82500000000005</c:v>
                </c:pt>
                <c:pt idx="40">
                  <c:v>293.41875000000005</c:v>
                </c:pt>
                <c:pt idx="41">
                  <c:v>293.01250000000005</c:v>
                </c:pt>
                <c:pt idx="42">
                  <c:v>292.60625000000005</c:v>
                </c:pt>
                <c:pt idx="43">
                  <c:v>292.20000000000005</c:v>
                </c:pt>
                <c:pt idx="44">
                  <c:v>291.79375000000005</c:v>
                </c:pt>
                <c:pt idx="45">
                  <c:v>291.38750000000005</c:v>
                </c:pt>
                <c:pt idx="46">
                  <c:v>290.98125000000005</c:v>
                </c:pt>
                <c:pt idx="47">
                  <c:v>290.57500000000005</c:v>
                </c:pt>
                <c:pt idx="48">
                  <c:v>290.16875000000005</c:v>
                </c:pt>
                <c:pt idx="49">
                  <c:v>289.76250000000005</c:v>
                </c:pt>
                <c:pt idx="50">
                  <c:v>289.35625000000005</c:v>
                </c:pt>
                <c:pt idx="51">
                  <c:v>288.95000000000005</c:v>
                </c:pt>
                <c:pt idx="52">
                  <c:v>288.54375000000005</c:v>
                </c:pt>
                <c:pt idx="53">
                  <c:v>288.13750000000005</c:v>
                </c:pt>
                <c:pt idx="54">
                  <c:v>287.73125000000005</c:v>
                </c:pt>
                <c:pt idx="55">
                  <c:v>287.32500000000005</c:v>
                </c:pt>
                <c:pt idx="56">
                  <c:v>286.91875000000005</c:v>
                </c:pt>
                <c:pt idx="57">
                  <c:v>286.51250000000005</c:v>
                </c:pt>
                <c:pt idx="58">
                  <c:v>286.10625000000005</c:v>
                </c:pt>
                <c:pt idx="59">
                  <c:v>285.70000000000005</c:v>
                </c:pt>
                <c:pt idx="60">
                  <c:v>285.29375000000005</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E30C-4F15-A40E-6EAB241610B3}"/>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BWXBRS!$G$383:$CI$383</c:f>
              <c:numCache>
                <c:formatCode>0.00</c:formatCode>
                <c:ptCount val="81"/>
                <c:pt idx="0">
                  <c:v>0</c:v>
                </c:pt>
                <c:pt idx="1">
                  <c:v>0</c:v>
                </c:pt>
                <c:pt idx="2">
                  <c:v>297.03769836589561</c:v>
                </c:pt>
                <c:pt idx="3">
                  <c:v>292.62464374448263</c:v>
                </c:pt>
                <c:pt idx="4">
                  <c:v>293.39656939065537</c:v>
                </c:pt>
                <c:pt idx="5">
                  <c:v>292.97875636294009</c:v>
                </c:pt>
                <c:pt idx="6">
                  <c:v>292.21011607386538</c:v>
                </c:pt>
                <c:pt idx="7">
                  <c:v>289.73819859520535</c:v>
                </c:pt>
                <c:pt idx="8">
                  <c:v>286.73701958587213</c:v>
                </c:pt>
                <c:pt idx="9">
                  <c:v>283.87407058598967</c:v>
                </c:pt>
                <c:pt idx="10">
                  <c:v>278.33505605202879</c:v>
                </c:pt>
                <c:pt idx="11">
                  <c:v>272.62970191205079</c:v>
                </c:pt>
                <c:pt idx="12">
                  <c:v>266.59995909625843</c:v>
                </c:pt>
                <c:pt idx="13">
                  <c:v>262.42529352194384</c:v>
                </c:pt>
                <c:pt idx="14">
                  <c:v>258.55800308204687</c:v>
                </c:pt>
                <c:pt idx="15">
                  <c:v>252.53063289238068</c:v>
                </c:pt>
                <c:pt idx="16">
                  <c:v>249.99998192938847</c:v>
                </c:pt>
                <c:pt idx="17">
                  <c:v>247.58211991585532</c:v>
                </c:pt>
                <c:pt idx="18">
                  <c:v>245.11886053934649</c:v>
                </c:pt>
                <c:pt idx="19">
                  <c:v>242.52893422655677</c:v>
                </c:pt>
                <c:pt idx="20">
                  <c:v>238.33720954481777</c:v>
                </c:pt>
                <c:pt idx="21">
                  <c:v>236.34042402999032</c:v>
                </c:pt>
                <c:pt idx="22">
                  <c:v>235.09439289369507</c:v>
                </c:pt>
                <c:pt idx="23">
                  <c:v>234.16253588583942</c:v>
                </c:pt>
                <c:pt idx="24">
                  <c:v>233.42782745552879</c:v>
                </c:pt>
                <c:pt idx="25">
                  <c:v>231.49577742463771</c:v>
                </c:pt>
                <c:pt idx="26">
                  <c:v>231.12690328778177</c:v>
                </c:pt>
                <c:pt idx="27">
                  <c:v>230.87744366721387</c:v>
                </c:pt>
                <c:pt idx="28">
                  <c:v>230.83226943492335</c:v>
                </c:pt>
                <c:pt idx="29">
                  <c:v>230.72001803822945</c:v>
                </c:pt>
                <c:pt idx="30">
                  <c:v>229.64850739444074</c:v>
                </c:pt>
                <c:pt idx="31">
                  <c:v>230.51303725644516</c:v>
                </c:pt>
                <c:pt idx="32">
                  <c:v>231.71100005731023</c:v>
                </c:pt>
                <c:pt idx="33">
                  <c:v>232.91307096682334</c:v>
                </c:pt>
                <c:pt idx="34">
                  <c:v>234.53142675334234</c:v>
                </c:pt>
                <c:pt idx="35">
                  <c:v>236.48148674642889</c:v>
                </c:pt>
                <c:pt idx="36">
                  <c:v>241.05297834912056</c:v>
                </c:pt>
                <c:pt idx="37">
                  <c:v>245.96946866520656</c:v>
                </c:pt>
                <c:pt idx="38">
                  <c:v>248.43214600426876</c:v>
                </c:pt>
                <c:pt idx="39">
                  <c:v>250.88027700894827</c:v>
                </c:pt>
                <c:pt idx="40">
                  <c:v>253.26823573798794</c:v>
                </c:pt>
                <c:pt idx="41">
                  <c:v>255.43904120884983</c:v>
                </c:pt>
                <c:pt idx="42">
                  <c:v>257.61746849696016</c:v>
                </c:pt>
                <c:pt idx="43">
                  <c:v>259.74000957375915</c:v>
                </c:pt>
                <c:pt idx="44">
                  <c:v>261.45353943058672</c:v>
                </c:pt>
                <c:pt idx="45">
                  <c:v>263.3717539401398</c:v>
                </c:pt>
                <c:pt idx="46">
                  <c:v>264.97476847559352</c:v>
                </c:pt>
                <c:pt idx="47">
                  <c:v>266.63176214439773</c:v>
                </c:pt>
                <c:pt idx="48">
                  <c:v>268.18101803679514</c:v>
                </c:pt>
                <c:pt idx="49">
                  <c:v>269.3369554404552</c:v>
                </c:pt>
                <c:pt idx="50">
                  <c:v>270.76866648764531</c:v>
                </c:pt>
                <c:pt idx="51">
                  <c:v>271.99668850115125</c:v>
                </c:pt>
                <c:pt idx="52">
                  <c:v>272.98812127804149</c:v>
                </c:pt>
                <c:pt idx="53">
                  <c:v>274.40203243536871</c:v>
                </c:pt>
                <c:pt idx="54">
                  <c:v>275.63681053946812</c:v>
                </c:pt>
                <c:pt idx="55">
                  <c:v>276.84319610259359</c:v>
                </c:pt>
                <c:pt idx="56">
                  <c:v>278.11724524978695</c:v>
                </c:pt>
                <c:pt idx="57">
                  <c:v>279.37920310533775</c:v>
                </c:pt>
                <c:pt idx="58">
                  <c:v>280.52086526717096</c:v>
                </c:pt>
                <c:pt idx="59">
                  <c:v>281.87072827486401</c:v>
                </c:pt>
                <c:pt idx="60">
                  <c:v>283.07839268652208</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E30C-4F15-A40E-6EAB241610B3}"/>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BWXBRS!$G$386:$CI$386</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1D63-415B-86C7-218DAFC59DE4}"/>
            </c:ext>
          </c:extLst>
        </c:ser>
        <c:ser>
          <c:idx val="0"/>
          <c:order val="1"/>
          <c:tx>
            <c:v>Unmeasured household consumption</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BWXBRS!$G$387:$CI$387</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1D63-415B-86C7-218DAFC59DE4}"/>
            </c:ext>
          </c:extLst>
        </c:ser>
        <c:ser>
          <c:idx val="1"/>
          <c:order val="2"/>
          <c:tx>
            <c:v>Non-household consumption</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BWXBRS!$G$388:$CI$388</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1D63-415B-86C7-218DAFC59DE4}"/>
            </c:ext>
          </c:extLst>
        </c:ser>
        <c:ser>
          <c:idx val="2"/>
          <c:order val="3"/>
          <c:tx>
            <c:v>Total leakage</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BWXBRS!$G$389:$CI$389</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1D63-415B-86C7-218DAFC59DE4}"/>
            </c:ext>
          </c:extLst>
        </c:ser>
        <c:ser>
          <c:idx val="3"/>
          <c:order val="4"/>
          <c:tx>
            <c:v>Other components of demand</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BWXBRS!$G$390:$CI$390</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1D63-415B-86C7-218DAFC59DE4}"/>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BWXBRS!$G$391:$CI$391</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1D63-415B-86C7-218DAFC59DE4}"/>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BWXBRS!$G$392:$CI$392</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1D63-415B-86C7-218DAFC59DE4}"/>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BWXBRS!$G$395:$CI$395</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0-B850-4C93-8BC0-F6FF3F5C2331}"/>
            </c:ext>
          </c:extLst>
        </c:ser>
        <c:ser>
          <c:idx val="0"/>
          <c:order val="1"/>
          <c:tx>
            <c:v>Unmeasured household consumption</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BWXBRS!$G$396:$CI$396</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1-B850-4C93-8BC0-F6FF3F5C2331}"/>
            </c:ext>
          </c:extLst>
        </c:ser>
        <c:ser>
          <c:idx val="1"/>
          <c:order val="2"/>
          <c:tx>
            <c:v>Non-household consumption</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BWXBRS!$G$397:$CI$397</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2-B850-4C93-8BC0-F6FF3F5C2331}"/>
            </c:ext>
          </c:extLst>
        </c:ser>
        <c:ser>
          <c:idx val="2"/>
          <c:order val="3"/>
          <c:tx>
            <c:v>Total leakage</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BWXBRS!$G$398:$CI$398</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3-B850-4C93-8BC0-F6FF3F5C2331}"/>
            </c:ext>
          </c:extLst>
        </c:ser>
        <c:ser>
          <c:idx val="3"/>
          <c:order val="4"/>
          <c:tx>
            <c:v>Other components of demand</c:v>
          </c:tx>
          <c:spPr>
            <a:ln w="25400">
              <a:noFill/>
            </a:ln>
          </c:spPr>
          <c:cat>
            <c:strRef>
              <c:f>BWXBRS!$G$204:$CI$204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BWXBRS!$G$399:$CI$399</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04-B850-4C93-8BC0-F6FF3F5C2331}"/>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BWXBRS!$G$400:$CI$400</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5-B850-4C93-8BC0-F6FF3F5C233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BWXBRS!$G$401:$CI$401</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6-B850-4C93-8BC0-F6FF3F5C2331}"/>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val>
            <c:numLit>
              <c:formatCode>General</c:formatCode>
              <c:ptCount val="1"/>
              <c:pt idx="0">
                <c:v>1</c:v>
              </c:pt>
            </c:numLit>
          </c:val>
          <c:extLst>
            <c:ext xmlns:c16="http://schemas.microsoft.com/office/drawing/2014/chart" uri="{C3380CC4-5D6E-409C-BE32-E72D297353CC}">
              <c16:uniqueId val="{00000000-832A-4193-AFE6-0AE7F9C62A20}"/>
            </c:ext>
          </c:extLst>
        </c:ser>
        <c:ser>
          <c:idx val="0"/>
          <c:order val="1"/>
          <c:tx>
            <c:v>Unmeasured household consumption</c:v>
          </c:tx>
          <c:spPr>
            <a:ln w="25400">
              <a:noFill/>
            </a:ln>
          </c:spPr>
          <c:val>
            <c:numLit>
              <c:formatCode>General</c:formatCode>
              <c:ptCount val="1"/>
              <c:pt idx="0">
                <c:v>1</c:v>
              </c:pt>
            </c:numLit>
          </c:val>
          <c:extLst>
            <c:ext xmlns:c16="http://schemas.microsoft.com/office/drawing/2014/chart" uri="{C3380CC4-5D6E-409C-BE32-E72D297353CC}">
              <c16:uniqueId val="{00000001-832A-4193-AFE6-0AE7F9C62A20}"/>
            </c:ext>
          </c:extLst>
        </c:ser>
        <c:ser>
          <c:idx val="1"/>
          <c:order val="2"/>
          <c:tx>
            <c:v>Non-household consumption</c:v>
          </c:tx>
          <c:spPr>
            <a:ln w="25400">
              <a:noFill/>
            </a:ln>
          </c:spPr>
          <c:val>
            <c:numLit>
              <c:formatCode>General</c:formatCode>
              <c:ptCount val="1"/>
              <c:pt idx="0">
                <c:v>1</c:v>
              </c:pt>
            </c:numLit>
          </c:val>
          <c:extLst>
            <c:ext xmlns:c16="http://schemas.microsoft.com/office/drawing/2014/chart" uri="{C3380CC4-5D6E-409C-BE32-E72D297353CC}">
              <c16:uniqueId val="{00000002-832A-4193-AFE6-0AE7F9C62A20}"/>
            </c:ext>
          </c:extLst>
        </c:ser>
        <c:ser>
          <c:idx val="2"/>
          <c:order val="3"/>
          <c:tx>
            <c:v>Total leakage</c:v>
          </c:tx>
          <c:spPr>
            <a:ln w="25400">
              <a:noFill/>
            </a:ln>
          </c:spPr>
          <c:val>
            <c:numLit>
              <c:formatCode>General</c:formatCode>
              <c:ptCount val="1"/>
              <c:pt idx="0">
                <c:v>1</c:v>
              </c:pt>
            </c:numLit>
          </c:val>
          <c:extLst>
            <c:ext xmlns:c16="http://schemas.microsoft.com/office/drawing/2014/chart" uri="{C3380CC4-5D6E-409C-BE32-E72D297353CC}">
              <c16:uniqueId val="{00000003-832A-4193-AFE6-0AE7F9C62A20}"/>
            </c:ext>
          </c:extLst>
        </c:ser>
        <c:ser>
          <c:idx val="3"/>
          <c:order val="4"/>
          <c:tx>
            <c:v>Other components of demand</c:v>
          </c:tx>
          <c:spPr>
            <a:ln w="25400">
              <a:noFill/>
            </a:ln>
          </c:spPr>
          <c:val>
            <c:numLit>
              <c:formatCode>General</c:formatCode>
              <c:ptCount val="1"/>
              <c:pt idx="0">
                <c:v>1</c:v>
              </c:pt>
            </c:numLit>
          </c:val>
          <c:extLst>
            <c:ext xmlns:c16="http://schemas.microsoft.com/office/drawing/2014/chart" uri="{C3380CC4-5D6E-409C-BE32-E72D297353CC}">
              <c16:uniqueId val="{00000004-832A-4193-AFE6-0AE7F9C62A20}"/>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832A-4193-AFE6-0AE7F9C62A20}"/>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832A-4193-AFE6-0AE7F9C62A20}"/>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CD54-4668-8531-FDEE3270D910}"/>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CD54-4668-8531-FDEE3270D910}"/>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CD54-4668-8531-FDEE3270D910}"/>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CD54-4668-8531-FDEE3270D910}"/>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CD54-4668-8531-FDEE3270D910}"/>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CD54-4668-8531-FDEE3270D910}"/>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CD54-4668-8531-FDEE3270D910}"/>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1BDD-4C73-A146-7E88CC1EA578}"/>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1BDD-4C73-A146-7E88CC1EA578}"/>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1BDD-4C73-A146-7E88CC1EA578}"/>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1BDD-4C73-A146-7E88CC1EA578}"/>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1BDD-4C73-A146-7E88CC1EA57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1BDD-4C73-A146-7E88CC1EA57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1BDD-4C73-A146-7E88CC1EA57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8771-4476-BCE3-9C44987C633D}"/>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8771-4476-BCE3-9C44987C633D}"/>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8771-4476-BCE3-9C44987C633D}"/>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8771-4476-BCE3-9C44987C633D}"/>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8771-4476-BCE3-9C44987C633D}"/>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8771-4476-BCE3-9C44987C633D}"/>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8771-4476-BCE3-9C44987C633D}"/>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11795</xdr:colOff>
      <xdr:row>5</xdr:row>
      <xdr:rowOff>63680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2188023</xdr:colOff>
      <xdr:row>5</xdr:row>
      <xdr:rowOff>50081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2149761</xdr:colOff>
      <xdr:row>5</xdr:row>
      <xdr:rowOff>44450</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1208993</xdr:colOff>
      <xdr:row>19</xdr:row>
      <xdr:rowOff>151907</xdr:rowOff>
    </xdr:to>
    <xdr:pic>
      <xdr:nvPicPr>
        <xdr:cNvPr id="2" name="Picture 1">
          <a:extLst>
            <a:ext uri="{FF2B5EF4-FFF2-40B4-BE49-F238E27FC236}">
              <a16:creationId xmlns:a16="http://schemas.microsoft.com/office/drawing/2014/main" id="{7AD26A8B-46B9-4E20-9086-D4B482D2E9B2}"/>
            </a:ext>
          </a:extLst>
        </xdr:cNvPr>
        <xdr:cNvPicPr>
          <a:picLocks noChangeAspect="1"/>
        </xdr:cNvPicPr>
      </xdr:nvPicPr>
      <xdr:blipFill>
        <a:blip xmlns:r="http://schemas.openxmlformats.org/officeDocument/2006/relationships" r:embed="rId4"/>
        <a:stretch>
          <a:fillRect/>
        </a:stretch>
      </xdr:blipFill>
      <xdr:spPr>
        <a:xfrm>
          <a:off x="7934325" y="3429000"/>
          <a:ext cx="1208993" cy="34240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BWXBRS">
          <a:extLst>
            <a:ext uri="{FF2B5EF4-FFF2-40B4-BE49-F238E27FC236}">
              <a16:creationId xmlns:a16="http://schemas.microsoft.com/office/drawing/2014/main" id="{E7157B5D-49D3-4831-B3F2-F59DC61A7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BWXBRS">
          <a:extLst>
            <a:ext uri="{FF2B5EF4-FFF2-40B4-BE49-F238E27FC236}">
              <a16:creationId xmlns:a16="http://schemas.microsoft.com/office/drawing/2014/main" id="{D1D84B26-9031-491F-8D4C-639793FF427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1190625</xdr:colOff>
      <xdr:row>183</xdr:row>
      <xdr:rowOff>107156</xdr:rowOff>
    </xdr:from>
    <xdr:to>
      <xdr:col>18</xdr:col>
      <xdr:colOff>416751</xdr:colOff>
      <xdr:row>203</xdr:row>
      <xdr:rowOff>38035</xdr:rowOff>
    </xdr:to>
    <xdr:graphicFrame macro="">
      <xdr:nvGraphicFramePr>
        <xdr:cNvPr id="4" name="CHT3_DYCP_BL_BWXBRS">
          <a:extLst>
            <a:ext uri="{FF2B5EF4-FFF2-40B4-BE49-F238E27FC236}">
              <a16:creationId xmlns:a16="http://schemas.microsoft.com/office/drawing/2014/main" id="{FAD9F154-0197-4598-9D72-CAE571FFFF1C}"/>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BWXBRS">
          <a:extLst>
            <a:ext uri="{FF2B5EF4-FFF2-40B4-BE49-F238E27FC236}">
              <a16:creationId xmlns:a16="http://schemas.microsoft.com/office/drawing/2014/main" id="{89C84AA3-578E-4B23-AAF1-29D2815775EC}"/>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6" name="CHT1_DYAA_BL_BWXBRS">
          <a:extLst>
            <a:ext uri="{FF2B5EF4-FFF2-40B4-BE49-F238E27FC236}">
              <a16:creationId xmlns:a16="http://schemas.microsoft.com/office/drawing/2014/main" id="{AE6752ED-8037-4C7F-9694-7A74DA290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7" name="CHT2_DYAA_FP_BWXBRS">
          <a:extLst>
            <a:ext uri="{FF2B5EF4-FFF2-40B4-BE49-F238E27FC236}">
              <a16:creationId xmlns:a16="http://schemas.microsoft.com/office/drawing/2014/main" id="{1F970600-D60C-4E8F-8294-D2719932EDC6}"/>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142875</xdr:rowOff>
    </xdr:from>
    <xdr:to>
      <xdr:col>18</xdr:col>
      <xdr:colOff>428657</xdr:colOff>
      <xdr:row>203</xdr:row>
      <xdr:rowOff>73754</xdr:rowOff>
    </xdr:to>
    <xdr:graphicFrame macro="">
      <xdr:nvGraphicFramePr>
        <xdr:cNvPr id="8" name="CHT3_DYCP_BL_BWXBRS">
          <a:extLst>
            <a:ext uri="{FF2B5EF4-FFF2-40B4-BE49-F238E27FC236}">
              <a16:creationId xmlns:a16="http://schemas.microsoft.com/office/drawing/2014/main" id="{097D9B13-B125-4E2E-AB3A-CC341830A0E7}"/>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9" name="CHT4_DYCP_FP_BWXBRS">
          <a:extLst>
            <a:ext uri="{FF2B5EF4-FFF2-40B4-BE49-F238E27FC236}">
              <a16:creationId xmlns:a16="http://schemas.microsoft.com/office/drawing/2014/main" id="{CAC1DB7C-A11C-4C65-AD36-D489DDC2D6C7}"/>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partmental/EnvironmentManager/Private/Water%20Resource%20Manager/WRMP14%20SDB%20scenario%20assessment/Final-WRMP-tables-v2-0-9Aug2013-v2-WT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Resource zone summary"/>
      <sheetName val="Data QA summary"/>
      <sheetName val="WRP1a BL Licences"/>
      <sheetName val="WRP1 BL Supply"/>
      <sheetName val="WRP2 BL Demand"/>
      <sheetName val="WRP2a BL Customers"/>
      <sheetName val="WRP2b Weighted BL Demand"/>
      <sheetName val="WRP3a Feasible Options Detailed"/>
      <sheetName val="WRP3b Least Costs (utilisation)"/>
      <sheetName val="WRP3 Feasible options"/>
      <sheetName val="WRP4 Preferred (Scenario Yr)"/>
      <sheetName val="WRP5 FP Supply"/>
      <sheetName val="WRP6 FP Demand"/>
      <sheetName val="WRP6a FP Customers"/>
      <sheetName val="WRP6b Weighted FP Demand"/>
      <sheetName val="List of named ranges"/>
      <sheetName val="HIDDENMACROS3a"/>
    </sheetNames>
    <sheetDataSet>
      <sheetData sheetId="0"/>
      <sheetData sheetId="1"/>
      <sheetData sheetId="2"/>
      <sheetData sheetId="3">
        <row r="1021">
          <cell r="C1021" t="str">
            <v>GW</v>
          </cell>
        </row>
        <row r="1022">
          <cell r="C1022" t="str">
            <v>SW:River</v>
          </cell>
        </row>
        <row r="1023">
          <cell r="C1023" t="str">
            <v>SW:Reservoir</v>
          </cell>
        </row>
        <row r="1024">
          <cell r="C1024" t="str">
            <v>SW:Other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28" totalsRowShown="0" headerRowDxfId="1450" headerRowBorderDxfId="1449" tableBorderDxfId="1448" totalsRowBorderDxfId="1447" headerRowCellStyle="Normal 2">
  <autoFilter ref="B9:L28" xr:uid="{1D7EDADF-E95B-4E44-BEBC-566812579F90}"/>
  <tableColumns count="11">
    <tableColumn id="2" xr3:uid="{00000000-0010-0000-0000-000002000000}" name="WRMP24 Reference" dataDxfId="1446" totalsRowDxfId="1445"/>
    <tableColumn id="3" xr3:uid="{00000000-0010-0000-0000-000003000000}" name="Derivation" dataDxfId="1444" totalsRowDxfId="1443"/>
    <tableColumn id="4" xr3:uid="{00000000-0010-0000-0000-000004000000}" name="Licence number" dataDxfId="1442" totalsRowDxfId="1441"/>
    <tableColumn id="5" xr3:uid="{00000000-0010-0000-0000-000005000000}" name="Source name" dataDxfId="1440" totalsRowDxfId="1439"/>
    <tableColumn id="6" xr3:uid="{00000000-0010-0000-0000-000006000000}" name="Source type" dataDxfId="1438" totalsRowDxfId="1437"/>
    <tableColumn id="7" xr3:uid="{00000000-0010-0000-0000-000007000000}" name="WRZ Code" dataDxfId="1436" totalsRowDxfId="1435"/>
    <tableColumn id="8" xr3:uid="{00000000-0010-0000-0000-000008000000}" name="DYAA deployable output (Ml/d)" dataDxfId="1434"/>
    <tableColumn id="1" xr3:uid="{00000000-0010-0000-0000-000001000000}" name="DYCP deployable output (Ml/d)" dataDxfId="1433" totalsRowDxfId="1432">
      <calculatedColumnFormula>SUM(I11:I12)</calculatedColumnFormula>
    </tableColumn>
    <tableColumn id="9" xr3:uid="{00000000-0010-0000-0000-000009000000}" name="Annual licensed quantity (Ml/d)" dataDxfId="1431" totalsRowDxfId="1430"/>
    <tableColumn id="10" xr3:uid="{00000000-0010-0000-0000-00000A000000}" name="Constraints on deployable output" dataDxfId="1429" totalsRowDxfId="1428"/>
    <tableColumn id="11" xr3:uid="{00000000-0010-0000-0000-00000B000000}" name="Additional notes (if desired)" dataDxfId="1427" totalsRowDxfId="142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9EC3DF2-C547-488C-B32E-F470BEE3E6E1}" name="TBL3c_DYAAFP_12_BWXBRS" displayName="TBL3c_DYAAFP_12_BWXBRS" ref="B121:CI181" totalsRowShown="0" headerRowDxfId="1179" dataDxfId="1178" tableBorderDxfId="1177" headerRowCellStyle="Normal 2 2 2" dataCellStyle="Normal 2 2 2">
  <autoFilter ref="B121:CI181" xr:uid="{5F73F099-EB99-4DA0-8AAC-6F08AB2562CA}"/>
  <tableColumns count="86">
    <tableColumn id="1" xr3:uid="{871F0516-E6DB-44FC-A545-8F85A2397519}" name="WRMP24 reference" dataDxfId="1176" dataCellStyle="Normal 2 2 2"/>
    <tableColumn id="2" xr3:uid="{F1C71460-A948-4211-B2F9-3A8CE3B7665D}" name="Component" dataDxfId="1175" dataCellStyle="Normal 2 2 2"/>
    <tableColumn id="3" xr3:uid="{25948697-6C6D-44B8-B66D-7AC06AF95CD2}" name="Derivation" dataDxfId="1174" dataCellStyle="Normal 2 2 2"/>
    <tableColumn id="4" xr3:uid="{54C6D5F3-B1CE-46EF-BAFE-93B2718EA27E}" name="Unit" dataDxfId="1173" dataCellStyle="Normal 2 2 2"/>
    <tableColumn id="5" xr3:uid="{2786B40F-2ACA-47E3-B0DE-4772CD710ABA}" name="Decimal places" dataDxfId="1172" dataCellStyle="Normal 2 2 2"/>
    <tableColumn id="6" xr3:uid="{56C36220-15EC-4B08-BA97-263228C79C3E}" name="2019-20" dataDxfId="1171" dataCellStyle="Normal 2 2 2"/>
    <tableColumn id="7" xr3:uid="{0137CE3F-2CC5-4D56-93F1-E18024CBE2B1}" name="2020-21" dataDxfId="1170" dataCellStyle="Normal 2 2 2"/>
    <tableColumn id="8" xr3:uid="{18337864-47A2-4834-8C68-4E5AF46EC239}" name="2021-22" dataDxfId="1169" dataCellStyle="Normal 2 2 2"/>
    <tableColumn id="9" xr3:uid="{C2904CBE-E170-4CE8-B57F-6C1E40BC4796}" name="2022-23" dataDxfId="1168" dataCellStyle="Normal 2 2 2"/>
    <tableColumn id="10" xr3:uid="{CF234D59-DAB9-4B2E-96D0-A46A89503463}" name="2023-24" dataDxfId="1167" dataCellStyle="Normal 2 2 2"/>
    <tableColumn id="11" xr3:uid="{058FD7CF-223B-461F-9877-918268C5EE52}" name="2024-25" dataDxfId="1166" dataCellStyle="Normal 2 2 2"/>
    <tableColumn id="12" xr3:uid="{B0D28866-E579-4667-9DD2-E54E993B2E59}" name="2025-26" dataDxfId="1165" dataCellStyle="Normal 2 2 2"/>
    <tableColumn id="13" xr3:uid="{675F7C0C-BEA9-4A2B-8B99-3F5D618371F1}" name="2026-27" dataDxfId="1164" dataCellStyle="Normal 2 2 2"/>
    <tableColumn id="14" xr3:uid="{7AF7E1EE-BC5D-4EF3-B173-8E8E488C6C50}" name="2027-28" dataDxfId="1163" dataCellStyle="Normal 2 2 2"/>
    <tableColumn id="15" xr3:uid="{328CBF4B-A454-4455-A8F1-4533CCDA3458}" name="2028-29" dataDxfId="1162" dataCellStyle="Normal 2 2 2"/>
    <tableColumn id="16" xr3:uid="{8BC0BF8F-9AC0-4D6F-AD1C-30B29D8B8EA4}" name="2029-30" dataDxfId="1161" dataCellStyle="Normal 2 2 2"/>
    <tableColumn id="17" xr3:uid="{27047FD6-3E07-4475-BF73-ECF9E7A4C5E3}" name="2030-31" dataDxfId="1160" dataCellStyle="Normal 2 2 2"/>
    <tableColumn id="18" xr3:uid="{BBC0F8DC-7248-421E-B0AF-B628DFDCF356}" name="2031-32" dataDxfId="1159" dataCellStyle="Normal 2 2 2"/>
    <tableColumn id="19" xr3:uid="{8C1E3AD5-4C0C-4DDE-BF21-C0DB0346B0C4}" name="2032-33" dataDxfId="1158" dataCellStyle="Normal 2 2 2"/>
    <tableColumn id="20" xr3:uid="{64741810-5758-472E-8629-28BF3AAAE260}" name="2033-34" dataDxfId="1157" dataCellStyle="Normal 2 2 2"/>
    <tableColumn id="21" xr3:uid="{45074A51-D43A-4D1E-952B-535B527B2F31}" name="2034-35" dataDxfId="1156" dataCellStyle="Normal 2 2 2"/>
    <tableColumn id="22" xr3:uid="{7435D576-FE69-4AB8-96CE-988B7EC154EF}" name="2035-36" dataDxfId="1155" dataCellStyle="Normal 2 2 2"/>
    <tableColumn id="23" xr3:uid="{FC3821B7-ABBA-43FF-8409-7A8CED7DE838}" name="2036-37" dataDxfId="1154" dataCellStyle="Normal 2 2 2"/>
    <tableColumn id="24" xr3:uid="{B673F771-FDD1-4211-B1C1-18A238019377}" name="2037-38" dataDxfId="1153" dataCellStyle="Normal 2 2 2"/>
    <tableColumn id="25" xr3:uid="{CCD6D182-9092-4BBC-B76B-223E6690BD74}" name="2038-39" dataDxfId="1152" dataCellStyle="Normal 2 2 2"/>
    <tableColumn id="26" xr3:uid="{C9DB8334-53A9-4BAB-A7B1-CD24DBDE1EE0}" name="2039-40" dataDxfId="1151" dataCellStyle="Normal 2 2 2"/>
    <tableColumn id="27" xr3:uid="{1E25C941-6219-433E-A9FC-34C19B7EDD32}" name="2040-41" dataDxfId="1150" dataCellStyle="Normal 2 2 2"/>
    <tableColumn id="28" xr3:uid="{F6E60847-1AC0-4706-B2F9-0426ECF3AFDA}" name="2041-42" dataDxfId="1149" dataCellStyle="Normal 2 2 2"/>
    <tableColumn id="29" xr3:uid="{28A50A3E-A0C2-4607-9610-C401410208C0}" name="2042-43" dataDxfId="1148" dataCellStyle="Normal 2 2 2"/>
    <tableColumn id="30" xr3:uid="{36C78485-8C90-49A6-8565-AFC01CDE8CAB}" name="2043-44" dataDxfId="1147" dataCellStyle="Normal 2 2 2"/>
    <tableColumn id="31" xr3:uid="{0A376AD4-6F2C-41CF-AF08-1B4FF52541AC}" name="2044-45" dataDxfId="1146" dataCellStyle="Normal 2 2 2"/>
    <tableColumn id="32" xr3:uid="{CF2404B9-421D-4F38-883F-F858280E6C56}" name="2045-46" dataDxfId="1145" dataCellStyle="Normal 2 2 2"/>
    <tableColumn id="33" xr3:uid="{DEB7A1B8-35C9-4BD0-BB4B-E720A64A60A3}" name="2046-47" dataDxfId="1144" dataCellStyle="Normal 2 2 2"/>
    <tableColumn id="34" xr3:uid="{6BF0B4BA-05F1-4EF4-BCF0-6BF89A632ACE}" name="2047-48" dataDxfId="1143" dataCellStyle="Normal 2 2 2"/>
    <tableColumn id="35" xr3:uid="{D4B13710-6BEF-406E-A56B-4B545366122B}" name="2048-49" dataDxfId="1142" dataCellStyle="Normal 2 2 2"/>
    <tableColumn id="36" xr3:uid="{524A11DC-7071-4102-9594-E44E99B32A04}" name="2049-50" dataDxfId="1141" dataCellStyle="Normal 2 2 2"/>
    <tableColumn id="37" xr3:uid="{526E6827-0843-4DB7-BD5F-2D1789802F24}" name="2050-51" dataDxfId="1140" dataCellStyle="Normal 2 2 2"/>
    <tableColumn id="38" xr3:uid="{6078EF4E-F69F-4214-AD71-558EE0818685}" name="2051-52" dataDxfId="1139" dataCellStyle="Normal 2 2 2"/>
    <tableColumn id="39" xr3:uid="{1F61FA9B-D7EA-4734-8385-04B16D7DA848}" name="2052-53" dataDxfId="1138" dataCellStyle="Normal 2 2 2"/>
    <tableColumn id="40" xr3:uid="{A9999FF9-82C2-4AD3-B765-8BA755F99C20}" name="2053-54" dataDxfId="1137" dataCellStyle="Normal 2 2 2"/>
    <tableColumn id="41" xr3:uid="{62011BE9-0B3A-4F59-A97B-BC73292EBC30}" name="2054-55" dataDxfId="1136" dataCellStyle="Normal 2 2 2"/>
    <tableColumn id="42" xr3:uid="{E6ED41D3-27FE-488D-A39E-043321EAAABA}" name="2055-56" dataDxfId="1135" dataCellStyle="Normal 2 2 2"/>
    <tableColumn id="43" xr3:uid="{89DCE1E7-3A9B-4465-9829-FAE34DE9CDAC}" name="2056-57" dataDxfId="1134" dataCellStyle="Normal 2 2 2"/>
    <tableColumn id="44" xr3:uid="{3609DA49-0F8F-487E-807E-380578AAA991}" name="2057-58" dataDxfId="1133" dataCellStyle="Normal 2 2 2"/>
    <tableColumn id="45" xr3:uid="{F53D9F1C-662F-4E3E-BD4F-6886130D8E2C}" name="2058-59" dataDxfId="1132" dataCellStyle="Normal 2 2 2"/>
    <tableColumn id="46" xr3:uid="{88C2A01A-40D5-4265-9392-89D026594E0A}" name="2059-60" dataDxfId="1131" dataCellStyle="Normal 2 2 2"/>
    <tableColumn id="47" xr3:uid="{A42019A4-EAA7-4D46-8F2E-1D15CF0D165A}" name="2060-61" dataDxfId="1130" dataCellStyle="Normal 2 2 2"/>
    <tableColumn id="48" xr3:uid="{4BF63C18-7B3C-44CF-9395-D6F50C09438B}" name="2061-62" dataDxfId="1129" dataCellStyle="Normal 2 2 2"/>
    <tableColumn id="49" xr3:uid="{611C27CB-00FD-4203-9CBE-D1FC70989042}" name="2062-63" dataDxfId="1128" dataCellStyle="Normal 2 2 2"/>
    <tableColumn id="50" xr3:uid="{89468FAB-FAAB-4E3E-9AA6-F4C750A95ECC}" name="2063-64" dataDxfId="1127" dataCellStyle="Normal 2 2 2"/>
    <tableColumn id="51" xr3:uid="{6231F76A-17C4-4772-B556-CC07A06ED048}" name="2064-65" dataDxfId="1126" dataCellStyle="Normal 2 2 2"/>
    <tableColumn id="52" xr3:uid="{11610FD8-99E4-49F1-AB9B-F7E09F9335B4}" name="2065-66" dataDxfId="1125" dataCellStyle="Normal 2 2 2"/>
    <tableColumn id="53" xr3:uid="{D8393EE6-3470-4058-A8E6-E467A44A87C9}" name="2066-67" dataDxfId="1124" dataCellStyle="Normal 2 2 2"/>
    <tableColumn id="54" xr3:uid="{B0BE7DF0-A800-484E-920E-5ABF11C6DE30}" name="2067-68" dataDxfId="1123" dataCellStyle="Normal 2 2 2"/>
    <tableColumn id="55" xr3:uid="{0FA5D68A-AE4A-4C87-9095-9CB9B160ED45}" name="2068-69" dataDxfId="1122" dataCellStyle="Normal 2 2 2"/>
    <tableColumn id="56" xr3:uid="{ACAC163D-2D7E-47DD-A9D7-440D77B63D14}" name="2069-70" dataDxfId="1121" dataCellStyle="Normal 2 2 2"/>
    <tableColumn id="57" xr3:uid="{2EF806F3-53AA-43F7-946B-4014948ADD50}" name="2070-71" dataDxfId="1120" dataCellStyle="Normal 2 2 2"/>
    <tableColumn id="58" xr3:uid="{1FAE04A0-3946-46AB-83E2-4E1666E419ED}" name="2071-72" dataDxfId="1119" dataCellStyle="Normal 2 2 2"/>
    <tableColumn id="59" xr3:uid="{DB264B24-96D3-44DC-9AD2-35A4A5394260}" name="2072-73" dataDxfId="1118" dataCellStyle="Normal 2 2 2"/>
    <tableColumn id="60" xr3:uid="{B4F636EF-D273-4810-BFE1-FA8FF5B080DE}" name="2073-74" dataDxfId="1117" dataCellStyle="Normal 2 2 2"/>
    <tableColumn id="61" xr3:uid="{316931EB-DCC8-46C8-9F75-6D74E32F4AA8}" name="2074-75" dataDxfId="1116" dataCellStyle="Normal 2 2 2"/>
    <tableColumn id="62" xr3:uid="{D044B943-0E4D-4A9C-A816-3A45308BCEC4}" name="2075-76" dataDxfId="1115" dataCellStyle="Normal 2 2 2"/>
    <tableColumn id="63" xr3:uid="{9981DFFA-3DA3-4AAC-AC2E-E0B594C9FF09}" name="2076-77" dataDxfId="1114" dataCellStyle="Normal 2 2 2"/>
    <tableColumn id="64" xr3:uid="{9510BF8F-3BF6-42CA-8727-0C4E3FB94243}" name="2077-78" dataDxfId="1113" dataCellStyle="Normal 2 2 2"/>
    <tableColumn id="65" xr3:uid="{C71090F0-6C4B-45CE-B6BE-38BF52B44E05}" name="2078-79" dataDxfId="1112" dataCellStyle="Normal 2 2 2"/>
    <tableColumn id="66" xr3:uid="{E612A592-695B-4FB7-A692-6467F7D326FB}" name="2079-80" dataDxfId="1111" dataCellStyle="Normal 2 2 2"/>
    <tableColumn id="67" xr3:uid="{32D7CF33-35C9-4CAD-8E89-A2B24C695E7A}" name="2080-81" dataDxfId="1110" dataCellStyle="Normal 2 2 2"/>
    <tableColumn id="68" xr3:uid="{5D868D23-AB66-4A43-926C-A658065B9FE4}" name="2081-82" dataDxfId="1109" dataCellStyle="Normal 2 2 2"/>
    <tableColumn id="69" xr3:uid="{54B7673A-D8F5-481A-BB7A-C53AC81CECFF}" name="2082-83" dataDxfId="1108" dataCellStyle="Normal 2 2 2"/>
    <tableColumn id="70" xr3:uid="{C6817B67-96A8-4B31-9162-8024ED6A8B48}" name="2083-84" dataDxfId="1107" dataCellStyle="Normal 2 2 2"/>
    <tableColumn id="71" xr3:uid="{1295171A-A97F-46CA-88CA-29E59DF5C158}" name="2084-85" dataDxfId="1106" dataCellStyle="Normal 2 2 2"/>
    <tableColumn id="72" xr3:uid="{AE92D50B-8672-4E56-A000-12CC6EFDA0AB}" name="2085-86" dataDxfId="1105" dataCellStyle="Normal 2 2 2"/>
    <tableColumn id="73" xr3:uid="{FE96CF61-A533-4410-AC0D-01912AC8D528}" name="2086-87" dataDxfId="1104" dataCellStyle="Normal 2 2 2"/>
    <tableColumn id="74" xr3:uid="{3BD506CA-F810-4D07-B142-43AB3615C965}" name="2087-88" dataDxfId="1103" dataCellStyle="Normal 2 2 2"/>
    <tableColumn id="75" xr3:uid="{C4F95D38-C1D5-4313-9E9C-E7781233A976}" name="2088-89" dataDxfId="1102" dataCellStyle="Normal 2 2 2"/>
    <tableColumn id="76" xr3:uid="{AAE5AA53-8061-4A69-B012-C919C04A3441}" name="2089-90" dataDxfId="1101" dataCellStyle="Normal 2 2 2"/>
    <tableColumn id="77" xr3:uid="{93CEC81E-4B06-4617-AC54-37DA104D7A6B}" name="2090-91" dataDxfId="1100" dataCellStyle="Normal 2 2 2"/>
    <tableColumn id="78" xr3:uid="{6D51029A-0823-4CBD-9EAA-AAF226546EC1}" name="2091-92" dataDxfId="1099" dataCellStyle="Normal 2 2 2"/>
    <tableColumn id="79" xr3:uid="{670FC9B6-1696-45E9-8A54-BFE05B82C29E}" name="2092-93" dataDxfId="1098" dataCellStyle="Normal 2 2 2"/>
    <tableColumn id="80" xr3:uid="{52164B0B-9D55-48EA-908C-FBB8A56BD7D8}" name="2093-94" dataDxfId="1097" dataCellStyle="Normal 2 2 2"/>
    <tableColumn id="81" xr3:uid="{3DD78BCC-F6AE-419A-8D8E-A6896A496874}" name="2094-95" dataDxfId="1096" dataCellStyle="Normal 2 2 2"/>
    <tableColumn id="82" xr3:uid="{0294469B-8E62-4201-9ED4-54E834BE7F4A}" name="2095-96" dataDxfId="1095" dataCellStyle="Normal 2 2 2"/>
    <tableColumn id="83" xr3:uid="{918DCD0C-B21C-4E0E-8562-F5AC823EC73D}" name="2096-97" dataDxfId="1094" dataCellStyle="Normal 2 2 2"/>
    <tableColumn id="84" xr3:uid="{958CAB2A-B089-450A-87A8-3BF3FEE6E156}" name="2097-98" dataDxfId="1093" dataCellStyle="Normal 2 2 2"/>
    <tableColumn id="85" xr3:uid="{34FDC6E9-ACFC-42E1-B879-E474BE3D2B5E}" name="2098-99" dataDxfId="1092" dataCellStyle="Normal 2 2 2"/>
    <tableColumn id="86" xr3:uid="{A7646BCA-A05D-406B-BDE3-8B7289EC4478}" name="2099-100" dataDxfId="1091" dataCellStyle="Normal 2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7A84F3A-D855-4165-B141-C47617AD3765}" name="TBL3d_DYCPBL_13_BWXBRS" displayName="TBL3d_DYCPBL_13_BWXBRS" ref="B204:CI272" totalsRowShown="0" headerRowDxfId="1090" dataDxfId="1089" tableBorderDxfId="1088" headerRowCellStyle="Normal 2 2 2">
  <autoFilter ref="B204:CI272" xr:uid="{EF444EF1-EE1B-4FAA-8C28-6DC5D0EEB936}"/>
  <tableColumns count="86">
    <tableColumn id="1" xr3:uid="{4B9E3170-EEEA-40A0-AF34-56B09A1AACAF}" name="WRMP24 reference" dataDxfId="1087" dataCellStyle="Normal 2 2 2"/>
    <tableColumn id="2" xr3:uid="{5F7B47B4-FDA6-4967-89D5-C61C7E1741BD}" name="Component" dataDxfId="1086" dataCellStyle="Normal 2 2 2"/>
    <tableColumn id="3" xr3:uid="{89A5BE45-FF19-47D3-84A7-809984D67B50}" name="Derivation" dataDxfId="1085" dataCellStyle="Normal 2 2 2"/>
    <tableColumn id="4" xr3:uid="{0AD386F4-3B4A-43BB-9F39-10B4728645B4}" name="Unit" dataDxfId="1084" dataCellStyle="Normal 2 2 2"/>
    <tableColumn id="5" xr3:uid="{18E5139B-C7DA-469B-BCC6-81C3AFF300B3}" name="Decimal places" dataDxfId="1083" dataCellStyle="Normal 2 2 2"/>
    <tableColumn id="6" xr3:uid="{8DB0F6D5-633C-48B8-8502-149CDFAEB463}" name="2019-20" dataDxfId="1082"/>
    <tableColumn id="7" xr3:uid="{3098EC27-823B-4D32-9EC2-B67544EABA37}" name="2020-21" dataDxfId="1081"/>
    <tableColumn id="8" xr3:uid="{D8B2938B-DD27-423F-BEA3-43234DC81A91}" name="2021-22" dataDxfId="1080"/>
    <tableColumn id="9" xr3:uid="{770070E8-CA3D-4947-9061-9002608C2EA2}" name="2022-23" dataDxfId="1079"/>
    <tableColumn id="10" xr3:uid="{6B4A94B8-A853-486E-B4A7-9E0672BDB6A5}" name="2023-24" dataDxfId="1078"/>
    <tableColumn id="11" xr3:uid="{C4EAED2C-D367-4695-9586-3FA22D4C17AF}" name="2024-25" dataDxfId="1077"/>
    <tableColumn id="12" xr3:uid="{D78F0B0B-6275-4C4E-A74A-30D3BC86BDC7}" name="2025-26" dataDxfId="1076"/>
    <tableColumn id="13" xr3:uid="{7676F285-92CE-4091-9B6F-E16AA6CB106F}" name="2026-27" dataDxfId="1075"/>
    <tableColumn id="14" xr3:uid="{C19F82A8-861E-41D3-AAEB-8987BE4959B6}" name="2027-28" dataDxfId="1074"/>
    <tableColumn id="15" xr3:uid="{4558E21E-599B-4F9F-B992-60BDD4DDAB31}" name="2028-29" dataDxfId="1073"/>
    <tableColumn id="16" xr3:uid="{8A82B3ED-605E-4D44-A27F-7E360274DF29}" name="2029-30" dataDxfId="1072"/>
    <tableColumn id="17" xr3:uid="{D1F1C7CF-00C8-4110-AC97-3599268E31E8}" name="2030-31" dataDxfId="1071"/>
    <tableColumn id="18" xr3:uid="{541949CA-D3FA-43BA-9D84-BBD86207B832}" name="2031-32" dataDxfId="1070"/>
    <tableColumn id="19" xr3:uid="{0CE60C14-CDD6-4F41-B416-5D12D696AAFC}" name="2032-33" dataDxfId="1069"/>
    <tableColumn id="20" xr3:uid="{4FFFFEEE-D39A-48FB-8E47-147A827DE6A2}" name="2033-34" dataDxfId="1068"/>
    <tableColumn id="21" xr3:uid="{535BD945-E08B-43DF-866F-C743CCB5A868}" name="2034-35" dataDxfId="1067"/>
    <tableColumn id="22" xr3:uid="{98BC1BD0-E322-4665-B0E5-0A6A6E0872A7}" name="2035-36" dataDxfId="1066"/>
    <tableColumn id="23" xr3:uid="{83AF68DF-D870-4B94-81CA-23172B4F6046}" name="2036-37" dataDxfId="1065"/>
    <tableColumn id="24" xr3:uid="{7DAA8C24-B61B-480E-81C4-E5B78C802584}" name="2037-38" dataDxfId="1064"/>
    <tableColumn id="25" xr3:uid="{6A7464BB-500C-4655-8C9C-8C4A29F01C52}" name="2038-39" dataDxfId="1063"/>
    <tableColumn id="26" xr3:uid="{CF00CC6F-CA1F-4F56-BFD2-8D27B2CBECC4}" name="2039-40" dataDxfId="1062"/>
    <tableColumn id="27" xr3:uid="{8E844B1E-A7FE-4B89-B1F8-389AE8830DFF}" name="2040-41" dataDxfId="1061"/>
    <tableColumn id="28" xr3:uid="{BBDB27D0-9D02-4403-B234-096EBB81BF57}" name="2041-42" dataDxfId="1060"/>
    <tableColumn id="29" xr3:uid="{296BAF7C-878F-43C8-A7CA-851A2B01477E}" name="2042-43" dataDxfId="1059"/>
    <tableColumn id="30" xr3:uid="{051C51B7-7DC8-4899-8364-F27C9AA3CCFE}" name="2043-44" dataDxfId="1058"/>
    <tableColumn id="31" xr3:uid="{504C69BB-50FE-423E-852A-54328EEF6DBE}" name="2044-45" dataDxfId="1057"/>
    <tableColumn id="32" xr3:uid="{B0916120-F0F6-4D4B-A8BC-B817B8DE82A5}" name="2045-46" dataDxfId="1056"/>
    <tableColumn id="33" xr3:uid="{DFBA678D-81E0-4FD5-AC3E-C4087BEDCFB6}" name="2046-47" dataDxfId="1055"/>
    <tableColumn id="34" xr3:uid="{38507C80-029C-4ACB-9157-6B206B84C8D0}" name="2047-48" dataDxfId="1054"/>
    <tableColumn id="35" xr3:uid="{7000D6C8-7573-4ED7-8877-124E799505F5}" name="2048-49" dataDxfId="1053"/>
    <tableColumn id="36" xr3:uid="{1DC1B158-295C-47EC-A49E-ABF709EBFCD8}" name="2049-50" dataDxfId="1052"/>
    <tableColumn id="37" xr3:uid="{748EE0CA-17F4-4BE3-87E6-9ADBF92C7116}" name="2050-51" dataDxfId="1051"/>
    <tableColumn id="38" xr3:uid="{11E5688F-A4A4-4CC2-B6F2-BB1C84EB6CB7}" name="2051-52" dataDxfId="1050"/>
    <tableColumn id="39" xr3:uid="{742375F1-77B3-454F-BA23-EA8B62064724}" name="2052-53" dataDxfId="1049"/>
    <tableColumn id="40" xr3:uid="{3190F3D4-5D7F-4768-A478-6DFC710DFEC0}" name="2053-54" dataDxfId="1048"/>
    <tableColumn id="41" xr3:uid="{92AE161B-9861-467B-844D-63CAF2F4BEA3}" name="2054-55" dataDxfId="1047"/>
    <tableColumn id="42" xr3:uid="{C7F64840-9762-449B-A915-5C0FBAC76A7A}" name="2055-56" dataDxfId="1046"/>
    <tableColumn id="43" xr3:uid="{613BF43B-4773-4094-80E4-22548024F104}" name="2056-57" dataDxfId="1045"/>
    <tableColumn id="44" xr3:uid="{C6079051-3062-43D1-925A-19873D941D57}" name="2057-58" dataDxfId="1044"/>
    <tableColumn id="45" xr3:uid="{3F8B7DA3-530F-4A76-9CF4-BAD4535A8B43}" name="2058-59" dataDxfId="1043"/>
    <tableColumn id="46" xr3:uid="{D8663BE1-5DEF-435D-A499-2C26D2C83AA8}" name="2059-60" dataDxfId="1042"/>
    <tableColumn id="47" xr3:uid="{E0704EB1-EA90-49AF-AF34-891A227279AD}" name="2060-61" dataDxfId="1041"/>
    <tableColumn id="48" xr3:uid="{DF2279A3-9521-4B5B-ACAE-47DAF336FFE2}" name="2061-62" dataDxfId="1040"/>
    <tableColumn id="49" xr3:uid="{C82F3EFD-F82E-4686-B4BF-E6F7C693587E}" name="2062-63" dataDxfId="1039"/>
    <tableColumn id="50" xr3:uid="{8EA26940-5D17-4BFB-B7EE-EAE78C71C66D}" name="2063-64" dataDxfId="1038"/>
    <tableColumn id="51" xr3:uid="{52D97AD2-7DBC-4B54-BB51-785DB3C05499}" name="2064-65" dataDxfId="1037"/>
    <tableColumn id="52" xr3:uid="{9698915F-6462-4CBD-93EA-D64AC8CC8F6E}" name="2065-66" dataDxfId="1036"/>
    <tableColumn id="53" xr3:uid="{F102521F-32D6-4D03-BF03-1F8FD8785B69}" name="2066-67" dataDxfId="1035"/>
    <tableColumn id="54" xr3:uid="{61B97F95-5CC3-4BC7-9767-13017EBD5D23}" name="2067-68" dataDxfId="1034"/>
    <tableColumn id="55" xr3:uid="{8D45989E-DDD9-4020-8783-490B28C38D15}" name="2068-69" dataDxfId="1033"/>
    <tableColumn id="56" xr3:uid="{8A2CA431-DC09-4EBD-AD18-F44FF1EA97A5}" name="2069-70" dataDxfId="1032"/>
    <tableColumn id="57" xr3:uid="{9BA27613-EC03-455D-8A9F-A22D5BF0ADEA}" name="2070-71" dataDxfId="1031"/>
    <tableColumn id="58" xr3:uid="{F9B6E593-5A5B-4FA5-BC3A-3A383C405142}" name="2071-72" dataDxfId="1030"/>
    <tableColumn id="59" xr3:uid="{EA952D0E-256F-4429-AE10-5F9C514B7C4A}" name="2072-73" dataDxfId="1029"/>
    <tableColumn id="60" xr3:uid="{22368042-9234-41CB-B743-0E71EA8D2FF8}" name="2073-74" dataDxfId="1028"/>
    <tableColumn id="61" xr3:uid="{BB907626-75C2-4BF3-9743-C48DD3434382}" name="2074-75" dataDxfId="1027"/>
    <tableColumn id="62" xr3:uid="{9E5FFB92-9578-46B9-8DEF-A57D7ECEC167}" name="2075-76" dataDxfId="1026"/>
    <tableColumn id="63" xr3:uid="{E404F3F0-9D91-4293-9B4D-181521B0B077}" name="2076-77" dataDxfId="1025"/>
    <tableColumn id="64" xr3:uid="{1B23B8DF-A40F-4045-A019-111D7DBE2354}" name="2077-78" dataDxfId="1024"/>
    <tableColumn id="65" xr3:uid="{E0833E58-05BB-4308-9C72-097127518F03}" name="2078-79" dataDxfId="1023"/>
    <tableColumn id="66" xr3:uid="{78A8FBC1-65C0-481E-BBAE-0B73A00EDE56}" name="2079-80" dataDxfId="1022"/>
    <tableColumn id="67" xr3:uid="{D1F03DC7-BDD3-4BA8-98ED-5A31E8CD8567}" name="2080-81" dataDxfId="1021"/>
    <tableColumn id="68" xr3:uid="{A6944114-4947-434E-B179-B068958DE3FD}" name="2081-82" dataDxfId="1020"/>
    <tableColumn id="69" xr3:uid="{109824BA-7435-4C76-8924-19A3390AF3BB}" name="2082-83" dataDxfId="1019"/>
    <tableColumn id="70" xr3:uid="{C1341BAA-A019-4498-9D10-1ACFC9E4D089}" name="2083-84" dataDxfId="1018"/>
    <tableColumn id="71" xr3:uid="{FD608643-3632-4624-95E0-3EF4530FB117}" name="2084-85" dataDxfId="1017"/>
    <tableColumn id="72" xr3:uid="{4363E468-DDF1-445B-88FF-BE1CE5E791F5}" name="2085-86" dataDxfId="1016"/>
    <tableColumn id="73" xr3:uid="{1186359B-E259-428B-898B-862EDEF863A6}" name="2086-87" dataDxfId="1015"/>
    <tableColumn id="74" xr3:uid="{5DA6B63B-046C-4714-9955-1B0848CA73D2}" name="2087-88" dataDxfId="1014"/>
    <tableColumn id="75" xr3:uid="{1FF0B6A8-0152-4EFE-83E4-D35620B634A6}" name="2088-89" dataDxfId="1013"/>
    <tableColumn id="76" xr3:uid="{13B164B9-0047-4ADD-B5A4-9E4087B0E006}" name="2089-90" dataDxfId="1012"/>
    <tableColumn id="77" xr3:uid="{6E8DF43B-8D79-43D0-804A-874C39FCD9D5}" name="2090-91" dataDxfId="1011"/>
    <tableColumn id="78" xr3:uid="{6000FB73-F9E9-4EB1-996E-087CADDBD11A}" name="2091-92" dataDxfId="1010"/>
    <tableColumn id="79" xr3:uid="{A4798CBF-9963-4860-A157-9E8FF5F56816}" name="2092-93" dataDxfId="1009"/>
    <tableColumn id="80" xr3:uid="{1E5C98E8-0671-4B64-9B9F-78E04C8826A3}" name="2093-94" dataDxfId="1008"/>
    <tableColumn id="81" xr3:uid="{65EED002-D332-4BCD-BEBD-AFE7AEF354FF}" name="2094-95" dataDxfId="1007"/>
    <tableColumn id="82" xr3:uid="{5042896C-50BB-4E2B-9E4D-D27E573AEED4}" name="2095-96" dataDxfId="1006"/>
    <tableColumn id="83" xr3:uid="{FD42ADBF-2945-4173-8233-63EED41B1B02}" name="2096-97" dataDxfId="1005"/>
    <tableColumn id="84" xr3:uid="{A9C5883C-7EFF-47F5-8861-0596064DC1F4}" name="2097-98" dataDxfId="1004"/>
    <tableColumn id="85" xr3:uid="{4A9E825D-59D9-48B4-ABF2-EC421BDFFCE3}" name="2098-99" dataDxfId="1003"/>
    <tableColumn id="86" xr3:uid="{927BA42C-60D0-4B4D-AF75-915BC0ACD3F7}" name="2099-100" dataDxfId="100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5842542C-DE30-4405-8A13-2647AAF9BEC0}" name="TBL3e_DYCPOpt_14_BWXBRS" displayName="TBL3e_DYCPOpt_14_BWXBRS" ref="B275:CI299" totalsRowShown="0" headerRowDxfId="1001" dataDxfId="999" headerRowBorderDxfId="1000" tableBorderDxfId="998" headerRowCellStyle="Normal 2 2 2" dataCellStyle="Normal 2 2 2">
  <autoFilter ref="B275:CI299" xr:uid="{B33704DC-CAA1-4030-BE9C-FA3044FC1D63}"/>
  <tableColumns count="86">
    <tableColumn id="1" xr3:uid="{78BF17C8-1E75-414B-A5F1-B68B3C4D793B}" name="WRMP24 reference" dataDxfId="997" dataCellStyle="Normal 2 2 2"/>
    <tableColumn id="2" xr3:uid="{C8B34212-B63F-4CE7-AE0A-EF79330B2135}" name="Option type" dataDxfId="996" dataCellStyle="Normal 2 2 2"/>
    <tableColumn id="3" xr3:uid="{C8DA980F-870F-45DC-A87C-DDEEABA3A93F}" name="Cat ID" dataDxfId="995" dataCellStyle="Normal 2 2 2"/>
    <tableColumn id="4" xr3:uid="{0A8BC5F0-7349-48F1-ABAB-6FFD45F3E2AF}" name="Unit" dataDxfId="994" dataCellStyle="Normal 2 2 2"/>
    <tableColumn id="5" xr3:uid="{A8C72A9A-AAAB-4552-B08E-E326046BDFBC}" name="Decimal places" dataDxfId="993" dataCellStyle="Normal 2 2 2"/>
    <tableColumn id="6" xr3:uid="{48CE2138-B51F-43F3-AC90-B693E3762980}" name="2019-20" dataDxfId="992" dataCellStyle="Normal 2 2 2"/>
    <tableColumn id="7" xr3:uid="{FD845DB4-16FC-462E-BE65-3D878BC8F13A}" name="2020-21" dataDxfId="991" dataCellStyle="Normal 2 2 2"/>
    <tableColumn id="8" xr3:uid="{D079CE08-221E-4357-9461-CFD63363FA76}" name="2021-22" dataDxfId="990" dataCellStyle="Normal 2 2 2"/>
    <tableColumn id="9" xr3:uid="{618D0EB7-3C1D-43B6-A04A-F84B3D5E1269}" name="2022-23" dataDxfId="989" dataCellStyle="Normal 2 2 2"/>
    <tableColumn id="10" xr3:uid="{55D5A53B-C822-4F8F-A218-7B8BBBF63148}" name="2023-24" dataDxfId="988" dataCellStyle="Normal 2 2 2"/>
    <tableColumn id="11" xr3:uid="{4F101693-84E4-4E9A-9B34-A763EF8CF6F4}" name="2024-25" dataDxfId="987" dataCellStyle="Normal 2 2 2"/>
    <tableColumn id="12" xr3:uid="{F22B01F6-1C59-4EEB-8A65-7F9E16D04F28}" name="2025-26" dataDxfId="986" dataCellStyle="Normal 2 2 2"/>
    <tableColumn id="13" xr3:uid="{43213216-59E6-46DA-B9FE-78593C708C82}" name="2026-27" dataDxfId="985" dataCellStyle="Normal 2 2 2"/>
    <tableColumn id="14" xr3:uid="{4A337FFE-7EED-4048-BBF6-3233C6DD84F9}" name="2027-28" dataDxfId="984" dataCellStyle="Normal 2 2 2"/>
    <tableColumn id="15" xr3:uid="{C205D735-0DF5-49EC-B5BC-A94A512BD456}" name="2028-29" dataDxfId="983" dataCellStyle="Normal 2 2 2"/>
    <tableColumn id="16" xr3:uid="{FCC888BE-0C17-4502-95D5-AA4D9AADF826}" name="2029-30" dataDxfId="982" dataCellStyle="Normal 2 2 2"/>
    <tableColumn id="17" xr3:uid="{C095499F-B349-49CB-8F8E-19ED31014E4D}" name="2030-31" dataDxfId="981" dataCellStyle="Normal 2 2 2"/>
    <tableColumn id="18" xr3:uid="{2CB460E2-42CD-4946-8B29-0FEDEC8183CB}" name="2031-32" dataDxfId="980" dataCellStyle="Normal 2 2 2"/>
    <tableColumn id="19" xr3:uid="{A4A3CAD8-456B-4556-9F2B-CC449640B900}" name="2032-33" dataDxfId="979" dataCellStyle="Normal 2 2 2"/>
    <tableColumn id="20" xr3:uid="{9CC49720-D40E-47D1-A78B-1E01B234EF20}" name="2033-34" dataDxfId="978" dataCellStyle="Normal 2 2 2"/>
    <tableColumn id="21" xr3:uid="{DEE3CDF5-10A5-438B-8218-28B51C0430AD}" name="2034-35" dataDxfId="977" dataCellStyle="Normal 2 2 2"/>
    <tableColumn id="22" xr3:uid="{4BB6CF3C-1031-4437-9236-287402EF3192}" name="2035-36" dataDxfId="976" dataCellStyle="Normal 2 2 2"/>
    <tableColumn id="23" xr3:uid="{BFF67256-1907-44F5-8189-3D146418B478}" name="2036-37" dataDxfId="975" dataCellStyle="Normal 2 2 2"/>
    <tableColumn id="24" xr3:uid="{B61125C4-C409-4677-B518-B971AF064677}" name="2037-38" dataDxfId="974" dataCellStyle="Normal 2 2 2"/>
    <tableColumn id="25" xr3:uid="{45FB5E7E-3074-49BC-A0C7-4706C8EB33A9}" name="2038-39" dataDxfId="973" dataCellStyle="Normal 2 2 2"/>
    <tableColumn id="26" xr3:uid="{D973CCD8-44AF-4609-A792-71C235816877}" name="2039-40" dataDxfId="972" dataCellStyle="Normal 2 2 2"/>
    <tableColumn id="27" xr3:uid="{1E396BC2-61EA-42DD-8861-ABED21E9FFCC}" name="2040-41" dataDxfId="971" dataCellStyle="Normal 2 2 2"/>
    <tableColumn id="28" xr3:uid="{76809853-05DB-4F7F-9DE9-E992D123E31D}" name="2041-42" dataDxfId="970" dataCellStyle="Normal 2 2 2"/>
    <tableColumn id="29" xr3:uid="{AAF3E8FB-6BB3-4519-8099-0544CD019AD1}" name="2042-43" dataDxfId="969" dataCellStyle="Normal 2 2 2"/>
    <tableColumn id="30" xr3:uid="{3625343F-0775-4D3A-90C9-4E43CAE834A5}" name="2043-44" dataDxfId="968" dataCellStyle="Normal 2 2 2"/>
    <tableColumn id="31" xr3:uid="{F3BD110B-EB76-4C0C-9FF5-9CCB0F179AF2}" name="2044-45" dataDxfId="967" dataCellStyle="Normal 2 2 2"/>
    <tableColumn id="32" xr3:uid="{13E8D3EE-BE0E-48FF-85A2-701D04A9ADCC}" name="2045-46" dataDxfId="966" dataCellStyle="Normal 2 2 2"/>
    <tableColumn id="33" xr3:uid="{5BA9B127-E8B0-465F-AA36-D7ECF377183B}" name="2046-47" dataDxfId="965" dataCellStyle="Normal 2 2 2"/>
    <tableColumn id="34" xr3:uid="{472773C0-3F7F-48AD-B8BF-60FB06968F5E}" name="2047-48" dataDxfId="964" dataCellStyle="Normal 2 2 2"/>
    <tableColumn id="35" xr3:uid="{33363BD2-CA6E-4D99-9E72-51F082CD8F48}" name="2048-49" dataDxfId="963" dataCellStyle="Normal 2 2 2"/>
    <tableColumn id="36" xr3:uid="{195FEDDA-2116-4163-9FD8-CDE25D5AA2C1}" name="2049-50" dataDxfId="962" dataCellStyle="Normal 2 2 2"/>
    <tableColumn id="37" xr3:uid="{7892626A-8959-44D8-85AB-E4DEB6D08DF3}" name="2050-51" dataDxfId="961" dataCellStyle="Normal 2 2 2"/>
    <tableColumn id="38" xr3:uid="{020F3831-945B-454C-8F8B-8791E0FA6E19}" name="2051-52" dataDxfId="960" dataCellStyle="Normal 2 2 2"/>
    <tableColumn id="39" xr3:uid="{CC12EA6B-5EC7-4DB6-A53D-89A8061096E9}" name="2052-53" dataDxfId="959" dataCellStyle="Normal 2 2 2"/>
    <tableColumn id="40" xr3:uid="{5B336918-16F5-42DA-AF19-B475508F8C3D}" name="2053-54" dataDxfId="958" dataCellStyle="Normal 2 2 2"/>
    <tableColumn id="41" xr3:uid="{EC625BAD-CA4A-46F6-B44E-8F909AB41079}" name="2054-55" dataDxfId="957" dataCellStyle="Normal 2 2 2"/>
    <tableColumn id="42" xr3:uid="{CB833ABD-1238-43EE-9EB5-C13317BB616D}" name="2055-56" dataDxfId="956" dataCellStyle="Normal 2 2 2"/>
    <tableColumn id="43" xr3:uid="{56786DAA-F0F7-4B01-B322-1E55BF11C46C}" name="2056-57" dataDxfId="955" dataCellStyle="Normal 2 2 2"/>
    <tableColumn id="44" xr3:uid="{1672A3A9-1892-405C-A56C-126C38063CA6}" name="2057-58" dataDxfId="954" dataCellStyle="Normal 2 2 2"/>
    <tableColumn id="45" xr3:uid="{D5CD6C11-BD37-4C6C-90A0-FBD3653AB658}" name="2058-59" dataDxfId="953" dataCellStyle="Normal 2 2 2"/>
    <tableColumn id="46" xr3:uid="{E687AD11-70A6-4D0E-B7CE-87653F567F5C}" name="2059-60" dataDxfId="952" dataCellStyle="Normal 2 2 2"/>
    <tableColumn id="47" xr3:uid="{135A47C4-2C75-4C02-909C-3E1148F33E23}" name="2060-61" dataDxfId="951" dataCellStyle="Normal 2 2 2"/>
    <tableColumn id="48" xr3:uid="{A2C8525C-C50C-424D-AF8B-5C5A36546908}" name="2061-62" dataDxfId="950" dataCellStyle="Normal 2 2 2"/>
    <tableColumn id="49" xr3:uid="{A63BCB06-D7E4-458C-B604-89595D1A3486}" name="2062-63" dataDxfId="949" dataCellStyle="Normal 2 2 2"/>
    <tableColumn id="50" xr3:uid="{F2EDC229-5F6F-4B2D-BA94-FE0F17E1AD04}" name="2063-64" dataDxfId="948" dataCellStyle="Normal 2 2 2"/>
    <tableColumn id="51" xr3:uid="{CB3F3455-E05A-475A-A0C5-E9B95D13822B}" name="2064-65" dataDxfId="947" dataCellStyle="Normal 2 2 2"/>
    <tableColumn id="52" xr3:uid="{0422CC09-8EB2-4118-8D63-85D37EB514C2}" name="2065-66" dataDxfId="946" dataCellStyle="Normal 2 2 2"/>
    <tableColumn id="53" xr3:uid="{F9F47863-1002-4961-916B-9938F1C23A27}" name="2066-67" dataDxfId="945" dataCellStyle="Normal 2 2 2"/>
    <tableColumn id="54" xr3:uid="{CA7AB6C6-EE3E-46D6-BC93-7969611682ED}" name="2067-68" dataDxfId="944" dataCellStyle="Normal 2 2 2"/>
    <tableColumn id="55" xr3:uid="{D778F439-0606-4DD9-A656-60B93A3E5D9A}" name="2068-69" dataDxfId="943" dataCellStyle="Normal 2 2 2"/>
    <tableColumn id="56" xr3:uid="{A0A35053-17A6-4238-95ED-AF980B106105}" name="2069-70" dataDxfId="942" dataCellStyle="Normal 2 2 2"/>
    <tableColumn id="57" xr3:uid="{301A7123-1A58-4A79-9DE6-9B1BA0F8B027}" name="2070-71" dataDxfId="941" dataCellStyle="Normal 2 2 2"/>
    <tableColumn id="58" xr3:uid="{3DC1570D-25F7-49FA-89AC-533C128D43AF}" name="2071-72" dataDxfId="940" dataCellStyle="Normal 2 2 2"/>
    <tableColumn id="59" xr3:uid="{CDEE171C-DE31-4092-9AEA-3EDC16824BE8}" name="2072-73" dataDxfId="939" dataCellStyle="Normal 2 2 2"/>
    <tableColumn id="60" xr3:uid="{D95C2969-D013-43E2-89EB-553A06E5717B}" name="2073-74" dataDxfId="938" dataCellStyle="Normal 2 2 2"/>
    <tableColumn id="61" xr3:uid="{D00996B4-BFB7-4633-8902-B0C8283BC57D}" name="2074-75" dataDxfId="937" dataCellStyle="Normal 2 2 2"/>
    <tableColumn id="62" xr3:uid="{9562AEB2-3314-4EF7-A2A7-A385866A7E51}" name="2075-76" dataDxfId="936" dataCellStyle="Normal 2 2 2"/>
    <tableColumn id="63" xr3:uid="{0F2DD142-8134-4616-B474-2DFEF1E4B0A7}" name="2076-77" dataDxfId="935" dataCellStyle="Normal 2 2 2"/>
    <tableColumn id="64" xr3:uid="{63615276-0302-404D-9BF4-10CE2DC424DB}" name="2077-78" dataDxfId="934" dataCellStyle="Normal 2 2 2"/>
    <tableColumn id="65" xr3:uid="{1A4C088E-6566-4597-B394-A4374D6B2DF7}" name="2078-79" dataDxfId="933" dataCellStyle="Normal 2 2 2"/>
    <tableColumn id="66" xr3:uid="{6A9049F0-0BFB-4840-8960-B4027E9304A2}" name="2079-80" dataDxfId="932" dataCellStyle="Normal 2 2 2"/>
    <tableColumn id="67" xr3:uid="{4210B8F3-5773-4114-B045-F1FF065C2D65}" name="2080-81" dataDxfId="931" dataCellStyle="Normal 2 2 2"/>
    <tableColumn id="68" xr3:uid="{DE61044C-6C12-4DE4-82D4-FFEE625129D8}" name="2081-82" dataDxfId="930" dataCellStyle="Normal 2 2 2"/>
    <tableColumn id="69" xr3:uid="{E2FDDC61-9BF3-4767-ACFC-65A7916ECCF5}" name="2082-83" dataDxfId="929" dataCellStyle="Normal 2 2 2"/>
    <tableColumn id="70" xr3:uid="{8ECDEBF9-8500-43EE-8386-AF087A8CDCAB}" name="2083-84" dataDxfId="928" dataCellStyle="Normal 2 2 2"/>
    <tableColumn id="71" xr3:uid="{1C716B47-4BA2-4AD3-9A32-FE22D3ED2231}" name="2084-85" dataDxfId="927" dataCellStyle="Normal 2 2 2"/>
    <tableColumn id="72" xr3:uid="{F50AAD7E-F5B0-4383-B537-0C8211FD8A2C}" name="2085-86" dataDxfId="926" dataCellStyle="Normal 2 2 2"/>
    <tableColumn id="73" xr3:uid="{7B7D1CF0-06CE-4793-99C4-B0DFA83E5BFB}" name="2086-87" dataDxfId="925" dataCellStyle="Normal 2 2 2"/>
    <tableColumn id="74" xr3:uid="{104E0969-3395-4D0C-A6FC-774DDB79421A}" name="2087-88" dataDxfId="924" dataCellStyle="Normal 2 2 2"/>
    <tableColumn id="75" xr3:uid="{51F8A862-AA79-4F02-8E7C-C86DB157EF64}" name="2088-89" dataDxfId="923" dataCellStyle="Normal 2 2 2"/>
    <tableColumn id="76" xr3:uid="{820B8954-1B10-4EAB-845A-93194EF1A7B7}" name="2089-90" dataDxfId="922" dataCellStyle="Normal 2 2 2"/>
    <tableColumn id="77" xr3:uid="{A7FF3B95-330C-4320-811C-7987B6EF673F}" name="2090-91" dataDxfId="921" dataCellStyle="Normal 2 2 2"/>
    <tableColumn id="78" xr3:uid="{05B012FB-12F6-4A13-B8AC-113CEC96621A}" name="2091-92" dataDxfId="920" dataCellStyle="Normal 2 2 2"/>
    <tableColumn id="79" xr3:uid="{48704F80-A9D3-4C15-91F5-22850781E053}" name="2092-93" dataDxfId="919" dataCellStyle="Normal 2 2 2"/>
    <tableColumn id="80" xr3:uid="{6C82FFB0-F94D-419E-82A1-B04CA5E56CBF}" name="2093-94" dataDxfId="918" dataCellStyle="Normal 2 2 2"/>
    <tableColumn id="81" xr3:uid="{F726E618-53F0-4473-AA67-75CFF27DD447}" name="2094-95" dataDxfId="917" dataCellStyle="Normal 2 2 2"/>
    <tableColumn id="82" xr3:uid="{92122145-A605-4A2F-9AC4-9E9757574FF6}" name="2095-96" dataDxfId="916" dataCellStyle="Normal 2 2 2"/>
    <tableColumn id="83" xr3:uid="{D6E570A3-8648-4AB2-B2FE-25729DC2EC1D}" name="2096-97" dataDxfId="915" dataCellStyle="Normal 2 2 2"/>
    <tableColumn id="84" xr3:uid="{17A03279-999C-4FE6-AB14-2351B9D15910}" name="2097-98" dataDxfId="914" dataCellStyle="Normal 2 2 2"/>
    <tableColumn id="85" xr3:uid="{8A9898FF-1A1D-4EA8-A892-1F1227D1EFC3}" name="2098-99" dataDxfId="913" dataCellStyle="Normal 2 2 2"/>
    <tableColumn id="86" xr3:uid="{5C46E1EF-50B1-46C9-AFCE-5E3030EFC569}" name="2099-100" dataDxfId="912" dataCellStyle="Normal 2 2 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4764E7D-42D1-462A-BCD5-15A1C3DD6F9C}" name="TBL3f_DYCPFP_15_BWXBRS" displayName="TBL3f_DYCPFP_15_BWXBRS" ref="B302:CI362" totalsRowShown="0" headerRowDxfId="911" dataDxfId="910" tableBorderDxfId="909" headerRowCellStyle="Normal 2 2 2" dataCellStyle="Normal 2 2 2">
  <autoFilter ref="B302:CI362" xr:uid="{32E764BE-BE3E-4B03-A38E-34B0BA9403F0}"/>
  <tableColumns count="86">
    <tableColumn id="1" xr3:uid="{9271163E-1F8A-45D4-BC7B-1B58B4321CA2}" name="WRMP24 reference" dataDxfId="908" dataCellStyle="Normal 2 2 2"/>
    <tableColumn id="2" xr3:uid="{0723E7C4-786A-4027-AC66-21BE3A692BC7}" name="Component" dataDxfId="907" dataCellStyle="Normal 2 2 2"/>
    <tableColumn id="3" xr3:uid="{DF0DFF1B-184A-4AAC-8AC2-D424CDAF68C0}" name="Derivation" dataDxfId="906" dataCellStyle="Normal 2 2 2"/>
    <tableColumn id="4" xr3:uid="{262577D8-607D-4E5F-B030-3422E09B0077}" name="Unit" dataDxfId="905" dataCellStyle="Normal 2 2 2"/>
    <tableColumn id="5" xr3:uid="{FC898F25-1F3B-4660-BB5B-56A4CA27BBAF}" name="Decimal places" dataDxfId="904" dataCellStyle="Normal 2 2 2"/>
    <tableColumn id="6" xr3:uid="{EFC8B03A-76C2-4244-A6C3-3182844A034D}" name="2019-20" dataDxfId="903" dataCellStyle="Normal 2 2 2"/>
    <tableColumn id="7" xr3:uid="{41F6810C-A5E7-4F84-9B87-E322ED166E3D}" name="2020-21" dataDxfId="902" dataCellStyle="Normal 2 2 2"/>
    <tableColumn id="8" xr3:uid="{472B4990-E76E-465A-AA2C-E65ADA9786E4}" name="2021-22" dataDxfId="901" dataCellStyle="Normal 2 2 2"/>
    <tableColumn id="9" xr3:uid="{CB3E043D-4C75-4112-855A-235D9880F751}" name="2022-23" dataDxfId="900" dataCellStyle="Normal 2 2 2"/>
    <tableColumn id="10" xr3:uid="{E6B8C3B8-2F75-4D59-98C2-4740BF8087DC}" name="2023-24" dataDxfId="899" dataCellStyle="Normal 2 2 2"/>
    <tableColumn id="11" xr3:uid="{B48572DB-4A66-40B1-B8FF-DE05A86ADF6D}" name="2024-25" dataDxfId="898" dataCellStyle="Normal 2 2 2"/>
    <tableColumn id="12" xr3:uid="{9836289A-85EB-474F-9462-80440BB1630D}" name="2025-26" dataDxfId="897" dataCellStyle="Normal 2 2 2"/>
    <tableColumn id="13" xr3:uid="{A42E762B-A000-4B2F-86EF-F4194A7A80B8}" name="2026-27" dataDxfId="896" dataCellStyle="Normal 2 2 2"/>
    <tableColumn id="14" xr3:uid="{A7379F48-3E43-4BBD-9D95-9009E65C096F}" name="2027-28" dataDxfId="895" dataCellStyle="Normal 2 2 2"/>
    <tableColumn id="15" xr3:uid="{3B6BDCF9-422D-408F-B2F3-B1A33A0F0A90}" name="2028-29" dataDxfId="894" dataCellStyle="Normal 2 2 2"/>
    <tableColumn id="16" xr3:uid="{F8706BD2-3763-41F3-9C3E-07E097D34121}" name="2029-30" dataDxfId="893" dataCellStyle="Normal 2 2 2"/>
    <tableColumn id="17" xr3:uid="{E092F92F-752E-4484-B3E7-E2C346C9649B}" name="2030-31" dataDxfId="892" dataCellStyle="Normal 2 2 2"/>
    <tableColumn id="18" xr3:uid="{C2C8E527-3ED3-47C3-AC95-510798676870}" name="2031-32" dataDxfId="891" dataCellStyle="Normal 2 2 2"/>
    <tableColumn id="19" xr3:uid="{4BEF09BB-2535-41B3-8EAD-5A394983E46B}" name="2032-33" dataDxfId="890" dataCellStyle="Normal 2 2 2"/>
    <tableColumn id="20" xr3:uid="{85C59291-D3CE-4347-A024-935EF2CCD130}" name="2033-34" dataDxfId="889" dataCellStyle="Normal 2 2 2"/>
    <tableColumn id="21" xr3:uid="{4E45431C-DE8A-4096-AD12-4F6984ACE3F8}" name="2034-35" dataDxfId="888" dataCellStyle="Normal 2 2 2"/>
    <tableColumn id="22" xr3:uid="{F7F3FFA7-B08D-4A1F-B37B-B853B2823590}" name="2035-36" dataDxfId="887" dataCellStyle="Normal 2 2 2"/>
    <tableColumn id="23" xr3:uid="{9964C08E-C596-4BD9-B417-0469FE22A5A1}" name="2036-37" dataDxfId="886" dataCellStyle="Normal 2 2 2"/>
    <tableColumn id="24" xr3:uid="{60C6449C-D8F9-435D-A9EF-019BE1D4B6EB}" name="2037-38" dataDxfId="885" dataCellStyle="Normal 2 2 2"/>
    <tableColumn id="25" xr3:uid="{7D0C61E8-80F3-4B35-990F-2F54531E97CB}" name="2038-39" dataDxfId="884" dataCellStyle="Normal 2 2 2"/>
    <tableColumn id="26" xr3:uid="{D64ABBBD-5FBD-438E-A9FC-18433D905265}" name="2039-40" dataDxfId="883" dataCellStyle="Normal 2 2 2"/>
    <tableColumn id="27" xr3:uid="{C488CED7-7982-446A-89B3-91E6E608DE3B}" name="2040-41" dataDxfId="882" dataCellStyle="Normal 2 2 2"/>
    <tableColumn id="28" xr3:uid="{1CFE85C7-8EF7-40F4-8F4F-0547C192F7CB}" name="2041-42" dataDxfId="881" dataCellStyle="Normal 2 2 2"/>
    <tableColumn id="29" xr3:uid="{F871007F-FF6F-48C9-A08D-DE54EC9A0523}" name="2042-43" dataDxfId="880" dataCellStyle="Normal 2 2 2"/>
    <tableColumn id="30" xr3:uid="{B354E905-464E-4A98-AFCD-85C1F622246F}" name="2043-44" dataDxfId="879" dataCellStyle="Normal 2 2 2"/>
    <tableColumn id="31" xr3:uid="{70686071-F1C3-4320-89C3-7FBC26A237F0}" name="2044-45" dataDxfId="878" dataCellStyle="Normal 2 2 2"/>
    <tableColumn id="32" xr3:uid="{B969185F-4321-4BEE-860C-A4EFD096B688}" name="2045-46" dataDxfId="877" dataCellStyle="Normal 2 2 2"/>
    <tableColumn id="33" xr3:uid="{0B4FEDE6-73EB-403D-8B7D-7E4712C03B71}" name="2046-47" dataDxfId="876" dataCellStyle="Normal 2 2 2"/>
    <tableColumn id="34" xr3:uid="{F0D5796E-038C-4E15-87D3-CE74E76A13A5}" name="2047-48" dataDxfId="875" dataCellStyle="Normal 2 2 2"/>
    <tableColumn id="35" xr3:uid="{6C00E384-9778-4CAE-AD7C-CFC12B423486}" name="2048-49" dataDxfId="874" dataCellStyle="Normal 2 2 2"/>
    <tableColumn id="36" xr3:uid="{0A36FB8D-DE0D-4F0F-B9B1-50A9DFB0B4B7}" name="2049-50" dataDxfId="873" dataCellStyle="Normal 2 2 2"/>
    <tableColumn id="37" xr3:uid="{D56EC72C-4CA4-4E8E-9E9B-EB14CC99FB24}" name="2050-51" dataDxfId="872" dataCellStyle="Normal 2 2 2"/>
    <tableColumn id="38" xr3:uid="{860E2978-5AB5-4964-B9FC-64DA18143FA6}" name="2051-52" dataDxfId="871" dataCellStyle="Normal 2 2 2"/>
    <tableColumn id="39" xr3:uid="{5BD29F84-66EA-48B4-8A33-AE379D3A7C3A}" name="2052-53" dataDxfId="870" dataCellStyle="Normal 2 2 2"/>
    <tableColumn id="40" xr3:uid="{A5752922-155E-47DC-BD31-C6C14108420A}" name="2053-54" dataDxfId="869" dataCellStyle="Normal 2 2 2"/>
    <tableColumn id="41" xr3:uid="{FD4805DD-1179-4E7D-B0A7-E8AD75A2151F}" name="2054-55" dataDxfId="868" dataCellStyle="Normal 2 2 2"/>
    <tableColumn id="42" xr3:uid="{5874DC1A-669B-4357-A747-4B3D1F2A684F}" name="2055-56" dataDxfId="867" dataCellStyle="Normal 2 2 2"/>
    <tableColumn id="43" xr3:uid="{C7E74D79-2A49-405B-8287-F747FA2D702A}" name="2056-57" dataDxfId="866" dataCellStyle="Normal 2 2 2"/>
    <tableColumn id="44" xr3:uid="{98A8509B-FEA3-408D-B6E3-773972CF8CAA}" name="2057-58" dataDxfId="865" dataCellStyle="Normal 2 2 2"/>
    <tableColumn id="45" xr3:uid="{7143B92C-2723-4333-92AC-6E5D06E16CA3}" name="2058-59" dataDxfId="864" dataCellStyle="Normal 2 2 2"/>
    <tableColumn id="46" xr3:uid="{22AFF6FE-5CB6-4B48-B60A-65231EB61A72}" name="2059-60" dataDxfId="863" dataCellStyle="Normal 2 2 2"/>
    <tableColumn id="47" xr3:uid="{6D7BEE8E-AAED-4CB8-BD3B-F81D6A0380EA}" name="2060-61" dataDxfId="862" dataCellStyle="Normal 2 2 2"/>
    <tableColumn id="48" xr3:uid="{528C7371-E6DC-455A-B3B7-60DFE26AB05A}" name="2061-62" dataDxfId="861" dataCellStyle="Normal 2 2 2"/>
    <tableColumn id="49" xr3:uid="{8DA9A6E0-6096-4E83-B854-EA95F3DA28BA}" name="2062-63" dataDxfId="860" dataCellStyle="Normal 2 2 2"/>
    <tableColumn id="50" xr3:uid="{E424E7AC-68F1-41BF-BE83-FB937FF90949}" name="2063-64" dataDxfId="859" dataCellStyle="Normal 2 2 2"/>
    <tableColumn id="51" xr3:uid="{7B71640A-C475-4CCF-B73D-CA7C1605CADE}" name="2064-65" dataDxfId="858" dataCellStyle="Normal 2 2 2"/>
    <tableColumn id="52" xr3:uid="{8C644721-E9C8-4B7E-A466-752C201835C5}" name="2065-66" dataDxfId="857" dataCellStyle="Normal 2 2 2"/>
    <tableColumn id="53" xr3:uid="{C49ED2F8-6D2D-4361-8B81-8523476AD466}" name="2066-67" dataDxfId="856" dataCellStyle="Normal 2 2 2"/>
    <tableColumn id="54" xr3:uid="{BBF7523A-8A2F-4986-B8AD-956E02814BF2}" name="2067-68" dataDxfId="855" dataCellStyle="Normal 2 2 2"/>
    <tableColumn id="55" xr3:uid="{AD695EA3-4B8F-4715-82A7-39D86C4506D1}" name="2068-69" dataDxfId="854" dataCellStyle="Normal 2 2 2"/>
    <tableColumn id="56" xr3:uid="{33DA48D5-3D86-4012-A98F-7FBD3D2E3906}" name="2069-70" dataDxfId="853" dataCellStyle="Normal 2 2 2"/>
    <tableColumn id="57" xr3:uid="{1307A66A-3F95-4D57-AAB5-6A6D402DF1BC}" name="2070-71" dataDxfId="852" dataCellStyle="Normal 2 2 2"/>
    <tableColumn id="58" xr3:uid="{9F2E8E81-16D9-4340-8050-0331DF6686E7}" name="2071-72" dataDxfId="851" dataCellStyle="Normal 2 2 2"/>
    <tableColumn id="59" xr3:uid="{7BA60475-6330-423D-B482-8280D1726618}" name="2072-73" dataDxfId="850" dataCellStyle="Normal 2 2 2"/>
    <tableColumn id="60" xr3:uid="{D8183668-6BC7-4A33-953B-E8BD55CE1E55}" name="2073-74" dataDxfId="849" dataCellStyle="Normal 2 2 2"/>
    <tableColumn id="61" xr3:uid="{D1167F75-83D6-4CB6-94E7-D68E2C383B68}" name="2074-75" dataDxfId="848" dataCellStyle="Normal 2 2 2"/>
    <tableColumn id="62" xr3:uid="{E21A4C51-6BCB-4BF1-A018-2B9861C5C4EE}" name="2075-76" dataDxfId="847" dataCellStyle="Normal 2 2 2"/>
    <tableColumn id="63" xr3:uid="{994102C2-E0AF-4169-8979-B23C29340066}" name="2076-77" dataDxfId="846" dataCellStyle="Normal 2 2 2"/>
    <tableColumn id="64" xr3:uid="{550978CA-9F1E-4984-8A64-7EF48A6D027B}" name="2077-78" dataDxfId="845" dataCellStyle="Normal 2 2 2"/>
    <tableColumn id="65" xr3:uid="{DCB1D5A5-4BC9-431C-9F5D-2114E0CF2AEC}" name="2078-79" dataDxfId="844" dataCellStyle="Normal 2 2 2"/>
    <tableColumn id="66" xr3:uid="{2E778AE3-E0A3-4437-B83E-9C9573793B08}" name="2079-80" dataDxfId="843" dataCellStyle="Normal 2 2 2"/>
    <tableColumn id="67" xr3:uid="{650E64E7-419E-401B-9F9F-F00B0339BFC3}" name="2080-81" dataDxfId="842" dataCellStyle="Normal 2 2 2"/>
    <tableColumn id="68" xr3:uid="{3C8AD460-279C-4C45-9ADC-9A239BCB3615}" name="2081-82" dataDxfId="841" dataCellStyle="Normal 2 2 2"/>
    <tableColumn id="69" xr3:uid="{3CA8B730-05B8-4A99-B732-80C7C9434C35}" name="2082-83" dataDxfId="840" dataCellStyle="Normal 2 2 2"/>
    <tableColumn id="70" xr3:uid="{05884C76-B6E5-4333-A4A2-B9B4FEBF5F83}" name="2083-84" dataDxfId="839" dataCellStyle="Normal 2 2 2"/>
    <tableColumn id="71" xr3:uid="{34126734-9889-4B84-ABB1-443212072A3E}" name="2084-85" dataDxfId="838" dataCellStyle="Normal 2 2 2"/>
    <tableColumn id="72" xr3:uid="{A1C41B00-790C-4ABE-9F15-220B8DF28B21}" name="2085-86" dataDxfId="837" dataCellStyle="Normal 2 2 2"/>
    <tableColumn id="73" xr3:uid="{F75D30D1-D8D2-469F-88A3-83E68C3F9C95}" name="2086-87" dataDxfId="836" dataCellStyle="Normal 2 2 2"/>
    <tableColumn id="74" xr3:uid="{8F108642-769B-48DD-9ED7-B4327A3439BB}" name="2087-88" dataDxfId="835" dataCellStyle="Normal 2 2 2"/>
    <tableColumn id="75" xr3:uid="{5095D566-A84B-46EF-B2EC-9C5727A232D3}" name="2088-89" dataDxfId="834" dataCellStyle="Normal 2 2 2"/>
    <tableColumn id="76" xr3:uid="{D2AA422A-7872-40D8-8694-54FABF2B6ACA}" name="2089-90" dataDxfId="833" dataCellStyle="Normal 2 2 2"/>
    <tableColumn id="77" xr3:uid="{1E03742A-B001-452C-A6D5-6FD5FEA3F64F}" name="2090-91" dataDxfId="832" dataCellStyle="Normal 2 2 2"/>
    <tableColumn id="78" xr3:uid="{7E891331-D8A2-4C28-BE25-8F1ADCEECDBF}" name="2091-92" dataDxfId="831" dataCellStyle="Normal 2 2 2"/>
    <tableColumn id="79" xr3:uid="{B9216865-E38E-4317-A9E4-3BD8EE4CD34A}" name="2092-93" dataDxfId="830" dataCellStyle="Normal 2 2 2"/>
    <tableColumn id="80" xr3:uid="{AB8EE3A6-4DB8-48AE-95F3-C8F8ADF80B88}" name="2093-94" dataDxfId="829" dataCellStyle="Normal 2 2 2"/>
    <tableColumn id="81" xr3:uid="{6A2205FD-8000-44E0-B98B-345CE1940707}" name="2094-95" dataDxfId="828" dataCellStyle="Normal 2 2 2"/>
    <tableColumn id="82" xr3:uid="{3BC77A1F-3131-4A6D-BA5A-E2A81DB7CA92}" name="2095-96" dataDxfId="827" dataCellStyle="Normal 2 2 2"/>
    <tableColumn id="83" xr3:uid="{2105CB38-BFBE-45E2-8B33-0B7CE20BE5B5}" name="2096-97" dataDxfId="826" dataCellStyle="Normal 2 2 2"/>
    <tableColumn id="84" xr3:uid="{FD830299-2EAC-4730-9B38-9C74FC4792E1}" name="2097-98" dataDxfId="825" dataCellStyle="Normal 2 2 2"/>
    <tableColumn id="85" xr3:uid="{9EC25093-B60E-49B7-9E2D-AC578AA123FF}" name="2098-99" dataDxfId="824" dataCellStyle="Normal 2 2 2"/>
    <tableColumn id="86" xr3:uid="{B7684A6F-7201-4915-9E90-075918627AD9}" name="2099-100" dataDxfId="823"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AZ143" totalsRowShown="0" headerRowDxfId="822" dataDxfId="820" headerRowBorderDxfId="821" tableBorderDxfId="819">
  <autoFilter ref="B5:AZ143" xr:uid="{00000000-0009-0000-0100-000012000000}"/>
  <tableColumns count="51">
    <tableColumn id="42" xr3:uid="{00000000-0010-0000-1100-00002A000000}" name="WRMP24 Reference" dataDxfId="818">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817"/>
    <tableColumn id="2" xr3:uid="{00000000-0010-0000-1100-000002000000}" name="Option Name" dataDxfId="816"/>
    <tableColumn id="3" xr3:uid="{00000000-0010-0000-1100-000003000000}" name="Option type_x000a_Defined List" dataDxfId="815"/>
    <tableColumn id="4" xr3:uid="{00000000-0010-0000-1100-000004000000}" name="Option Group" dataDxfId="814">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813"/>
    <tableColumn id="6" xr3:uid="{00000000-0010-0000-1100-000006000000}" name="Option status_x000a_Defined" dataDxfId="812"/>
    <tableColumn id="7" xr3:uid="{00000000-0010-0000-1100-000007000000}" name="Third Party Option Flag_x000a_Y/N" dataDxfId="811"/>
    <tableColumn id="19" xr3:uid="{00000000-0010-0000-1100-000013000000}" name="Partnership Option TOTEX - all parties _x000a_(where applicable)_x000a__x000a_" dataDxfId="810"/>
    <tableColumn id="8" xr3:uid="{00000000-0010-0000-1100-000008000000}" name="Interdependent Options_x000a_(State one or more option IDs)" dataDxfId="809"/>
    <tableColumn id="9" xr3:uid="{00000000-0010-0000-1100-000009000000}" name="Preferred (Most Likely) Programme Y/N" dataDxfId="808"/>
    <tableColumn id="53" xr3:uid="{A0005DEE-892E-4007-944B-E306DF203F2D}" name="Least Cost Programme Y/N" dataDxfId="807"/>
    <tableColumn id="30" xr3:uid="{00000000-0010-0000-1100-00001E000000}" name="Ofwat Core Programme Y/N" dataDxfId="806"/>
    <tableColumn id="10" xr3:uid="{00000000-0010-0000-1100-00000A000000}" name="Alternative Programme 1_x000a_Y/N" dataDxfId="805"/>
    <tableColumn id="11" xr3:uid="{00000000-0010-0000-1100-00000B000000}" name="Alternative Programme 2_x000a_Y/N" dataDxfId="804"/>
    <tableColumn id="12" xr3:uid="{00000000-0010-0000-1100-00000C000000}" name="Alternative Programme 3_x000a_Y/N" dataDxfId="803"/>
    <tableColumn id="13" xr3:uid="{00000000-0010-0000-1100-00000D000000}" name="Reason for option rejection" dataDxfId="802"/>
    <tableColumn id="14" xr3:uid="{00000000-0010-0000-1100-00000E000000}" name="WRZ transfer is from_x000a_Defined List" dataDxfId="801"/>
    <tableColumn id="15" xr3:uid="{00000000-0010-0000-1100-00000F000000}" name="WRZ transfer is to_x000a_Defined List" dataDxfId="800"/>
    <tableColumn id="16" xr3:uid="{00000000-0010-0000-1100-000010000000}" name="Gains in WAFU / Savings in Demand on full implementation (Ml/d)" dataDxfId="799"/>
    <tableColumn id="17" xr3:uid="{00000000-0010-0000-1100-000011000000}" name="Option benefits lead-in time (Years)" dataDxfId="798"/>
    <tableColumn id="18" xr3:uid="{00000000-0010-0000-1100-000012000000}" name="First year of option use in preferred programme (year)_x000a_(Preferred programme (most likely) only)" dataDxfId="797"/>
    <tableColumn id="20" xr3:uid="{00000000-0010-0000-1100-000014000000}" name="Totex expenditure prior to option in use (£m)" dataDxfId="796"/>
    <tableColumn id="21" xr3:uid="{00000000-0010-0000-1100-000015000000}" name="Totex expenditure per annum post option in use under maximum utilisation scenario (£m)" dataDxfId="795"/>
    <tableColumn id="22" xr3:uid="{00000000-0010-0000-1100-000016000000}" name="Average totex expenditure per annum post option in use (£m)" dataDxfId="794"/>
    <tableColumn id="23" xr3:uid="{00000000-0010-0000-1100-000017000000}" name="Average option utilisation used for average totex expenditure and operational carbon forecasts (Ml/d)" dataDxfId="793"/>
    <tableColumn id="24" xr3:uid="{00000000-0010-0000-1100-000018000000}" name="Maximum option utilisation across the planning period (Ml/d)" dataDxfId="792"/>
    <tableColumn id="25" xr3:uid="{00000000-0010-0000-1100-000019000000}" name="Embodied carbon emissions_x000a_(tCO2 equivalent)" dataDxfId="791"/>
    <tableColumn id="26" xr3:uid="{00000000-0010-0000-1100-00001A000000}" name="Operational carbon emissions under maximum utilisation scenario_x000a_(tCO2 equivalent per annum)" dataDxfId="790"/>
    <tableColumn id="27" xr3:uid="{00000000-0010-0000-1100-00001B000000}" name="Average operational carbon emissions_x000a_(tCO2 equivalent per annum)" dataDxfId="789"/>
    <tableColumn id="31" xr3:uid="{00000000-0010-0000-1100-00001F000000}" name="Total Carbon Cost (£M)" dataDxfId="788"/>
    <tableColumn id="28" xr3:uid="{00000000-0010-0000-1100-00001C000000}" name="Average Incremental Cost (AIC)_x000a_(p/m3)" dataDxfId="787"/>
    <tableColumn id="29" xr3:uid="{00000000-0010-0000-1100-00001D000000}" name="Total NPC (£m)" dataDxfId="786"/>
    <tableColumn id="32" xr3:uid="{00000000-0010-0000-1100-000020000000}" name="Natural capital impact of option_x000a_(define units)" dataDxfId="785"/>
    <tableColumn id="33" xr3:uid="{00000000-0010-0000-1100-000021000000}" name="B&amp;H_x000a_Non-monetised metric where applicable (define units)" dataDxfId="784"/>
    <tableColumn id="46" xr3:uid="{4A8C01AF-D108-482F-8D8F-1EEC2C838BF6}" name="B&amp;H_x000a_Monetised metric where applicable (£M)" dataDxfId="783"/>
    <tableColumn id="34" xr3:uid="{00000000-0010-0000-1100-000022000000}" name="CR_x000a_Non-monetised metric where applicable (define units)" dataDxfId="782"/>
    <tableColumn id="47" xr3:uid="{77099D82-1AA7-4127-AA50-01D215569141}" name="CR_x000a_Monetised metric where applicable (£M)" dataDxfId="781"/>
    <tableColumn id="35" xr3:uid="{00000000-0010-0000-1100-000023000000}" name="NHR_x000a_Non-monetised metric where applicable (define units)" dataDxfId="780"/>
    <tableColumn id="48" xr3:uid="{08427DD3-AD43-4E16-9DE1-5807D4B8096C}" name="NHR_x000a_Monetised metric where applicable (£M)" dataDxfId="779"/>
    <tableColumn id="36" xr3:uid="{00000000-0010-0000-1100-000024000000}" name="WP_x000a_Non-monetised metric where applicable (define units)" dataDxfId="778"/>
    <tableColumn id="49" xr3:uid="{E59A5819-9EBC-499D-AD22-55212115671F}" name="WP_x000a_Monetised metric where applicable (£M)" dataDxfId="777"/>
    <tableColumn id="37" xr3:uid="{00000000-0010-0000-1100-000025000000}" name="WReg_x000a_Non-monetised metric where applicable (define units)" dataDxfId="776"/>
    <tableColumn id="50" xr3:uid="{49D26A71-CE50-4764-89E4-CC423CBAA87F}" name="WReg_x000a_Monetised metric where applicable (£M)" dataDxfId="775"/>
    <tableColumn id="38" xr3:uid="{00000000-0010-0000-1100-000026000000}" name="R&amp;T_x000a_Non-monetised metric where applicable (define units)" dataDxfId="774"/>
    <tableColumn id="51" xr3:uid="{DCBCC0E7-3EFA-4EBD-A954-5A07475E6D8B}" name="R&amp;T_x000a_Monetised metric where applicable (£M)" dataDxfId="773"/>
    <tableColumn id="39" xr3:uid="{00000000-0010-0000-1100-000027000000}" name="R&amp;T_x000a_Non-monetised metric where applicable (define units)2" dataDxfId="772"/>
    <tableColumn id="40" xr3:uid="{00000000-0010-0000-1100-000028000000}" name="R&amp;T_x000a_Monetised metric where applicable (£M)3" dataDxfId="771"/>
    <tableColumn id="41" xr3:uid="{00000000-0010-0000-1100-000029000000}" name="SNR+" dataDxfId="770"/>
    <tableColumn id="45" xr3:uid="{1D63ED90-D625-4445-B507-FB8396358EFA}" name="SNR-" dataDxfId="769"/>
    <tableColumn id="52" xr3:uid="{EEAF03C2-18AD-41EE-92BC-16E82CC84984}" name="WAT+" dataDxfId="76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BT41" totalsRowShown="0" headerRowDxfId="767" dataDxfId="765" headerRowBorderDxfId="766" tableBorderDxfId="764">
  <autoFilter ref="B5:BT41" xr:uid="{00000000-0009-0000-0100-000013000000}"/>
  <tableColumns count="71">
    <tableColumn id="1" xr3:uid="{00000000-0010-0000-1200-000001000000}" name="WRMP24 Reference" dataDxfId="763">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2" xr3:uid="{00000000-0010-0000-1200-000002000000}" name="Option name" dataDxfId="762"/>
    <tableColumn id="3" xr3:uid="{00000000-0010-0000-1200-000003000000}" name="Option ID" dataDxfId="761"/>
    <tableColumn id="4" xr3:uid="{00000000-0010-0000-1200-000004000000}" name="Option Type (defined list)" dataDxfId="760"/>
    <tableColumn id="5" xr3:uid="{00000000-0010-0000-1200-000005000000}" name="Option Group" dataDxfId="759">
      <calculatedColumnFormula>VLOOKUP(TBL4_OptApp[[#This Row],[Option type
Defined List]],'Option Typs_Grps'!B$2:C$47, 2, FALSE)</calculatedColumnFormula>
    </tableColumn>
    <tableColumn id="6" xr3:uid="{00000000-0010-0000-1200-000006000000}" name="Sub-option (Y/N)" dataDxfId="758"/>
    <tableColumn id="7" xr3:uid="{00000000-0010-0000-1200-000007000000}" name="Preferred (most likely), Least Cost, Ofwat Core or Alternative Programme" dataDxfId="757"/>
    <tableColumn id="8" xr3:uid="{00000000-0010-0000-1200-000008000000}" name="WRZ (defined list)" dataDxfId="756"/>
    <tableColumn id="91" xr3:uid="{00000000-0010-0000-1200-00005B000000}" name="Unit" dataDxfId="755"/>
    <tableColumn id="90" xr3:uid="{00000000-0010-0000-1200-00005A000000}" name="Decimal places" dataDxfId="754"/>
    <tableColumn id="89" xr3:uid="{00000000-0010-0000-1200-000059000000}" name="2019-20" dataDxfId="753"/>
    <tableColumn id="87" xr3:uid="{00000000-0010-0000-1200-000057000000}" name="2020-21" dataDxfId="752"/>
    <tableColumn id="88" xr3:uid="{00000000-0010-0000-1200-000058000000}" name="2021-22" dataDxfId="751"/>
    <tableColumn id="9" xr3:uid="{00000000-0010-0000-1200-000009000000}" name="2022-23" dataDxfId="750"/>
    <tableColumn id="10" xr3:uid="{00000000-0010-0000-1200-00000A000000}" name="2023-24" dataDxfId="749"/>
    <tableColumn id="11" xr3:uid="{00000000-0010-0000-1200-00000B000000}" name="2024-25" dataDxfId="748"/>
    <tableColumn id="12" xr3:uid="{00000000-0010-0000-1200-00000C000000}" name="2025-26" dataDxfId="747"/>
    <tableColumn id="13" xr3:uid="{00000000-0010-0000-1200-00000D000000}" name="2026-27" dataDxfId="746"/>
    <tableColumn id="14" xr3:uid="{00000000-0010-0000-1200-00000E000000}" name="2027-28" dataDxfId="745"/>
    <tableColumn id="15" xr3:uid="{00000000-0010-0000-1200-00000F000000}" name="2028-29" dataDxfId="744"/>
    <tableColumn id="16" xr3:uid="{00000000-0010-0000-1200-000010000000}" name="2029-30" dataDxfId="743"/>
    <tableColumn id="17" xr3:uid="{00000000-0010-0000-1200-000011000000}" name="2030-31" dataDxfId="742"/>
    <tableColumn id="18" xr3:uid="{00000000-0010-0000-1200-000012000000}" name="2031-32" dataDxfId="741"/>
    <tableColumn id="19" xr3:uid="{00000000-0010-0000-1200-000013000000}" name="2032-33" dataDxfId="740"/>
    <tableColumn id="20" xr3:uid="{00000000-0010-0000-1200-000014000000}" name="2033-34" dataDxfId="739"/>
    <tableColumn id="21" xr3:uid="{00000000-0010-0000-1200-000015000000}" name="2034-35" dataDxfId="738"/>
    <tableColumn id="22" xr3:uid="{00000000-0010-0000-1200-000016000000}" name="2035-36" dataDxfId="737"/>
    <tableColumn id="23" xr3:uid="{00000000-0010-0000-1200-000017000000}" name="2036-37" dataDxfId="736"/>
    <tableColumn id="24" xr3:uid="{00000000-0010-0000-1200-000018000000}" name="2037-38" dataDxfId="735"/>
    <tableColumn id="25" xr3:uid="{00000000-0010-0000-1200-000019000000}" name="2038-39" dataDxfId="734"/>
    <tableColumn id="26" xr3:uid="{00000000-0010-0000-1200-00001A000000}" name="2039-40" dataDxfId="733"/>
    <tableColumn id="27" xr3:uid="{00000000-0010-0000-1200-00001B000000}" name="2040-41" dataDxfId="732"/>
    <tableColumn id="28" xr3:uid="{00000000-0010-0000-1200-00001C000000}" name="2041-42" dataDxfId="731"/>
    <tableColumn id="29" xr3:uid="{00000000-0010-0000-1200-00001D000000}" name="2042-43" dataDxfId="730"/>
    <tableColumn id="30" xr3:uid="{00000000-0010-0000-1200-00001E000000}" name="2043-44" dataDxfId="729"/>
    <tableColumn id="31" xr3:uid="{00000000-0010-0000-1200-00001F000000}" name="2044-45" dataDxfId="728"/>
    <tableColumn id="32" xr3:uid="{00000000-0010-0000-1200-000020000000}" name="2045-46" dataDxfId="727"/>
    <tableColumn id="33" xr3:uid="{00000000-0010-0000-1200-000021000000}" name="2046-47" dataDxfId="726"/>
    <tableColumn id="34" xr3:uid="{00000000-0010-0000-1200-000022000000}" name="2047-48" dataDxfId="725"/>
    <tableColumn id="35" xr3:uid="{00000000-0010-0000-1200-000023000000}" name="2048-49" dataDxfId="724"/>
    <tableColumn id="36" xr3:uid="{00000000-0010-0000-1200-000024000000}" name="2049-50" dataDxfId="723"/>
    <tableColumn id="37" xr3:uid="{00000000-0010-0000-1200-000025000000}" name="2050-51" dataDxfId="722"/>
    <tableColumn id="38" xr3:uid="{00000000-0010-0000-1200-000026000000}" name="2051-52" dataDxfId="721"/>
    <tableColumn id="39" xr3:uid="{00000000-0010-0000-1200-000027000000}" name="2052-53" dataDxfId="720"/>
    <tableColumn id="40" xr3:uid="{00000000-0010-0000-1200-000028000000}" name="2053-54" dataDxfId="719"/>
    <tableColumn id="41" xr3:uid="{00000000-0010-0000-1200-000029000000}" name="2054-55" dataDxfId="718"/>
    <tableColumn id="42" xr3:uid="{00000000-0010-0000-1200-00002A000000}" name="2055-56" dataDxfId="717"/>
    <tableColumn id="43" xr3:uid="{00000000-0010-0000-1200-00002B000000}" name="2056-57" dataDxfId="716"/>
    <tableColumn id="44" xr3:uid="{00000000-0010-0000-1200-00002C000000}" name="2057-58" dataDxfId="715"/>
    <tableColumn id="45" xr3:uid="{00000000-0010-0000-1200-00002D000000}" name="2058-59" dataDxfId="714"/>
    <tableColumn id="46" xr3:uid="{00000000-0010-0000-1200-00002E000000}" name="2059-60" dataDxfId="713"/>
    <tableColumn id="47" xr3:uid="{00000000-0010-0000-1200-00002F000000}" name="2060-61" dataDxfId="712"/>
    <tableColumn id="48" xr3:uid="{00000000-0010-0000-1200-000030000000}" name="2061-62" dataDxfId="711"/>
    <tableColumn id="49" xr3:uid="{00000000-0010-0000-1200-000031000000}" name="2062-63" dataDxfId="710"/>
    <tableColumn id="50" xr3:uid="{00000000-0010-0000-1200-000032000000}" name="2063-64" dataDxfId="709"/>
    <tableColumn id="51" xr3:uid="{00000000-0010-0000-1200-000033000000}" name="2064-65" dataDxfId="708"/>
    <tableColumn id="52" xr3:uid="{00000000-0010-0000-1200-000034000000}" name="2065-66" dataDxfId="707"/>
    <tableColumn id="53" xr3:uid="{00000000-0010-0000-1200-000035000000}" name="2066-67" dataDxfId="706"/>
    <tableColumn id="54" xr3:uid="{00000000-0010-0000-1200-000036000000}" name="2067-68" dataDxfId="705"/>
    <tableColumn id="55" xr3:uid="{00000000-0010-0000-1200-000037000000}" name="2068-69" dataDxfId="704"/>
    <tableColumn id="56" xr3:uid="{00000000-0010-0000-1200-000038000000}" name="2069-70" dataDxfId="703"/>
    <tableColumn id="57" xr3:uid="{00000000-0010-0000-1200-000039000000}" name="2070-71" dataDxfId="702"/>
    <tableColumn id="58" xr3:uid="{00000000-0010-0000-1200-00003A000000}" name="2071-72" dataDxfId="701"/>
    <tableColumn id="59" xr3:uid="{00000000-0010-0000-1200-00003B000000}" name="2072-73" dataDxfId="700"/>
    <tableColumn id="60" xr3:uid="{00000000-0010-0000-1200-00003C000000}" name="2073-74" dataDxfId="699"/>
    <tableColumn id="61" xr3:uid="{00000000-0010-0000-1200-00003D000000}" name="2074-75" dataDxfId="698"/>
    <tableColumn id="62" xr3:uid="{00000000-0010-0000-1200-00003E000000}" name="2075-76" dataDxfId="697"/>
    <tableColumn id="63" xr3:uid="{00000000-0010-0000-1200-00003F000000}" name="2076-77" dataDxfId="696"/>
    <tableColumn id="64" xr3:uid="{00000000-0010-0000-1200-000040000000}" name="2077-78" dataDxfId="695"/>
    <tableColumn id="65" xr3:uid="{00000000-0010-0000-1200-000041000000}" name="2078-79" dataDxfId="694"/>
    <tableColumn id="66" xr3:uid="{00000000-0010-0000-1200-000042000000}" name="2079-80" dataDxfId="69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D2CE1F4-8AE6-4686-8EEB-BAF659A678AC}" name="TBL8a_Base_Totex3339" displayName="TBL8a_Base_Totex3339" ref="B6:AA9" totalsRowShown="0" headerRowDxfId="692" dataDxfId="690" headerRowBorderDxfId="691" tableBorderDxfId="689" headerRowCellStyle="Normal 2 2 2">
  <autoFilter ref="B6:AA9" xr:uid="{ED2CE1F4-8AE6-4686-8EEB-BAF659A678AC}"/>
  <tableColumns count="26">
    <tableColumn id="1" xr3:uid="{02F7FB5A-AEFC-4CCB-85A1-238FF9BF8316}" name="Reference" dataDxfId="688"/>
    <tableColumn id="2" xr3:uid="{8829B4D0-96C6-4466-9491-6C3A62A89DC9}" name="Expenditure element" dataDxfId="687" dataCellStyle="Normal 2 2 2"/>
    <tableColumn id="3" xr3:uid="{AEF73D0B-8807-4A74-98A0-67063821E4D5}" name="Expenditure type" dataDxfId="686" dataCellStyle="Normal 2 2 2"/>
    <tableColumn id="4" xr3:uid="{6BEB5746-08E0-4A15-BCDF-84BF3AB20E3E}" name="Unit" dataDxfId="685" dataCellStyle="Normal 2 2 2"/>
    <tableColumn id="5" xr3:uid="{B005E0A6-74C1-409F-83A0-DEDC9A74DCCF}" name="Decimal places" dataDxfId="684" dataCellStyle="Normal 2 2 2"/>
    <tableColumn id="6" xr3:uid="{5620023E-962B-4ADC-A3EB-D4BD5E312246}" name="2019-20" dataDxfId="683"/>
    <tableColumn id="7" xr3:uid="{E8C3EE00-9D54-4AFF-9E67-D211E0D95B31}" name="2020-21" dataDxfId="682"/>
    <tableColumn id="8" xr3:uid="{3C1DE460-42D7-4902-B434-29266D5F84F7}" name="2021-22" dataDxfId="681"/>
    <tableColumn id="9" xr3:uid="{06A63522-B65A-49B6-8FF8-82D660107770}" name="2022-23" dataDxfId="680"/>
    <tableColumn id="10" xr3:uid="{6BB28947-2F50-4FFD-B9F5-D12AEA651AD4}" name="2023-24" dataDxfId="679"/>
    <tableColumn id="11" xr3:uid="{4E6DFB1F-2FDA-4BDE-BAB2-A5409A554540}" name="2024-25" dataDxfId="678"/>
    <tableColumn id="12" xr3:uid="{AAD48753-ABCA-4E65-8DEA-D17667332052}" name="2025-26" dataDxfId="677"/>
    <tableColumn id="13" xr3:uid="{D77E77B9-AD35-4726-9BCF-3D76F974B208}" name="2026-27" dataDxfId="676"/>
    <tableColumn id="14" xr3:uid="{4BCC529B-CC40-450A-AB5B-B9FFB5BEA506}" name="2027-28" dataDxfId="675"/>
    <tableColumn id="15" xr3:uid="{3DE6EE9C-1426-4FF5-844B-84BA3D6C294A}" name="2028-29" dataDxfId="674"/>
    <tableColumn id="16" xr3:uid="{8FCF0CDF-8F65-491C-A304-F65D8CC8523E}" name="2029-30" dataDxfId="673"/>
    <tableColumn id="17" xr3:uid="{4F9869F4-DBF2-47DF-9A3B-69BF41DA49B2}" name="2030-31 _x000a_to _x000a_2034-35" dataDxfId="672"/>
    <tableColumn id="18" xr3:uid="{FD4A1D5D-FC14-4ADA-91B8-014B28E80BEE}" name="2035-36 _x000a_to _x000a_2039-40" dataDxfId="671"/>
    <tableColumn id="19" xr3:uid="{BC35575A-B254-4734-AC5B-012D4BCB123D}" name="2040-41 _x000a_to _x000a_2044-45" dataDxfId="670"/>
    <tableColumn id="20" xr3:uid="{90164908-2822-423C-80C7-CC26FEF94093}" name="2045-46 _x000a_to _x000a_2049-50" dataDxfId="669"/>
    <tableColumn id="21" xr3:uid="{901D7FF0-770A-4A8F-8CA8-F5233FA6F598}" name="2050-51 _x000a_to _x000a_2054-55" dataDxfId="668"/>
    <tableColumn id="22" xr3:uid="{77B4163B-DB73-4FE0-8357-891D920A74AA}" name="2055-56 _x000a_to _x000a_2059-60" dataDxfId="667"/>
    <tableColumn id="23" xr3:uid="{B3103B55-7C93-4FFC-8AFA-6957C9252133}" name="2060-61 _x000a_to _x000a_2064-65" dataDxfId="666"/>
    <tableColumn id="24" xr3:uid="{21F6574F-B13E-4CF3-B45C-0F76A65FF0BB}" name="2065-66 _x000a_to _x000a_2069-70" dataDxfId="665"/>
    <tableColumn id="25" xr3:uid="{48D9956E-92CB-41E9-B603-9135F2C9F396}" name="2070-71 _x000a_to _x000a_2074-75" dataDxfId="664"/>
    <tableColumn id="26" xr3:uid="{24A32C29-C9EC-4D00-9F1B-7EBCE78BB345}" name="2075-76 _x000a_to _x000a_2079-80" dataDxfId="66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B68BAE2-0A05-4D6F-831A-D19C455BD214}" name="TBL8b_SDB_Expenditure3440" displayName="TBL8b_SDB_Expenditure3440" ref="B12:AA28" totalsRowShown="0" headerRowDxfId="662" dataDxfId="660" headerRowBorderDxfId="661" tableBorderDxfId="659" headerRowCellStyle="Normal 2 2 2" dataCellStyle="Normal 7">
  <autoFilter ref="B12:AA28" xr:uid="{CB68BAE2-0A05-4D6F-831A-D19C455BD214}"/>
  <tableColumns count="26">
    <tableColumn id="1" xr3:uid="{B3A52CFA-3E7E-4ECE-8D35-0B7E79839D69}" name="Reference" dataDxfId="658" dataCellStyle="Normal 2 2 2"/>
    <tableColumn id="2" xr3:uid="{07DB0446-9C6C-4A13-B41B-B6AF0C96BE9F}" name="Expenditure element" dataDxfId="657" dataCellStyle="Normal 2 2 2"/>
    <tableColumn id="3" xr3:uid="{FB4EE986-15A3-4D48-97A5-7191C92226F0}" name="Expenditure type" dataDxfId="656" dataCellStyle="Normal 2 2 2"/>
    <tableColumn id="4" xr3:uid="{E9FDE299-14F0-453B-8377-EAC4BBC3E99A}" name="Unit" dataDxfId="655" dataCellStyle="Normal 2 2 2"/>
    <tableColumn id="5" xr3:uid="{128876BF-1856-45E0-9459-76650394F032}" name="Decimal places" dataDxfId="654" dataCellStyle="Normal 2 2 2"/>
    <tableColumn id="6" xr3:uid="{2D87F6E6-99C9-4DC7-870C-7A47A6008B2D}" name="2019-20" dataDxfId="653" dataCellStyle="Normal 7"/>
    <tableColumn id="7" xr3:uid="{48EBA970-69EE-455B-961F-D75A6D525E89}" name="2020-21" dataDxfId="652" dataCellStyle="Normal 7"/>
    <tableColumn id="8" xr3:uid="{E2B9B5AF-0452-4F18-8200-9AB1C4673B8F}" name="2021-22" dataDxfId="651" dataCellStyle="Normal 7"/>
    <tableColumn id="9" xr3:uid="{68EE8982-EB8D-418C-B142-279397C76838}" name="2022-23" dataDxfId="650" dataCellStyle="Normal 7"/>
    <tableColumn id="10" xr3:uid="{30518E43-6D30-43D3-8C0E-9FD22ED1931A}" name="2023-24" dataDxfId="649" dataCellStyle="Normal 7"/>
    <tableColumn id="11" xr3:uid="{DFB2C5FE-8E86-43B4-8445-FE11790A1FC5}" name="2024-25" dataDxfId="648" dataCellStyle="Normal 7"/>
    <tableColumn id="12" xr3:uid="{1006DEC4-D7B8-4464-A8FA-030C2793D97E}" name="2025-26" dataDxfId="647" dataCellStyle="Normal 7"/>
    <tableColumn id="13" xr3:uid="{DFD6F28C-97C3-4AB0-92ED-5308FA5CBBE0}" name="2026-27" dataDxfId="646" dataCellStyle="Normal 7"/>
    <tableColumn id="14" xr3:uid="{34AFA9C0-3FA8-43A8-96A8-B5F468682E5D}" name="2027-28" dataDxfId="645" dataCellStyle="Normal 7"/>
    <tableColumn id="15" xr3:uid="{7E2984AA-75DE-4562-B088-A93B3F1A45C0}" name="2028-29" dataDxfId="644" dataCellStyle="Normal 7"/>
    <tableColumn id="16" xr3:uid="{407D3FA9-EA52-4BC9-9F05-AD7BCDF5F666}" name="2029-30" dataDxfId="643" dataCellStyle="Normal 7"/>
    <tableColumn id="17" xr3:uid="{2115FBB4-A63D-476E-9ED7-E81A669EC867}" name="2030-31 _x000a_to _x000a_2034-35" dataDxfId="642" dataCellStyle="Normal 7"/>
    <tableColumn id="18" xr3:uid="{E3A3102B-EC10-407A-81CA-D933881F77D5}" name="2035-36 _x000a_to _x000a_2039-40" dataDxfId="641" dataCellStyle="Normal 7"/>
    <tableColumn id="19" xr3:uid="{C5FCD6EA-3209-4381-A98B-AF13B0ECA726}" name="2040-41 _x000a_to _x000a_2044-45" dataDxfId="640" dataCellStyle="Normal 7"/>
    <tableColumn id="20" xr3:uid="{0390F582-0A8A-4FBA-A87D-12C0D3307C04}" name="2045-46 _x000a_to _x000a_2049-50" dataDxfId="639" dataCellStyle="Normal 7"/>
    <tableColumn id="21" xr3:uid="{1A125772-CE4C-4BA7-BC8E-8331EFF6B0FA}" name="2050-51 _x000a_to _x000a_2054-55" dataDxfId="638" dataCellStyle="Normal 7"/>
    <tableColumn id="22" xr3:uid="{1678881F-177A-4563-B7D2-FD8E053DC7E4}" name="2055-56 _x000a_to _x000a_2059-60" dataDxfId="637" dataCellStyle="Normal 7"/>
    <tableColumn id="23" xr3:uid="{F1623A7F-3B26-4230-83D0-559470B8E7D0}" name="2060-61 _x000a_to _x000a_2064-65" dataDxfId="636" dataCellStyle="Normal 7"/>
    <tableColumn id="24" xr3:uid="{546C63A7-E7F1-4285-9634-7C1E74F456FF}" name="2065-66 _x000a_to _x000a_2069-70" dataDxfId="635" dataCellStyle="Normal 7"/>
    <tableColumn id="25" xr3:uid="{06D4A0FE-698F-412E-B16B-2D58F9DB3F5B}" name="2070-71 _x000a_to _x000a_2074-75" dataDxfId="634" dataCellStyle="Normal 7"/>
    <tableColumn id="26" xr3:uid="{75B7470E-D7BA-460B-A28D-5B6ADCE0F456}" name="2075-76 _x000a_to _x000a_2079-80" dataDxfId="633" dataCellStyle="Normal 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8B67F92-CA9C-435D-92BD-B629DC152A7F}" name="TBL8c_Metering_Expenditure3541" displayName="TBL8c_Metering_Expenditure3541" ref="B31:AA68" totalsRowShown="0" headerRowDxfId="632" dataDxfId="630" headerRowBorderDxfId="631" tableBorderDxfId="629" headerRowCellStyle="Normal 2 2 2" dataCellStyle="Normal 7">
  <autoFilter ref="B31:AA68" xr:uid="{08B67F92-CA9C-435D-92BD-B629DC152A7F}"/>
  <tableColumns count="26">
    <tableColumn id="1" xr3:uid="{A5149E86-2DD5-4A36-B4D0-6D427751B77E}" name="Reference" dataDxfId="628" dataCellStyle="Normal 2 2 2"/>
    <tableColumn id="2" xr3:uid="{A40B3933-9604-498D-8961-B7A52F1B9EC0}" name="Expenditure element" dataDxfId="627" dataCellStyle="Normal 2 2 2"/>
    <tableColumn id="3" xr3:uid="{61263301-8F41-4F61-BA64-77F0DFF9B721}" name="Expenditure type" dataDxfId="626" dataCellStyle="Normal 2 2 2"/>
    <tableColumn id="4" xr3:uid="{2677917B-F701-474D-811A-4BDAF70597C8}" name="Unit" dataDxfId="625" dataCellStyle="Normal 2 2 2"/>
    <tableColumn id="5" xr3:uid="{34932168-A59B-4225-9385-8487A4D09DD1}" name="Decimal places" dataDxfId="624" dataCellStyle="Normal 2 2 2"/>
    <tableColumn id="6" xr3:uid="{0A6E3BFF-73F7-46C4-9EBF-EFA02D484318}" name="2019-20" dataDxfId="623" dataCellStyle="Normal 7"/>
    <tableColumn id="7" xr3:uid="{B0B2FE85-0A9B-48F0-856E-5BC671A3E02A}" name="2020-21" dataDxfId="622" dataCellStyle="Normal 7"/>
    <tableColumn id="8" xr3:uid="{C902BC10-4E20-4321-9F97-F742BD8CB508}" name="2021-22" dataDxfId="621" dataCellStyle="Normal 7"/>
    <tableColumn id="9" xr3:uid="{508DC5ED-9ABB-4198-94DA-B539B240AEE3}" name="2022-23" dataDxfId="620" dataCellStyle="Normal 7"/>
    <tableColumn id="10" xr3:uid="{AB7DCC4C-DA4E-49C2-879C-914A15BC0B8B}" name="2023-24" dataDxfId="619" dataCellStyle="Normal 7"/>
    <tableColumn id="11" xr3:uid="{2C246CD6-CB87-4AE9-B6B0-4DA93E0F958D}" name="2024-25" dataDxfId="618" dataCellStyle="Normal 7"/>
    <tableColumn id="12" xr3:uid="{C4057586-FEE7-4D55-9F46-A646626492F9}" name="2025-26" dataDxfId="617" dataCellStyle="Normal 7"/>
    <tableColumn id="13" xr3:uid="{2FF138B6-93EA-4073-90D2-C3C95B8A71E3}" name="2026-27" dataDxfId="616" dataCellStyle="Normal 7"/>
    <tableColumn id="14" xr3:uid="{8777CD12-9AAE-4012-BF2B-09351CFA6C38}" name="2027-28" dataDxfId="615" dataCellStyle="Normal 7"/>
    <tableColumn id="15" xr3:uid="{B59E2F18-EC28-4DA6-AC6B-82AAE4BCFE28}" name="2028-29" dataDxfId="614" dataCellStyle="Normal 7"/>
    <tableColumn id="16" xr3:uid="{060EB224-734C-48BD-8890-528691EF347A}" name="2029-30" dataDxfId="613" dataCellStyle="Normal 7"/>
    <tableColumn id="17" xr3:uid="{88D1EE49-8B94-49FD-8481-23B495B66ED7}" name="2030-31 _x000a_to _x000a_2034-35" dataDxfId="612" dataCellStyle="Normal 7"/>
    <tableColumn id="18" xr3:uid="{07BBACAF-2928-47EC-BBDC-AB1A77B6E323}" name="2035-36 _x000a_to _x000a_2039-40" dataDxfId="611" dataCellStyle="Normal 7"/>
    <tableColumn id="19" xr3:uid="{BB8391BC-7A89-4493-93A9-137D2E13A81B}" name="2040-41 _x000a_to _x000a_2044-45" dataDxfId="610" dataCellStyle="Normal 7"/>
    <tableColumn id="20" xr3:uid="{6F1381AC-C561-4043-A520-AD36A7AE6C92}" name="2045-46 _x000a_to _x000a_2049-50" dataDxfId="609" dataCellStyle="Normal 7"/>
    <tableColumn id="21" xr3:uid="{09BA0742-EBAC-4B70-8189-CA2663A1F8E7}" name="2050-51 _x000a_to _x000a_2054-55" dataDxfId="608" dataCellStyle="Normal 7"/>
    <tableColumn id="22" xr3:uid="{3FD10E3C-D9E8-455C-97A7-3A266549D256}" name="2055-56 _x000a_to _x000a_2059-60" dataDxfId="607" dataCellStyle="Normal 7"/>
    <tableColumn id="23" xr3:uid="{75B27867-452F-44D3-9E33-57FCE49D8280}" name="2060-61 _x000a_to _x000a_2064-65" dataDxfId="606" dataCellStyle="Normal 7"/>
    <tableColumn id="24" xr3:uid="{6C07EE63-FD4B-4D62-B78E-B0D32F771311}" name="2065-66 _x000a_to _x000a_2069-70" dataDxfId="605" dataCellStyle="Normal 7"/>
    <tableColumn id="25" xr3:uid="{E668070B-13EE-44A6-AA59-73DF9705CCA3}" name="2070-71 _x000a_to _x000a_2074-75" dataDxfId="604" dataCellStyle="Normal 7"/>
    <tableColumn id="26" xr3:uid="{1CF76159-2EE3-48D2-BB90-51DA434EE481}" name="2075-76 _x000a_to _x000a_2079-80" dataDxfId="603" dataCellStyle="Normal 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A00D8B8-E3E7-4A2E-9EA9-B0E0E583C038}" name="TBL8d_Total_Enhancement3642" displayName="TBL8d_Total_Enhancement3642" ref="B71:AA74" totalsRowShown="0" headerRowDxfId="602" dataDxfId="600" headerRowBorderDxfId="601" tableBorderDxfId="599" headerRowCellStyle="Normal 2 2 2" dataCellStyle="Normal 7">
  <autoFilter ref="B71:AA74" xr:uid="{FA00D8B8-E3E7-4A2E-9EA9-B0E0E583C038}"/>
  <tableColumns count="26">
    <tableColumn id="1" xr3:uid="{200B5C5D-6782-4110-AE3F-98D44A022234}" name="Reference" dataDxfId="598" dataCellStyle="Normal 2 2 2"/>
    <tableColumn id="2" xr3:uid="{CC686256-6772-4205-9346-F23F89BE5F85}" name="Expenditure element" dataDxfId="597" dataCellStyle="Normal 2 2 2"/>
    <tableColumn id="3" xr3:uid="{B5F2C4E6-95B2-45D2-AE6E-6D67720EFDE1}" name="Expenditure type" dataDxfId="596" dataCellStyle="Normal 2 2 2"/>
    <tableColumn id="4" xr3:uid="{F0580196-EBD5-48A8-B7D1-01FBCF31A4CE}" name="Unit" dataDxfId="595" dataCellStyle="Normal 2 2 2"/>
    <tableColumn id="5" xr3:uid="{B85A3DBC-F8BA-4763-A434-EF88A7B1B2B2}" name="Decimal places" dataDxfId="594" dataCellStyle="Normal 2 2 2"/>
    <tableColumn id="6" xr3:uid="{8E03B71B-D50D-45B0-9EAC-D552E8D7405A}" name="2019-20" dataDxfId="593" dataCellStyle="Normal 7"/>
    <tableColumn id="7" xr3:uid="{FE91E29C-6288-46AB-A69E-F098DB6A0069}" name="2020-21" dataDxfId="592" dataCellStyle="Normal 7"/>
    <tableColumn id="8" xr3:uid="{49D8733D-3532-404E-A0DC-332A6947687F}" name="2021-22" dataDxfId="591" dataCellStyle="Normal 7"/>
    <tableColumn id="9" xr3:uid="{6C87395E-1556-477D-A23B-63070F0B5AAE}" name="2022-23" dataDxfId="590" dataCellStyle="Normal 7"/>
    <tableColumn id="10" xr3:uid="{871C7BB4-67A9-4558-A8E9-3DD6336ADBBE}" name="2023-24" dataDxfId="589" dataCellStyle="Normal 7"/>
    <tableColumn id="11" xr3:uid="{108A8F19-149A-4F94-AEF4-AE4FCC0B3488}" name="2024-25" dataDxfId="588" dataCellStyle="Normal 7"/>
    <tableColumn id="12" xr3:uid="{0A901DAD-010A-4A10-AFA6-EAB7CE9A35E8}" name="2025-26" dataDxfId="587" dataCellStyle="Normal 7"/>
    <tableColumn id="13" xr3:uid="{A6A0FF40-9E3B-4313-AF09-B94F6B8598D3}" name="2026-27" dataDxfId="586" dataCellStyle="Normal 7"/>
    <tableColumn id="14" xr3:uid="{284C106B-6CB8-44CE-9A78-F1A4532B2ADA}" name="2027-28" dataDxfId="585" dataCellStyle="Normal 7"/>
    <tableColumn id="15" xr3:uid="{2FBC0109-D3F9-4018-B98A-7CF5E70904C9}" name="2028-29" dataDxfId="584" dataCellStyle="Normal 7"/>
    <tableColumn id="16" xr3:uid="{E38F8A9C-F270-483D-A73F-768A89BDC049}" name="2029-30" dataDxfId="583" dataCellStyle="Normal 7"/>
    <tableColumn id="17" xr3:uid="{344F5846-74FD-4383-AB3A-E017B78FA0D8}" name="2030-31 _x000a_to _x000a_2034-35" dataDxfId="582" dataCellStyle="Normal 7"/>
    <tableColumn id="18" xr3:uid="{A5864EAA-ED3F-41D8-89FD-F972E43EC0D7}" name="2035-36 _x000a_to _x000a_2039-40" dataDxfId="581" dataCellStyle="Normal 7"/>
    <tableColumn id="19" xr3:uid="{51BAA14F-CF58-4F85-8F7A-E6261955CA71}" name="2040-41 _x000a_to _x000a_2044-45" dataDxfId="580" dataCellStyle="Normal 7"/>
    <tableColumn id="20" xr3:uid="{C0FDECA0-DEBF-42C8-9049-DA41B458B426}" name="2045-46 _x000a_to _x000a_2049-50" dataDxfId="579" dataCellStyle="Normal 7"/>
    <tableColumn id="21" xr3:uid="{A51471C5-1046-4CF3-A1E5-98335444455F}" name="2050-51 _x000a_to _x000a_2054-55" dataDxfId="578" dataCellStyle="Normal 7"/>
    <tableColumn id="22" xr3:uid="{F9A91219-70DE-4AC2-88A2-1BFD371A7A3C}" name="2055-56 _x000a_to _x000a_2059-60" dataDxfId="577" dataCellStyle="Normal 7"/>
    <tableColumn id="23" xr3:uid="{9BEA231B-223B-446E-9AEB-8C2F5EF1EF44}" name="2060-61 _x000a_to _x000a_2064-65" dataDxfId="576" dataCellStyle="Normal 7"/>
    <tableColumn id="24" xr3:uid="{C6ED9496-5F45-4096-8520-A20841B25A81}" name="2065-66 _x000a_to _x000a_2069-70" dataDxfId="575" dataCellStyle="Normal 7"/>
    <tableColumn id="25" xr3:uid="{1BC51DC8-FEB6-42A1-9BFD-8B4D52FEF261}" name="2070-71 _x000a_to _x000a_2074-75" dataDxfId="574" dataCellStyle="Normal 7"/>
    <tableColumn id="26" xr3:uid="{38D218F7-5919-4693-A619-42821ABEBF57}" name="2075-76 _x000a_to _x000a_2079-80" dataDxfId="573" dataCellStyle="Normal 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32:L39" totalsRowShown="0" headerRowDxfId="1425" headerRowBorderDxfId="1424" tableBorderDxfId="1423" totalsRowBorderDxfId="1422" headerRowCellStyle="Normal 2">
  <autoFilter ref="B32:L39" xr:uid="{00000000-0009-0000-0100-000002000000}"/>
  <tableColumns count="11">
    <tableColumn id="2" xr3:uid="{00000000-0010-0000-0100-000002000000}" name="WRMP24 Reference" dataDxfId="1421" dataCellStyle="Normal 2"/>
    <tableColumn id="3" xr3:uid="{00000000-0010-0000-0100-000003000000}" name="Derivation" dataDxfId="1420" dataCellStyle="Normal 2"/>
    <tableColumn id="4" xr3:uid="{00000000-0010-0000-0100-000004000000}" name="Licence number" dataDxfId="1419" dataCellStyle="Normal 3"/>
    <tableColumn id="5" xr3:uid="{00000000-0010-0000-0100-000005000000}" name="Source name" dataDxfId="1418" dataCellStyle="Normal 3"/>
    <tableColumn id="6" xr3:uid="{00000000-0010-0000-0100-000006000000}" name="Source type" dataDxfId="1417" dataCellStyle="Normal 4"/>
    <tableColumn id="7" xr3:uid="{00000000-0010-0000-0100-000007000000}" name="WRZ Code" dataDxfId="1416" dataCellStyle="Normal 4"/>
    <tableColumn id="8" xr3:uid="{00000000-0010-0000-0100-000008000000}" name="DYAA deployable output (Ml/d)" dataDxfId="1415" dataCellStyle="Normal 5"/>
    <tableColumn id="1" xr3:uid="{00000000-0010-0000-0100-000001000000}" name="DYCP deployable output (Ml/d)" dataDxfId="1414" dataCellStyle="Normal 5"/>
    <tableColumn id="9" xr3:uid="{00000000-0010-0000-0100-000009000000}" name="Annual licensed quantity (Ml/d)" dataDxfId="1413" dataCellStyle="Normal 6"/>
    <tableColumn id="10" xr3:uid="{00000000-0010-0000-0100-00000A000000}" name="Constraints on deployable output" dataDxfId="1412" dataCellStyle="Normal 2"/>
    <tableColumn id="11" xr3:uid="{00000000-0010-0000-0100-00000B000000}" name="Additional notes (if desired)" dataDxfId="1411"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15FA3FA-6DEE-4F82-9C0F-2B0B8C0FC051}" name="TBL8e_Supply_Demand_Benefit3743" displayName="TBL8e_Supply_Demand_Benefit3743" ref="B77:AA89" totalsRowShown="0" headerRowDxfId="572" dataDxfId="570" headerRowBorderDxfId="571" tableBorderDxfId="569" headerRowCellStyle="Normal 2 2 2" dataCellStyle="Normal 7">
  <autoFilter ref="B77:AA89" xr:uid="{F15FA3FA-6DEE-4F82-9C0F-2B0B8C0FC051}"/>
  <tableColumns count="26">
    <tableColumn id="1" xr3:uid="{FD5510C1-AF22-4955-8D34-E26BD1126A96}" name="Reference" dataDxfId="568" dataCellStyle="Normal 2 2 2"/>
    <tableColumn id="2" xr3:uid="{529C212D-6D17-4AA8-BB3B-E30B1C4E0CE4}" name="Benefit element" dataDxfId="567" dataCellStyle="Normal 2 2 2"/>
    <tableColumn id="3" xr3:uid="{047B3D65-9E04-4522-A55B-8D35B9324413}" name="Expenditure type" dataDxfId="566" dataCellStyle="Normal 2 2 2"/>
    <tableColumn id="4" xr3:uid="{7E365AF6-C086-49C1-9C1A-2A8B5FFA91C2}" name="Unit" dataDxfId="565" dataCellStyle="Normal 2 2 2"/>
    <tableColumn id="5" xr3:uid="{55C06E13-3F6F-492C-89F6-E84C321382CF}" name="Decimal places" dataDxfId="564" dataCellStyle="Normal 2 2 2"/>
    <tableColumn id="6" xr3:uid="{90C0DFDD-6BA4-4F32-AC2E-D284162FB81B}" name="2019-20" dataDxfId="563" dataCellStyle="Normal 7"/>
    <tableColumn id="7" xr3:uid="{9D7E5E03-F5BD-4778-AA85-D1D772B1C96A}" name="2020-21" dataDxfId="562" dataCellStyle="Normal 7"/>
    <tableColumn id="8" xr3:uid="{AD6A0063-E26E-4C63-8A9A-118C2FD3094D}" name="2021-22" dataDxfId="561" dataCellStyle="Normal 7"/>
    <tableColumn id="9" xr3:uid="{597C87A9-F834-4E4A-B254-475937927FF2}" name="2022-23" dataDxfId="560" dataCellStyle="Normal 7"/>
    <tableColumn id="10" xr3:uid="{DE944A1E-0B40-464B-BF9B-EAAF6E919178}" name="2023-24" dataDxfId="559" dataCellStyle="Normal 7"/>
    <tableColumn id="11" xr3:uid="{7BA1EF11-4388-48EA-A641-558296D80EE8}" name="2024-25" dataDxfId="558" dataCellStyle="Normal 7"/>
    <tableColumn id="12" xr3:uid="{16F7892A-BDF4-4EDC-9DFD-0445909DAF44}" name="2025-26" dataDxfId="557" dataCellStyle="Normal 7"/>
    <tableColumn id="13" xr3:uid="{C856AFBD-8E3A-4DBE-AB24-C873743EBC72}" name="2026-27" dataDxfId="556" dataCellStyle="Normal 7"/>
    <tableColumn id="14" xr3:uid="{E2A11901-4002-488E-804E-24E31FF07C46}" name="2027-28" dataDxfId="555" dataCellStyle="Normal 7"/>
    <tableColumn id="15" xr3:uid="{50B7B594-8BB9-4BF4-B193-4B9F87427DE3}" name="2028-29" dataDxfId="554" dataCellStyle="Normal 7"/>
    <tableColumn id="16" xr3:uid="{E43EA989-8181-45FD-8617-9ED71FDA8079}" name="2029-30" dataDxfId="553" dataCellStyle="Normal 7"/>
    <tableColumn id="17" xr3:uid="{3BF63A30-84A5-44CF-9BC4-AB8B4287CC8C}" name="2030-31 _x000a_to _x000a_2034-35" dataDxfId="552" dataCellStyle="Normal 7"/>
    <tableColumn id="18" xr3:uid="{7096F87D-723E-4299-B577-6ED1DBB95427}" name="2035-36 _x000a_to _x000a_2039-40" dataDxfId="551" dataCellStyle="Normal 7"/>
    <tableColumn id="19" xr3:uid="{9110D935-1A70-4BF7-95F0-9AE2B08A87E6}" name="2040-41 _x000a_to _x000a_2044-45" dataDxfId="550" dataCellStyle="Normal 7"/>
    <tableColumn id="20" xr3:uid="{D31C27A2-A6CE-4C2C-BF3E-51803F5AF013}" name="2045-46 _x000a_to _x000a_2049-50" dataDxfId="549" dataCellStyle="Normal 7"/>
    <tableColumn id="21" xr3:uid="{532EAA9D-53B2-4DC0-A498-618824ED15FD}" name="2050-51 _x000a_to _x000a_2054-55" dataDxfId="548" dataCellStyle="Normal 7"/>
    <tableColumn id="22" xr3:uid="{C3C92719-0D6C-4AEA-9435-F0D17768B6C8}" name="2055-56 _x000a_to _x000a_2059-60" dataDxfId="547" dataCellStyle="Normal 7"/>
    <tableColumn id="23" xr3:uid="{D9D82EC7-B32A-409D-A19A-522295BAB78C}" name="2060-61 _x000a_to _x000a_2064-65" dataDxfId="546" dataCellStyle="Normal 7"/>
    <tableColumn id="24" xr3:uid="{6D8948F1-A7EE-417A-814C-D13CEBD9322B}" name="2065-66 _x000a_to _x000a_2069-70" dataDxfId="545" dataCellStyle="Normal 7"/>
    <tableColumn id="25" xr3:uid="{D4BA6098-3C9B-41AA-90BB-80D1139E43BF}" name="2070-71 _x000a_to _x000a_2074-75" dataDxfId="544" dataCellStyle="Normal 7"/>
    <tableColumn id="26" xr3:uid="{C21BBDA1-7AD2-4DC5-8608-E64AE79B57D1}" name="2075-76 _x000a_to _x000a_2079-80" dataDxfId="543" dataCellStyle="Normal 7"/>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AF5515F-69ED-4907-BC6D-FEA770F2E8BC}" name="TBL8f_Leakage_Totex3845" displayName="TBL8f_Leakage_Totex3845" ref="B92:AA94" totalsRowShown="0" headerRowDxfId="542" dataDxfId="540" headerRowBorderDxfId="541" tableBorderDxfId="539" headerRowCellStyle="Normal 2 2 2">
  <autoFilter ref="B92:AA94" xr:uid="{1AF5515F-69ED-4907-BC6D-FEA770F2E8BC}"/>
  <tableColumns count="26">
    <tableColumn id="1" xr3:uid="{D1BE5D1F-DE28-486C-9C48-FD2EE757BB8B}" name="Reference" dataDxfId="538" dataCellStyle="Normal 2 2 2"/>
    <tableColumn id="2" xr3:uid="{F7F865A5-73AE-4CC8-B1E9-873D46F2F121}" name="Expenditure element" dataDxfId="537"/>
    <tableColumn id="3" xr3:uid="{7D6B2341-D496-49C0-B348-1032D62713E6}" name="Expenditure type" dataDxfId="536"/>
    <tableColumn id="4" xr3:uid="{0BC26CF6-8031-46C8-9347-BB50540107DE}" name="Unit" dataDxfId="535"/>
    <tableColumn id="5" xr3:uid="{37ADB091-26BD-48D3-87F9-AE6A9C65C5EB}" name="Decimal places" dataDxfId="534"/>
    <tableColumn id="6" xr3:uid="{6EDFADC2-7BCA-458E-9465-C0108A2CED41}" name="2019-20" dataDxfId="533" dataCellStyle="Normal 7"/>
    <tableColumn id="7" xr3:uid="{7584BBC4-4FC0-44C4-A01E-DDF40EAE5F67}" name="2020-21" dataDxfId="532" dataCellStyle="Normal 7"/>
    <tableColumn id="8" xr3:uid="{6CDE05AF-F393-42D8-8C99-4E37D2993341}" name="2021-22" dataDxfId="531" dataCellStyle="Normal 7"/>
    <tableColumn id="9" xr3:uid="{5940149D-FDD2-480C-A580-E458F8DB84AE}" name="2022-23" dataDxfId="530" dataCellStyle="Normal 7"/>
    <tableColumn id="10" xr3:uid="{3D894E85-5F4F-4267-8F36-B237104E86F9}" name="2023-24" dataDxfId="529" dataCellStyle="Normal 7"/>
    <tableColumn id="11" xr3:uid="{E972789D-9933-4EFA-8173-B7B640C19545}" name="2024-25" dataDxfId="528" dataCellStyle="Normal 7"/>
    <tableColumn id="12" xr3:uid="{D86C03D0-2D35-4F0E-88E3-69B0C900AE57}" name="2025-26" dataDxfId="527" dataCellStyle="Normal 7"/>
    <tableColumn id="13" xr3:uid="{A97B0C04-CD43-4A3E-87C7-1E1542557D90}" name="2026-27" dataDxfId="526" dataCellStyle="Normal 7"/>
    <tableColumn id="14" xr3:uid="{5826E9A8-347C-4821-9CAE-28CE306A6935}" name="2027-28" dataDxfId="525" dataCellStyle="Normal 7"/>
    <tableColumn id="15" xr3:uid="{1BED5287-749A-48E7-9397-A68DA03F79F2}" name="2028-29" dataDxfId="524" dataCellStyle="Normal 7"/>
    <tableColumn id="16" xr3:uid="{D44B8E4F-F940-4EE1-98D7-B840B345B0FE}" name="2029-30" dataDxfId="523" dataCellStyle="Normal 7"/>
    <tableColumn id="17" xr3:uid="{17EDE6A2-4871-48EC-A606-50D4910CFD80}" name="2030-31 _x000a_to _x000a_2034-35" dataDxfId="522" dataCellStyle="Normal 7"/>
    <tableColumn id="18" xr3:uid="{5044CDED-F203-4008-8FF9-DB4829E8FF1F}" name="2035-36 _x000a_to _x000a_2039-40" dataDxfId="521" dataCellStyle="Normal 7"/>
    <tableColumn id="19" xr3:uid="{2E3F67EA-0A2E-4847-A83C-4E156A447272}" name="2040-41 _x000a_to _x000a_2044-45" dataDxfId="520" dataCellStyle="Normal 7"/>
    <tableColumn id="20" xr3:uid="{4E2914F3-9733-4388-8C67-D4208431EC2B}" name="2045-46 _x000a_to _x000a_2049-50" dataDxfId="519" dataCellStyle="Normal 7"/>
    <tableColumn id="21" xr3:uid="{78077A85-6F3D-46D5-A038-68A3940683E9}" name="2050-51 _x000a_to _x000a_2054-55" dataDxfId="518" dataCellStyle="Normal 7"/>
    <tableColumn id="22" xr3:uid="{FC7F05D9-1C0D-4BD5-9328-D5E5EED077DC}" name="2055-56 _x000a_to _x000a_2059-60" dataDxfId="517" dataCellStyle="Normal 7"/>
    <tableColumn id="23" xr3:uid="{D5176DC9-2BA7-48F3-9015-E4AEB36DF4C1}" name="2060-61 _x000a_to _x000a_2064-65" dataDxfId="516" dataCellStyle="Normal 7"/>
    <tableColumn id="24" xr3:uid="{E7A19C4C-F3DC-49D2-B84B-782239EA0958}" name="2065-66 _x000a_to _x000a_2069-70" dataDxfId="515" dataCellStyle="Normal 7"/>
    <tableColumn id="25" xr3:uid="{F3F008A3-C7C8-4A4E-9AF8-864437D1F839}" name="2070-71 _x000a_to _x000a_2074-75" dataDxfId="514" dataCellStyle="Normal 7"/>
    <tableColumn id="26" xr3:uid="{776A8AD5-D779-4D4A-93EA-171C77BEA7DC}" name="2075-76 _x000a_to _x000a_2079-80" dataDxfId="513" dataCellStyle="Normal 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64E37E-9357-4CC1-8234-7805F986DD38}" name="TBL8a_Base_Totex333917" displayName="TBL8a_Base_Totex333917" ref="B101:AA104" totalsRowShown="0" headerRowDxfId="512" dataDxfId="510" headerRowBorderDxfId="511" tableBorderDxfId="509" headerRowCellStyle="Normal 2 2 2">
  <autoFilter ref="B101:AA104" xr:uid="{FA64E37E-9357-4CC1-8234-7805F986DD38}"/>
  <tableColumns count="26">
    <tableColumn id="1" xr3:uid="{698295FE-987D-4BC3-867F-72B431F8EDC9}" name="Reference" dataDxfId="508"/>
    <tableColumn id="2" xr3:uid="{1BCE04D7-5462-46CF-8D4D-5D3376BB378B}" name="Expenditure element" dataDxfId="507" dataCellStyle="Normal 2 2 2"/>
    <tableColumn id="3" xr3:uid="{A3049070-AE0E-4CD1-8D3A-7D92F7585142}" name="Expenditure type" dataDxfId="506" dataCellStyle="Normal 2 2 2"/>
    <tableColumn id="4" xr3:uid="{B8D14ADE-D504-4E4D-959E-BF3F724D687E}" name="Unit" dataDxfId="505" dataCellStyle="Normal 2 2 2"/>
    <tableColumn id="5" xr3:uid="{95DAF30F-BDEB-45AE-B90E-3F2D58ED04BC}" name="Decimal places" dataDxfId="504" dataCellStyle="Normal 2 2 2"/>
    <tableColumn id="6" xr3:uid="{C0B4A11C-8608-4116-9EF6-E1C811F0FB89}" name="2019-20" dataDxfId="503"/>
    <tableColumn id="7" xr3:uid="{6844A306-6766-43C0-9B0B-E9E0716C9A14}" name="2020-21" dataDxfId="502"/>
    <tableColumn id="8" xr3:uid="{2D444242-5AA6-4C2E-AE4F-52422EB7AFAB}" name="2021-22" dataDxfId="501"/>
    <tableColumn id="9" xr3:uid="{AF34DA94-A0B9-406F-A010-3BCFB2D25370}" name="2022-23" dataDxfId="500"/>
    <tableColumn id="10" xr3:uid="{8980DAA5-D284-4992-B6CB-5AA2F6F71425}" name="2023-24" dataDxfId="499"/>
    <tableColumn id="11" xr3:uid="{E31A872D-6CFA-4DFC-9640-610FF6F916DE}" name="2024-25" dataDxfId="498"/>
    <tableColumn id="12" xr3:uid="{312E2CBE-EB5F-40A6-B6FF-6ABF730DC4E5}" name="2025-26" dataDxfId="497"/>
    <tableColumn id="13" xr3:uid="{35A4055A-B28C-48F6-8FDF-59AB0A98EBB4}" name="2026-27" dataDxfId="496"/>
    <tableColumn id="14" xr3:uid="{6CE15806-619B-4DC2-82A6-2F3F5AB5B89D}" name="2027-28" dataDxfId="495"/>
    <tableColumn id="15" xr3:uid="{D485E03B-E48A-4800-9560-58DDA55F0287}" name="2028-29" dataDxfId="494"/>
    <tableColumn id="16" xr3:uid="{7678BA2E-BB5A-49E0-9FE0-32895E322E34}" name="2029-30" dataDxfId="493"/>
    <tableColumn id="17" xr3:uid="{336B83B1-47B1-45DF-8035-A243E5152A1D}" name="2030-31 _x000a_to _x000a_2034-35" dataDxfId="492"/>
    <tableColumn id="18" xr3:uid="{5EA7C431-5B10-4E7A-89F1-29C135E08397}" name="2035-36 _x000a_to _x000a_2039-40" dataDxfId="491"/>
    <tableColumn id="19" xr3:uid="{C8ADAEAF-1219-4305-9486-F928D1A2520B}" name="2040-41 _x000a_to _x000a_2044-45" dataDxfId="490"/>
    <tableColumn id="20" xr3:uid="{39A20FE7-5B44-4BC5-9437-EBDA2F6C5DB2}" name="2045-46 _x000a_to _x000a_2049-50" dataDxfId="489"/>
    <tableColumn id="21" xr3:uid="{DDA6EC58-929A-496C-9C52-DBDAEAD74679}" name="2050-51 _x000a_to _x000a_2054-55" dataDxfId="488"/>
    <tableColumn id="22" xr3:uid="{2366ABEC-EF8A-4A0C-ABCD-D79F7368C902}" name="2055-56 _x000a_to _x000a_2059-60" dataDxfId="487"/>
    <tableColumn id="23" xr3:uid="{A52EF6EC-D87B-4D43-8125-26289C39436F}" name="2060-61 _x000a_to _x000a_2064-65" dataDxfId="486"/>
    <tableColumn id="24" xr3:uid="{F9E8ACFE-AA41-475D-9E9D-23EEBCCDB57A}" name="2065-66 _x000a_to _x000a_2069-70" dataDxfId="485"/>
    <tableColumn id="25" xr3:uid="{74C0D4B2-FB23-4C08-9418-F7052A82D503}" name="2070-71 _x000a_to _x000a_2074-75" dataDxfId="484"/>
    <tableColumn id="26" xr3:uid="{283D1353-103D-4A08-9990-C05C54B83C35}" name="2075-76 _x000a_to _x000a_2079-80" dataDxfId="48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A38C4D-5ADC-4F7B-8A4C-8FBDED3C04CE}" name="TBL8b_SDB_Expenditure344018" displayName="TBL8b_SDB_Expenditure344018" ref="B107:AA123" totalsRowShown="0" headerRowDxfId="482" dataDxfId="480" headerRowBorderDxfId="481" tableBorderDxfId="479" headerRowCellStyle="Normal 2 2 2" dataCellStyle="Normal 7">
  <autoFilter ref="B107:AA123" xr:uid="{A4A38C4D-5ADC-4F7B-8A4C-8FBDED3C04CE}"/>
  <tableColumns count="26">
    <tableColumn id="1" xr3:uid="{79D98CD6-A37A-4110-8F18-4C417DAE50DE}" name="Reference" dataDxfId="478" dataCellStyle="Normal 2 2 2"/>
    <tableColumn id="2" xr3:uid="{F0BD528E-2A7F-4972-AE01-F63C2B1BACE4}" name="Expenditure element" dataDxfId="477" dataCellStyle="Normal 2 2 2"/>
    <tableColumn id="3" xr3:uid="{6DC2830E-C18B-428A-91F4-59E394D7C3FB}" name="Expenditure type" dataDxfId="476" dataCellStyle="Normal 2 2 2"/>
    <tableColumn id="4" xr3:uid="{3A82B21C-8DCA-441E-873D-C8715B2EAF45}" name="Unit" dataDxfId="475" dataCellStyle="Normal 2 2 2"/>
    <tableColumn id="5" xr3:uid="{131E346C-83ED-4A06-8DE8-DEDFEC37D078}" name="Decimal places" dataDxfId="474" dataCellStyle="Normal 2 2 2"/>
    <tableColumn id="6" xr3:uid="{19BD16F1-1099-40A7-92FA-9EC1D7F8CF2C}" name="2019-20" dataDxfId="473" dataCellStyle="Normal 7"/>
    <tableColumn id="7" xr3:uid="{0DEA2D24-A343-4ACD-BFE1-1D68EE8F20C9}" name="2020-21" dataDxfId="472" dataCellStyle="Normal 7"/>
    <tableColumn id="8" xr3:uid="{3280557C-D187-4249-9AC0-A1FA6E1CEEDC}" name="2021-22" dataDxfId="471" dataCellStyle="Normal 7"/>
    <tableColumn id="9" xr3:uid="{DA5E2ED7-94E7-4F30-A7F2-B586FC0168B7}" name="2022-23" dataDxfId="470" dataCellStyle="Normal 7"/>
    <tableColumn id="10" xr3:uid="{10E171D5-03F8-49AD-A59F-01688B6C4B6C}" name="2023-24" dataDxfId="469" dataCellStyle="Normal 7"/>
    <tableColumn id="11" xr3:uid="{96560976-292D-4BD2-9589-0D5FC884ABFC}" name="2024-25" dataDxfId="468" dataCellStyle="Normal 7"/>
    <tableColumn id="12" xr3:uid="{ECB51037-AA48-4138-8AA3-70805706246A}" name="2025-26" dataDxfId="467" dataCellStyle="Normal 7"/>
    <tableColumn id="13" xr3:uid="{E157D127-C21C-4C27-8793-B4DA7214A1A1}" name="2026-27" dataDxfId="466" dataCellStyle="Normal 7"/>
    <tableColumn id="14" xr3:uid="{B61D784A-501F-4697-A76C-B5E04C8E12EB}" name="2027-28" dataDxfId="465" dataCellStyle="Normal 7"/>
    <tableColumn id="15" xr3:uid="{280F4F6B-8A46-433A-A6E6-FBF6E5522E85}" name="2028-29" dataDxfId="464" dataCellStyle="Normal 7"/>
    <tableColumn id="16" xr3:uid="{A8C58353-1613-447E-BFCB-7645E370C2CE}" name="2029-30" dataDxfId="463" dataCellStyle="Normal 7"/>
    <tableColumn id="17" xr3:uid="{EF6392C3-FFBF-4287-8884-2A4C5577C323}" name="2030-31 _x000a_to _x000a_2034-35" dataDxfId="462" dataCellStyle="Normal 7"/>
    <tableColumn id="18" xr3:uid="{FB6FE3BA-9968-431B-A1C4-7A00AC1B18BB}" name="2035-36 _x000a_to _x000a_2039-40" dataDxfId="461" dataCellStyle="Normal 7"/>
    <tableColumn id="19" xr3:uid="{2A4B9F81-C729-4F20-851C-BE1F9431CF01}" name="2040-41 _x000a_to _x000a_2044-45" dataDxfId="460" dataCellStyle="Normal 7"/>
    <tableColumn id="20" xr3:uid="{040958FA-C8E5-4214-B6E2-AB1FB1D80DA0}" name="2045-46 _x000a_to _x000a_2049-50" dataDxfId="459" dataCellStyle="Normal 7"/>
    <tableColumn id="21" xr3:uid="{67018549-4911-4A15-B908-1AAC4E4B207E}" name="2050-51 _x000a_to _x000a_2054-55" dataDxfId="458" dataCellStyle="Normal 7"/>
    <tableColumn id="22" xr3:uid="{346A7C2C-3597-4AC2-89E6-B21880990C4D}" name="2055-56 _x000a_to _x000a_2059-60" dataDxfId="457" dataCellStyle="Normal 7"/>
    <tableColumn id="23" xr3:uid="{4215EC70-813D-4E5A-95ED-ADFCD075D7A7}" name="2060-61 _x000a_to _x000a_2064-65" dataDxfId="456" dataCellStyle="Normal 7"/>
    <tableColumn id="24" xr3:uid="{7CB6FB50-A8F2-4D26-9C2B-6AAECCBAAC14}" name="2065-66 _x000a_to _x000a_2069-70" dataDxfId="455" dataCellStyle="Normal 7"/>
    <tableColumn id="25" xr3:uid="{63DF9325-A8A8-46C2-85D8-DACA50E7CFEC}" name="2070-71 _x000a_to _x000a_2074-75" dataDxfId="454" dataCellStyle="Normal 7"/>
    <tableColumn id="26" xr3:uid="{53BD78B7-BDCF-4A75-9323-52AFB6C1E519}" name="2075-76 _x000a_to _x000a_2079-80" dataDxfId="453" dataCellStyle="Normal 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F073468-360E-4446-A80F-4BCE201C7AE6}" name="TBL8c_Metering_Expenditure354123" displayName="TBL8c_Metering_Expenditure354123" ref="B126:AA163" totalsRowShown="0" headerRowDxfId="452" dataDxfId="450" headerRowBorderDxfId="451" tableBorderDxfId="449" headerRowCellStyle="Normal 2 2 2" dataCellStyle="Normal 7">
  <autoFilter ref="B126:AA163" xr:uid="{5F073468-360E-4446-A80F-4BCE201C7AE6}"/>
  <tableColumns count="26">
    <tableColumn id="1" xr3:uid="{DA806B69-7B9F-4964-AB2B-AE837AA71E70}" name="Reference" dataDxfId="448" dataCellStyle="Normal 2 2 2"/>
    <tableColumn id="2" xr3:uid="{C80403B0-42E3-4125-A46E-80AFF0029E17}" name="Expenditure element" dataDxfId="447" dataCellStyle="Normal 2 2 2"/>
    <tableColumn id="3" xr3:uid="{0D0532B3-B251-4A12-9E5B-D944BF73B80F}" name="Expenditure type" dataDxfId="446" dataCellStyle="Normal 2 2 2"/>
    <tableColumn id="4" xr3:uid="{557115B1-EFE5-484A-9858-F7593E222E19}" name="Unit" dataDxfId="445" dataCellStyle="Normal 2 2 2"/>
    <tableColumn id="5" xr3:uid="{BA578A3F-D0BE-47DC-9760-4FFABA12D3A0}" name="Decimal places" dataDxfId="444" dataCellStyle="Normal 2 2 2"/>
    <tableColumn id="6" xr3:uid="{46783530-E475-4CA0-9048-266DC1C3CACA}" name="2019-20" dataDxfId="443" dataCellStyle="Normal 7"/>
    <tableColumn id="7" xr3:uid="{8A17AD79-0AE3-47EB-8977-6E9F99B8382E}" name="2020-21" dataDxfId="442" dataCellStyle="Normal 7"/>
    <tableColumn id="8" xr3:uid="{A05D8D44-90B2-4DD1-A28E-A8C6676A431E}" name="2021-22" dataDxfId="441" dataCellStyle="Normal 7"/>
    <tableColumn id="9" xr3:uid="{3DE342CE-F875-451E-BD4A-6E152C0D2510}" name="2022-23" dataDxfId="440" dataCellStyle="Normal 7"/>
    <tableColumn id="10" xr3:uid="{F5AB6DDB-F766-44DD-A17B-56A4E076244B}" name="2023-24" dataDxfId="439" dataCellStyle="Normal 7"/>
    <tableColumn id="11" xr3:uid="{935AC7EA-B538-491C-A5B3-13C11C15D305}" name="2024-25" dataDxfId="438" dataCellStyle="Normal 7"/>
    <tableColumn id="12" xr3:uid="{9189608C-1EC6-4661-ACAC-67AF3AF9EC22}" name="2025-26" dataDxfId="437" dataCellStyle="Normal 7"/>
    <tableColumn id="13" xr3:uid="{FA65E25A-A2CF-4DAE-9C52-41E55DC329EF}" name="2026-27" dataDxfId="436" dataCellStyle="Normal 7"/>
    <tableColumn id="14" xr3:uid="{05324C0D-40FB-4090-A0A4-BEB76B3280AD}" name="2027-28" dataDxfId="435" dataCellStyle="Normal 7"/>
    <tableColumn id="15" xr3:uid="{B65A8F20-6133-4632-96E5-1F0E6CEB79C4}" name="2028-29" dataDxfId="434" dataCellStyle="Normal 7"/>
    <tableColumn id="16" xr3:uid="{F4EAEBAE-0E22-4A65-B44B-1FD15A1ECB59}" name="2029-30" dataDxfId="433" dataCellStyle="Normal 7"/>
    <tableColumn id="17" xr3:uid="{02670B77-7E5C-4E38-A644-68C11A319780}" name="2030-31 _x000a_to _x000a_2034-35" dataDxfId="432" dataCellStyle="Normal 7"/>
    <tableColumn id="18" xr3:uid="{5192D36D-E739-47E6-A9C6-A723669673A6}" name="2035-36 _x000a_to _x000a_2039-40" dataDxfId="431" dataCellStyle="Normal 7"/>
    <tableColumn id="19" xr3:uid="{C8354A5F-CA8C-4793-971F-7E751D14B2C1}" name="2040-41 _x000a_to _x000a_2044-45" dataDxfId="430" dataCellStyle="Normal 7"/>
    <tableColumn id="20" xr3:uid="{362D3DFC-EF93-4B34-B417-94FD37B82ABB}" name="2045-46 _x000a_to _x000a_2049-50" dataDxfId="429" dataCellStyle="Normal 7"/>
    <tableColumn id="21" xr3:uid="{8FF3834D-517C-40FA-84B5-5526B53F2C3B}" name="2050-51 _x000a_to _x000a_2054-55" dataDxfId="428" dataCellStyle="Normal 7"/>
    <tableColumn id="22" xr3:uid="{27063570-FE41-4BE9-AA6D-EAEE12EB07BB}" name="2055-56 _x000a_to _x000a_2059-60" dataDxfId="427" dataCellStyle="Normal 7"/>
    <tableColumn id="23" xr3:uid="{6CE10B40-0A78-4422-B149-1DAEFB9141A0}" name="2060-61 _x000a_to _x000a_2064-65" dataDxfId="426" dataCellStyle="Normal 7"/>
    <tableColumn id="24" xr3:uid="{07989B3C-F07B-4CED-B51A-6295E24547D2}" name="2065-66 _x000a_to _x000a_2069-70" dataDxfId="425" dataCellStyle="Normal 7"/>
    <tableColumn id="25" xr3:uid="{C0899147-6364-445A-B687-A17DF7B4A719}" name="2070-71 _x000a_to _x000a_2074-75" dataDxfId="424" dataCellStyle="Normal 7"/>
    <tableColumn id="26" xr3:uid="{5D67AF9B-79A8-4317-BE71-10C8A895F9F2}" name="2075-76 _x000a_to _x000a_2079-80" dataDxfId="423" dataCellStyle="Normal 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8039EA8-DBDE-4D65-9A00-BAEE229D67D3}" name="TBL8d_Total_Enhancement364225" displayName="TBL8d_Total_Enhancement364225" ref="B166:AA169" totalsRowShown="0" headerRowDxfId="422" dataDxfId="420" headerRowBorderDxfId="421" tableBorderDxfId="419" headerRowCellStyle="Normal 2 2 2" dataCellStyle="Normal 7">
  <autoFilter ref="B166:AA169" xr:uid="{98039EA8-DBDE-4D65-9A00-BAEE229D67D3}"/>
  <tableColumns count="26">
    <tableColumn id="1" xr3:uid="{84C5C945-87D1-409F-8F4E-7FCD2CA87141}" name="Reference" dataDxfId="418" dataCellStyle="Normal 2 2 2"/>
    <tableColumn id="2" xr3:uid="{44699C22-989C-4EFD-B5F3-FFC9E404E40B}" name="Expenditure element" dataDxfId="417" dataCellStyle="Normal 2 2 2"/>
    <tableColumn id="3" xr3:uid="{11F0B4FF-DB64-4F07-89F7-BB12E51D2060}" name="Expenditure type" dataDxfId="416" dataCellStyle="Normal 2 2 2"/>
    <tableColumn id="4" xr3:uid="{8254A63F-3787-48AD-BCD7-83F687D77B21}" name="Unit" dataDxfId="415" dataCellStyle="Normal 2 2 2"/>
    <tableColumn id="5" xr3:uid="{963664D7-559C-4DCE-BFF3-8C309FC6374B}" name="Decimal places" dataDxfId="414" dataCellStyle="Normal 2 2 2"/>
    <tableColumn id="6" xr3:uid="{976FC8BB-8214-4DD2-9CC4-54AD3B4D11BE}" name="2019-20" dataDxfId="413" dataCellStyle="Normal 7"/>
    <tableColumn id="7" xr3:uid="{E10A931A-9DF4-4EC9-9FEC-1C1567C21B39}" name="2020-21" dataDxfId="412" dataCellStyle="Normal 7"/>
    <tableColumn id="8" xr3:uid="{F1B3FF67-BC4D-4307-BE9F-AA183A4F2B16}" name="2021-22" dataDxfId="411" dataCellStyle="Normal 7"/>
    <tableColumn id="9" xr3:uid="{617D870F-85F4-4BBE-A12A-6C0245A1C62A}" name="2022-23" dataDxfId="410" dataCellStyle="Normal 7"/>
    <tableColumn id="10" xr3:uid="{D2D6E255-048F-41BA-9982-00E1576871FF}" name="2023-24" dataDxfId="409" dataCellStyle="Normal 7"/>
    <tableColumn id="11" xr3:uid="{E5026756-BC6A-4D6C-8123-817ABC912D03}" name="2024-25" dataDxfId="408" dataCellStyle="Normal 7"/>
    <tableColumn id="12" xr3:uid="{A9C2D79E-FA09-4C91-9714-EC4A158A74B9}" name="2025-26" dataDxfId="407" dataCellStyle="Normal 7"/>
    <tableColumn id="13" xr3:uid="{C8F77F5C-A80D-436B-99E6-49C78ABF0B98}" name="2026-27" dataDxfId="406" dataCellStyle="Normal 7"/>
    <tableColumn id="14" xr3:uid="{B30129DE-C67B-497E-BFD2-B4C18B38B60C}" name="2027-28" dataDxfId="405" dataCellStyle="Normal 7"/>
    <tableColumn id="15" xr3:uid="{C3B08ECA-5A9D-4945-90E9-05DEFC55908D}" name="2028-29" dataDxfId="404" dataCellStyle="Normal 7"/>
    <tableColumn id="16" xr3:uid="{C6F24A71-C022-42F3-A83E-90DFA010AA79}" name="2029-30" dataDxfId="403" dataCellStyle="Normal 7"/>
    <tableColumn id="17" xr3:uid="{37EAF058-8618-458F-874E-447EF8D11405}" name="2030-31 _x000a_to _x000a_2034-35" dataDxfId="402" dataCellStyle="Normal 7"/>
    <tableColumn id="18" xr3:uid="{9F44173D-818E-41A4-A171-5A18DD14E751}" name="2035-36 _x000a_to _x000a_2039-40" dataDxfId="401" dataCellStyle="Normal 7"/>
    <tableColumn id="19" xr3:uid="{EEF1628E-BA4B-483C-A8DA-425E5F58E990}" name="2040-41 _x000a_to _x000a_2044-45" dataDxfId="400" dataCellStyle="Normal 7"/>
    <tableColumn id="20" xr3:uid="{D80FEC7A-86EA-486B-B998-B119C40B2673}" name="2045-46 _x000a_to _x000a_2049-50" dataDxfId="399" dataCellStyle="Normal 7"/>
    <tableColumn id="21" xr3:uid="{59FB7D89-8379-4ED9-A01A-829A5F14A875}" name="2050-51 _x000a_to _x000a_2054-55" dataDxfId="398" dataCellStyle="Normal 7"/>
    <tableColumn id="22" xr3:uid="{0251D4B1-FDFD-4216-B793-60B39CC55A84}" name="2055-56 _x000a_to _x000a_2059-60" dataDxfId="397" dataCellStyle="Normal 7"/>
    <tableColumn id="23" xr3:uid="{7AF61932-9571-45B7-981F-F6683F3F3B27}" name="2060-61 _x000a_to _x000a_2064-65" dataDxfId="396" dataCellStyle="Normal 7"/>
    <tableColumn id="24" xr3:uid="{65DA680C-660E-4262-B25B-0C0CB8E8BA67}" name="2065-66 _x000a_to _x000a_2069-70" dataDxfId="395" dataCellStyle="Normal 7"/>
    <tableColumn id="25" xr3:uid="{D62D5451-B3D3-4B8B-AA0C-2AAF637F55FD}" name="2070-71 _x000a_to _x000a_2074-75" dataDxfId="394" dataCellStyle="Normal 7"/>
    <tableColumn id="26" xr3:uid="{650BEA4A-6CC4-4AF6-A9A9-D767071D9933}" name="2075-76 _x000a_to _x000a_2079-80" dataDxfId="393" dataCellStyle="Normal 7"/>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CC95AF4-9DFC-48A0-A0AA-84C9799DD8C5}" name="TBL8e_Supply_Demand_Benefit374326" displayName="TBL8e_Supply_Demand_Benefit374326" ref="B172:AA184" totalsRowShown="0" headerRowDxfId="392" dataDxfId="390" headerRowBorderDxfId="391" tableBorderDxfId="389" headerRowCellStyle="Normal 2 2 2" dataCellStyle="Normal 7">
  <autoFilter ref="B172:AA184" xr:uid="{2CC95AF4-9DFC-48A0-A0AA-84C9799DD8C5}"/>
  <tableColumns count="26">
    <tableColumn id="1" xr3:uid="{FE3E4FF9-55D5-469D-8F4F-110976F005E1}" name="Reference" dataDxfId="388" dataCellStyle="Normal 2 2 2"/>
    <tableColumn id="2" xr3:uid="{02121ACA-9867-4646-930C-B4B6538D866A}" name="Benefit element" dataDxfId="387" dataCellStyle="Normal 2 2 2"/>
    <tableColumn id="3" xr3:uid="{C965C426-7885-4C04-A541-85AD9D293FA4}" name="Expenditure type" dataDxfId="386" dataCellStyle="Normal 2 2 2"/>
    <tableColumn id="4" xr3:uid="{763B9D92-F230-4BD0-B9ED-F3A6209BB48D}" name="Unit" dataDxfId="385" dataCellStyle="Normal 2 2 2"/>
    <tableColumn id="5" xr3:uid="{FB45E3DD-5A6F-4FFE-82E9-0F768150E0B2}" name="Decimal places" dataDxfId="384" dataCellStyle="Normal 2 2 2"/>
    <tableColumn id="6" xr3:uid="{3EFD3073-6B79-45D4-AC4F-14F2E0E72AE9}" name="2019-20" dataDxfId="383" dataCellStyle="Normal 7"/>
    <tableColumn id="7" xr3:uid="{91CEBCF2-A0F6-4576-B5FB-A7E30012977B}" name="2020-21" dataDxfId="382" dataCellStyle="Normal 7"/>
    <tableColumn id="8" xr3:uid="{C8EDDA72-2469-4ECC-89FD-7059F526E539}" name="2021-22" dataDxfId="381" dataCellStyle="Normal 7"/>
    <tableColumn id="9" xr3:uid="{0841B57A-DED8-4F88-A699-FA9088533B2F}" name="2022-23" dataDxfId="380" dataCellStyle="Normal 7"/>
    <tableColumn id="10" xr3:uid="{7B0BE448-D573-42D2-B709-8BBD7B61BC18}" name="2023-24" dataDxfId="379" dataCellStyle="Normal 7"/>
    <tableColumn id="11" xr3:uid="{5C76F6C8-41DC-4D8A-B60D-D50BACA9B48A}" name="2024-25" dataDxfId="378" dataCellStyle="Normal 7"/>
    <tableColumn id="12" xr3:uid="{BF24EEAD-B951-4DA2-A9F5-A6A1013FEDE3}" name="2025-26" dataDxfId="377" dataCellStyle="Normal 7"/>
    <tableColumn id="13" xr3:uid="{34E62C83-B42E-4527-BD58-4C04F3B2881D}" name="2026-27" dataDxfId="376" dataCellStyle="Normal 7"/>
    <tableColumn id="14" xr3:uid="{ABCC48F5-E389-46A0-87BB-21BF638CCF88}" name="2027-28" dataDxfId="375" dataCellStyle="Normal 7"/>
    <tableColumn id="15" xr3:uid="{B97D8DB9-CD1A-41A8-8508-69D866AFEB6E}" name="2028-29" dataDxfId="374" dataCellStyle="Normal 7"/>
    <tableColumn id="16" xr3:uid="{68FBF3CF-F6FA-495E-AB0E-F39D38708DF1}" name="2029-30" dataDxfId="373" dataCellStyle="Normal 7"/>
    <tableColumn id="17" xr3:uid="{86473058-64F6-4D7C-B31F-AB48CCBC2BE7}" name="2030-31 _x000a_to _x000a_2034-35" dataDxfId="372" dataCellStyle="Normal 7"/>
    <tableColumn id="18" xr3:uid="{B487D621-A3F0-4673-8253-5E2FC32763EB}" name="2035-36 _x000a_to _x000a_2039-40" dataDxfId="371" dataCellStyle="Normal 7"/>
    <tableColumn id="19" xr3:uid="{34C8F5EE-C7B7-4958-B5C8-AD5BBA3E7CFB}" name="2040-41 _x000a_to _x000a_2044-45" dataDxfId="370" dataCellStyle="Normal 7"/>
    <tableColumn id="20" xr3:uid="{8213CC8F-6DFA-4B8C-A6EE-5216D0027555}" name="2045-46 _x000a_to _x000a_2049-50" dataDxfId="369" dataCellStyle="Normal 7"/>
    <tableColumn id="21" xr3:uid="{7E16AD04-CDEF-4B3B-9FAB-E9C780C6FC6D}" name="2050-51 _x000a_to _x000a_2054-55" dataDxfId="368" dataCellStyle="Normal 7"/>
    <tableColumn id="22" xr3:uid="{32A187C5-39CF-4758-89CA-AD54E2C6A52F}" name="2055-56 _x000a_to _x000a_2059-60" dataDxfId="367" dataCellStyle="Normal 7"/>
    <tableColumn id="23" xr3:uid="{C915C0C8-3D24-4198-A698-4C224D43DE54}" name="2060-61 _x000a_to _x000a_2064-65" dataDxfId="366" dataCellStyle="Normal 7"/>
    <tableColumn id="24" xr3:uid="{F0DD6EE3-E4C9-4419-889C-4FCED455AF59}" name="2065-66 _x000a_to _x000a_2069-70" dataDxfId="365" dataCellStyle="Normal 7"/>
    <tableColumn id="25" xr3:uid="{2C9FBF76-C053-4DA9-A797-68839214C71E}" name="2070-71 _x000a_to _x000a_2074-75" dataDxfId="364" dataCellStyle="Normal 7"/>
    <tableColumn id="26" xr3:uid="{90AA9FA5-52C6-45FB-9C5A-6954A8099F01}" name="2075-76 _x000a_to _x000a_2079-80" dataDxfId="363" dataCellStyle="Normal 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126A219-2B48-448F-A1B8-7439EFA501FC}" name="TBL8f_Leakage_Totex384527" displayName="TBL8f_Leakage_Totex384527" ref="B187:AA189" totalsRowShown="0" headerRowDxfId="362" dataDxfId="360" headerRowBorderDxfId="361" tableBorderDxfId="359" headerRowCellStyle="Normal 2 2 2">
  <autoFilter ref="B187:AA189" xr:uid="{2126A219-2B48-448F-A1B8-7439EFA501FC}"/>
  <tableColumns count="26">
    <tableColumn id="1" xr3:uid="{326589D9-E2C9-44A7-AF19-7015D4C75384}" name="Reference" dataDxfId="358" dataCellStyle="Normal 2 2 2"/>
    <tableColumn id="2" xr3:uid="{43459BD3-945B-450C-B3F9-299FD5A51E80}" name="Expenditure element" dataDxfId="357"/>
    <tableColumn id="3" xr3:uid="{5728DF85-C36E-4E2A-940C-B7A585614DFF}" name="Expenditure type" dataDxfId="356"/>
    <tableColumn id="4" xr3:uid="{87CB7247-E729-4F89-8E0C-7B5D67632229}" name="Unit" dataDxfId="355"/>
    <tableColumn id="5" xr3:uid="{D35715DD-5256-45F2-9D26-30E478E7A07C}" name="Decimal places" dataDxfId="354"/>
    <tableColumn id="6" xr3:uid="{DE2534A1-A8DA-4D98-ACA5-65BEB6B1FEFF}" name="2019-20" dataDxfId="353" dataCellStyle="Normal 7"/>
    <tableColumn id="7" xr3:uid="{846A21CE-73B7-410A-BEB0-CED958EDA43A}" name="2020-21" dataDxfId="352" dataCellStyle="Normal 7"/>
    <tableColumn id="8" xr3:uid="{A922470E-74E5-4170-92F4-97014D28B2F6}" name="2021-22" dataDxfId="351" dataCellStyle="Normal 7"/>
    <tableColumn id="9" xr3:uid="{B30577FB-0ACB-4656-8316-FACB239E51FF}" name="2022-23" dataDxfId="350" dataCellStyle="Normal 7"/>
    <tableColumn id="10" xr3:uid="{2174F68D-544D-4731-8CBC-D6E7A24BBD49}" name="2023-24" dataDxfId="349" dataCellStyle="Normal 7"/>
    <tableColumn id="11" xr3:uid="{CF75B3A8-8721-4F0C-8D5D-726E40E2DFD1}" name="2024-25" dataDxfId="348" dataCellStyle="Normal 7"/>
    <tableColumn id="12" xr3:uid="{4F83A242-1239-4C76-B524-0C51F4024F03}" name="2025-26" dataDxfId="347" dataCellStyle="Normal 7"/>
    <tableColumn id="13" xr3:uid="{BF24AF27-E033-4ABA-80D1-2F50CC9251A3}" name="2026-27" dataDxfId="346" dataCellStyle="Normal 7"/>
    <tableColumn id="14" xr3:uid="{DBCD67B8-30AC-468D-9BE1-C027C34BC982}" name="2027-28" dataDxfId="345" dataCellStyle="Normal 7"/>
    <tableColumn id="15" xr3:uid="{491D6885-069A-428E-A161-05684ED160B3}" name="2028-29" dataDxfId="344" dataCellStyle="Normal 7"/>
    <tableColumn id="16" xr3:uid="{55B8233B-B5D5-4127-A1CA-D21A6C9DADF2}" name="2029-30" dataDxfId="343" dataCellStyle="Normal 7"/>
    <tableColumn id="17" xr3:uid="{7DEFF1CD-3C4D-452D-A57E-4879E05B5998}" name="2030-31 _x000a_to _x000a_2034-35" dataDxfId="342" dataCellStyle="Normal 7"/>
    <tableColumn id="18" xr3:uid="{90E10F3E-367C-4CFF-9A17-3CDA411D4D90}" name="2035-36 _x000a_to _x000a_2039-40" dataDxfId="341" dataCellStyle="Normal 7"/>
    <tableColumn id="19" xr3:uid="{63A3C404-81D2-46AF-87FF-657E1FF219A8}" name="2040-41 _x000a_to _x000a_2044-45" dataDxfId="340" dataCellStyle="Normal 7"/>
    <tableColumn id="20" xr3:uid="{F7B2A569-2DDD-4819-96BB-0FEFC8C07398}" name="2045-46 _x000a_to _x000a_2049-50" dataDxfId="339" dataCellStyle="Normal 7"/>
    <tableColumn id="21" xr3:uid="{BCF3D75E-0F34-4382-8C39-674EA10118EC}" name="2050-51 _x000a_to _x000a_2054-55" dataDxfId="338" dataCellStyle="Normal 7"/>
    <tableColumn id="22" xr3:uid="{C6E37419-B2F0-4C14-94E5-1CBB674318E2}" name="2055-56 _x000a_to _x000a_2059-60" dataDxfId="337" dataCellStyle="Normal 7"/>
    <tableColumn id="23" xr3:uid="{8CE1A98E-865E-4316-B087-AD722FF806EC}" name="2060-61 _x000a_to _x000a_2064-65" dataDxfId="336" dataCellStyle="Normal 7"/>
    <tableColumn id="24" xr3:uid="{28813FD3-BE1B-4C8B-8EFF-C506D0475298}" name="2065-66 _x000a_to _x000a_2069-70" dataDxfId="335" dataCellStyle="Normal 7"/>
    <tableColumn id="25" xr3:uid="{AD622268-EF75-4D7F-9218-6771140B4A6F}" name="2070-71 _x000a_to _x000a_2074-75" dataDxfId="334" dataCellStyle="Normal 7"/>
    <tableColumn id="26" xr3:uid="{A734D07D-73DF-4443-978C-152FA6E9C941}" name="2075-76 _x000a_to _x000a_2079-80" dataDxfId="333" dataCellStyle="Normal 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16CB49B-2A36-404C-BB2B-15BD0ECB5E8A}" name="TBL8a_Base_Totex333928" displayName="TBL8a_Base_Totex333928" ref="B196:AA199" totalsRowShown="0" headerRowDxfId="332" dataDxfId="330" headerRowBorderDxfId="331" tableBorderDxfId="329" headerRowCellStyle="Normal 2 2 2">
  <autoFilter ref="B196:AA199" xr:uid="{F16CB49B-2A36-404C-BB2B-15BD0ECB5E8A}"/>
  <tableColumns count="26">
    <tableColumn id="1" xr3:uid="{FBA70F59-BD25-4DD4-AC09-D6E6D3CC97C4}" name="Reference" dataDxfId="328"/>
    <tableColumn id="2" xr3:uid="{1B83E8C7-674C-4C3D-A63B-31D7A6302112}" name="Expenditure element" dataDxfId="327" dataCellStyle="Normal 2 2 2"/>
    <tableColumn id="3" xr3:uid="{437F95E5-75FB-4AEF-9224-078D79080CE3}" name="Expenditure type" dataDxfId="326" dataCellStyle="Normal 2 2 2"/>
    <tableColumn id="4" xr3:uid="{F6E5BF47-E261-4ECA-9101-62C455C3B1FE}" name="Unit" dataDxfId="325" dataCellStyle="Normal 2 2 2"/>
    <tableColumn id="5" xr3:uid="{D0DEF932-D46C-45B6-B0F1-B93E029CE64A}" name="Decimal places" dataDxfId="324" dataCellStyle="Normal 2 2 2"/>
    <tableColumn id="6" xr3:uid="{2B62E3B9-38A8-4EE8-8984-1B89D8336403}" name="2019-20" dataDxfId="323"/>
    <tableColumn id="7" xr3:uid="{996A6006-F18B-4E7C-9B4C-C3376866341F}" name="2020-21" dataDxfId="322"/>
    <tableColumn id="8" xr3:uid="{ED62C72E-D0EE-425A-A310-34329931680A}" name="2021-22" dataDxfId="321"/>
    <tableColumn id="9" xr3:uid="{98894AF3-2BE8-4064-A139-39878DC79305}" name="2022-23" dataDxfId="320"/>
    <tableColumn id="10" xr3:uid="{ECCC3D72-1C54-4071-B444-53BE8C7515B1}" name="2023-24" dataDxfId="319"/>
    <tableColumn id="11" xr3:uid="{16B16880-FB78-4352-A33D-08D095C17152}" name="2024-25" dataDxfId="318"/>
    <tableColumn id="12" xr3:uid="{6B98A364-7B3C-48F1-853D-D53B143AAECA}" name="2025-26" dataDxfId="317"/>
    <tableColumn id="13" xr3:uid="{5ED6BC04-5376-49CB-89B7-B54AF02901BA}" name="2026-27" dataDxfId="316"/>
    <tableColumn id="14" xr3:uid="{A0BEE2FF-084A-4229-B618-091150211956}" name="2027-28" dataDxfId="315"/>
    <tableColumn id="15" xr3:uid="{60EC5A60-ECC2-4C35-98C6-05E040D482D5}" name="2028-29" dataDxfId="314"/>
    <tableColumn id="16" xr3:uid="{9EE8D06E-650B-4F39-A7A1-FE5218B45781}" name="2029-30" dataDxfId="313"/>
    <tableColumn id="17" xr3:uid="{E1206CD8-D981-4A97-8082-7B0075AA78AC}" name="2030-31 _x000a_to _x000a_2034-35" dataDxfId="312"/>
    <tableColumn id="18" xr3:uid="{167FB249-7524-43F4-A235-C05FA191D439}" name="2035-36 _x000a_to _x000a_2039-40" dataDxfId="311"/>
    <tableColumn id="19" xr3:uid="{99841A11-DBD0-4E3E-A8C6-34797307415D}" name="2040-41 _x000a_to _x000a_2044-45" dataDxfId="310"/>
    <tableColumn id="20" xr3:uid="{2C3AC6A8-3424-434A-8703-B783A5E966B6}" name="2045-46 _x000a_to _x000a_2049-50" dataDxfId="309"/>
    <tableColumn id="21" xr3:uid="{21D58EFD-E019-4249-81AF-7B6A485512C6}" name="2050-51 _x000a_to _x000a_2054-55" dataDxfId="308"/>
    <tableColumn id="22" xr3:uid="{1D79450D-1E19-4E38-89CD-D7940DD0A02C}" name="2055-56 _x000a_to _x000a_2059-60" dataDxfId="307"/>
    <tableColumn id="23" xr3:uid="{F6CBE504-5DDD-4CC8-A490-4E3F02C83031}" name="2060-61 _x000a_to _x000a_2064-65" dataDxfId="306"/>
    <tableColumn id="24" xr3:uid="{07DA6C45-C249-43C1-AAC7-B85D1E81E5AD}" name="2065-66 _x000a_to _x000a_2069-70" dataDxfId="305"/>
    <tableColumn id="25" xr3:uid="{9884829D-F08A-4241-9922-30EF9A9CBE8F}" name="2070-71 _x000a_to _x000a_2074-75" dataDxfId="304"/>
    <tableColumn id="26" xr3:uid="{ADF1F913-529E-4860-9524-106051259AC1}" name="2075-76 _x000a_to _x000a_2079-80" dataDxfId="30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B4EDC4F-0446-4860-8D23-F0D36FA6AE87}" name="TBL8b_SDB_Expenditure344029" displayName="TBL8b_SDB_Expenditure344029" ref="B202:AA218" totalsRowShown="0" headerRowDxfId="302" dataDxfId="300" headerRowBorderDxfId="301" tableBorderDxfId="299" headerRowCellStyle="Normal 2 2 2" dataCellStyle="Normal 7">
  <autoFilter ref="B202:AA218" xr:uid="{EB4EDC4F-0446-4860-8D23-F0D36FA6AE87}"/>
  <tableColumns count="26">
    <tableColumn id="1" xr3:uid="{85A78883-2DFC-48E2-A840-B4CE8AF30AC7}" name="Reference" dataDxfId="298" dataCellStyle="Normal 2 2 2"/>
    <tableColumn id="2" xr3:uid="{2716DF32-3D12-46C4-A834-4E1AF472647D}" name="Expenditure element" dataDxfId="297" dataCellStyle="Normal 2 2 2"/>
    <tableColumn id="3" xr3:uid="{339D4413-7034-4C0F-BA50-B28DD89494A1}" name="Expenditure type" dataDxfId="296" dataCellStyle="Normal 2 2 2"/>
    <tableColumn id="4" xr3:uid="{49768668-097D-4D26-8B48-80A9F97BF611}" name="Unit" dataDxfId="295" dataCellStyle="Normal 2 2 2"/>
    <tableColumn id="5" xr3:uid="{4694F8D9-5D4D-43C8-819C-7280A8AE8BBB}" name="Decimal places" dataDxfId="294" dataCellStyle="Normal 2 2 2"/>
    <tableColumn id="6" xr3:uid="{59D0CC1D-BE3E-4A90-9A9B-5D04D61CE876}" name="2019-20" dataDxfId="293" dataCellStyle="Normal 7"/>
    <tableColumn id="7" xr3:uid="{5CD4FFF6-1E7D-47A9-A983-50A484518213}" name="2020-21" dataDxfId="292" dataCellStyle="Normal 7"/>
    <tableColumn id="8" xr3:uid="{4E619ED0-4520-4BA3-AF1F-382A02F47F09}" name="2021-22" dataDxfId="291" dataCellStyle="Normal 7"/>
    <tableColumn id="9" xr3:uid="{849B0112-8597-4272-840C-8CBC4D013682}" name="2022-23" dataDxfId="290" dataCellStyle="Normal 7"/>
    <tableColumn id="10" xr3:uid="{AEEB0932-815F-420E-ADAD-05AB345B2DCF}" name="2023-24" dataDxfId="289" dataCellStyle="Normal 7"/>
    <tableColumn id="11" xr3:uid="{CEC41E9E-B516-418D-AC49-D0885CECA96A}" name="2024-25" dataDxfId="288" dataCellStyle="Normal 7"/>
    <tableColumn id="12" xr3:uid="{51A8E616-3A69-49A0-9733-3B839654B164}" name="2025-26" dataDxfId="287" dataCellStyle="Normal 7"/>
    <tableColumn id="13" xr3:uid="{00E40A66-2C9C-4FF7-9283-F35F264CEDC7}" name="2026-27" dataDxfId="286" dataCellStyle="Normal 7"/>
    <tableColumn id="14" xr3:uid="{EBB8A027-8115-4B29-8DA0-F28C8297675E}" name="2027-28" dataDxfId="285" dataCellStyle="Normal 7"/>
    <tableColumn id="15" xr3:uid="{E0EC5F88-F4E7-44AE-AD51-BE89E496E3B2}" name="2028-29" dataDxfId="284" dataCellStyle="Normal 7"/>
    <tableColumn id="16" xr3:uid="{EC5C197A-3BA1-4409-9591-A1DF9C22E4FE}" name="2029-30" dataDxfId="283" dataCellStyle="Normal 7"/>
    <tableColumn id="17" xr3:uid="{D322F595-913E-417F-AD87-C7EA4ABBD0E7}" name="2030-31 _x000a_to _x000a_2034-35" dataDxfId="282" dataCellStyle="Normal 7"/>
    <tableColumn id="18" xr3:uid="{94AF5588-948A-43B7-93E4-B8E05E3AFF04}" name="2035-36 _x000a_to _x000a_2039-40" dataDxfId="281" dataCellStyle="Normal 7"/>
    <tableColumn id="19" xr3:uid="{B59AFBA6-73C1-4BA5-A5E2-DBD1FF11D3F9}" name="2040-41 _x000a_to _x000a_2044-45" dataDxfId="280" dataCellStyle="Normal 7"/>
    <tableColumn id="20" xr3:uid="{B27A7F67-692B-4ECE-BA9D-7AC7744A4864}" name="2045-46 _x000a_to _x000a_2049-50" dataDxfId="279" dataCellStyle="Normal 7"/>
    <tableColumn id="21" xr3:uid="{7F944E91-FBDD-4C24-9422-494FB2418DEF}" name="2050-51 _x000a_to _x000a_2054-55" dataDxfId="278" dataCellStyle="Normal 7"/>
    <tableColumn id="22" xr3:uid="{FC01D4B3-023B-4AEF-9D80-AB19ED34A5B8}" name="2055-56 _x000a_to _x000a_2059-60" dataDxfId="277" dataCellStyle="Normal 7"/>
    <tableColumn id="23" xr3:uid="{41A7511F-F649-42E2-9702-55EC6F250A94}" name="2060-61 _x000a_to _x000a_2064-65" dataDxfId="276" dataCellStyle="Normal 7"/>
    <tableColumn id="24" xr3:uid="{8A074F03-BA2E-4CA7-9BD8-D26ECEA9C2FF}" name="2065-66 _x000a_to _x000a_2069-70" dataDxfId="275" dataCellStyle="Normal 7"/>
    <tableColumn id="25" xr3:uid="{99E3BC10-4609-4147-8510-8BAA7765EA95}" name="2070-71 _x000a_to _x000a_2074-75" dataDxfId="274" dataCellStyle="Normal 7"/>
    <tableColumn id="26" xr3:uid="{5CF7692F-4AF9-46AB-86DD-6775D0A37CCB}" name="2075-76 _x000a_to _x000a_2079-80" dataDxfId="273" dataCellStyle="Normal 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43:L46" totalsRowShown="0" headerRowDxfId="1410" headerRowBorderDxfId="1409" tableBorderDxfId="1408" totalsRowBorderDxfId="1407" headerRowCellStyle="Normal 2">
  <autoFilter ref="B43:L46" xr:uid="{00000000-0009-0000-0100-000003000000}"/>
  <tableColumns count="11">
    <tableColumn id="2" xr3:uid="{00000000-0010-0000-0200-000002000000}" name="WRMP24 Reference" dataDxfId="1406"/>
    <tableColumn id="3" xr3:uid="{00000000-0010-0000-0200-000003000000}" name="Derivation" dataDxfId="1405"/>
    <tableColumn id="4" xr3:uid="{00000000-0010-0000-0200-000004000000}" name="Licence number" dataDxfId="1404"/>
    <tableColumn id="5" xr3:uid="{00000000-0010-0000-0200-000005000000}" name="Source name" dataDxfId="1403"/>
    <tableColumn id="6" xr3:uid="{00000000-0010-0000-0200-000006000000}" name="Source type" dataDxfId="1402"/>
    <tableColumn id="7" xr3:uid="{00000000-0010-0000-0200-000007000000}" name="WRZ Code" dataDxfId="1401"/>
    <tableColumn id="8" xr3:uid="{00000000-0010-0000-0200-000008000000}" name="DYAA deployable output (Ml/d)" dataDxfId="1400"/>
    <tableColumn id="1" xr3:uid="{00000000-0010-0000-0200-000001000000}" name="DYCP deployable output (Ml/d)" dataDxfId="1399">
      <calculatedColumnFormula>SUM(I45:I46)</calculatedColumnFormula>
    </tableColumn>
    <tableColumn id="9" xr3:uid="{00000000-0010-0000-0200-000009000000}" name="Annual licensed quantity (Ml/d)" dataDxfId="1398"/>
    <tableColumn id="10" xr3:uid="{00000000-0010-0000-0200-00000A000000}" name="Reason licence is unused" dataDxfId="1397"/>
    <tableColumn id="11" xr3:uid="{00000000-0010-0000-0200-00000B000000}" name="Additional notes (if desired)" dataDxfId="1396"/>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FAFF154-629F-4832-943E-04466F8EC100}" name="TBL8c_Metering_Expenditure354130" displayName="TBL8c_Metering_Expenditure354130" ref="B221:AA258" totalsRowShown="0" headerRowDxfId="272" dataDxfId="270" headerRowBorderDxfId="271" tableBorderDxfId="269" headerRowCellStyle="Normal 2 2 2" dataCellStyle="Normal 7">
  <autoFilter ref="B221:AA258" xr:uid="{0FAFF154-629F-4832-943E-04466F8EC100}"/>
  <tableColumns count="26">
    <tableColumn id="1" xr3:uid="{4C58AA3B-53ED-4C73-9FE4-BCFC44C36C02}" name="Reference" dataDxfId="268" dataCellStyle="Normal 2 2 2"/>
    <tableColumn id="2" xr3:uid="{8BBBC7F3-4C53-46F8-ADC7-FAF17442A85A}" name="Expenditure element" dataDxfId="267" dataCellStyle="Normal 2 2 2"/>
    <tableColumn id="3" xr3:uid="{FC1D3587-2013-4132-81E6-1F3164409C2F}" name="Expenditure type" dataDxfId="266" dataCellStyle="Normal 2 2 2"/>
    <tableColumn id="4" xr3:uid="{5805B73E-F2F7-4D23-9DFB-A6CC9CE2227A}" name="Unit" dataDxfId="265" dataCellStyle="Normal 2 2 2"/>
    <tableColumn id="5" xr3:uid="{E850EA82-6B43-478D-95B8-E6A2F3CA0D98}" name="Decimal places" dataDxfId="264" dataCellStyle="Normal 2 2 2"/>
    <tableColumn id="6" xr3:uid="{5535D6F7-1DE0-42A0-B79C-9B3909EF2A1A}" name="2019-20" dataDxfId="263" dataCellStyle="Normal 7"/>
    <tableColumn id="7" xr3:uid="{01540845-A072-480C-803A-C4ADC41256D0}" name="2020-21" dataDxfId="262" dataCellStyle="Normal 7"/>
    <tableColumn id="8" xr3:uid="{48BC776A-0CF5-410C-B70B-210A059289EF}" name="2021-22" dataDxfId="261" dataCellStyle="Normal 7"/>
    <tableColumn id="9" xr3:uid="{452A552F-B707-4E92-93B4-C81C93B1CF36}" name="2022-23" dataDxfId="260" dataCellStyle="Normal 7"/>
    <tableColumn id="10" xr3:uid="{A5BDF083-E438-4528-8AD6-4D98A001635E}" name="2023-24" dataDxfId="259" dataCellStyle="Normal 7"/>
    <tableColumn id="11" xr3:uid="{06F52082-2391-4A67-906C-347BC664B4E4}" name="2024-25" dataDxfId="258" dataCellStyle="Normal 7"/>
    <tableColumn id="12" xr3:uid="{DC1E566F-FE5D-4CE2-A0A9-F4B9344C9959}" name="2025-26" dataDxfId="257" dataCellStyle="Normal 7"/>
    <tableColumn id="13" xr3:uid="{4B7FA9E0-58AF-4F9A-BB29-63D923A452DF}" name="2026-27" dataDxfId="256" dataCellStyle="Normal 7"/>
    <tableColumn id="14" xr3:uid="{CA2388F9-F019-4E29-9DD2-692965CDAFEA}" name="2027-28" dataDxfId="255" dataCellStyle="Normal 7"/>
    <tableColumn id="15" xr3:uid="{3DC70088-A84E-4B50-8689-4AF980BFA76F}" name="2028-29" dataDxfId="254" dataCellStyle="Normal 7"/>
    <tableColumn id="16" xr3:uid="{CCED0BF6-F36E-4D50-8BC4-496555D93596}" name="2029-30" dataDxfId="253" dataCellStyle="Normal 7"/>
    <tableColumn id="17" xr3:uid="{6FFB8719-D763-4452-B33A-E686EB9BAF4F}" name="2030-31 _x000a_to _x000a_2034-35" dataDxfId="252" dataCellStyle="Normal 7"/>
    <tableColumn id="18" xr3:uid="{E695EE8F-AA1C-433D-80B1-DA8FB428757E}" name="2035-36 _x000a_to _x000a_2039-40" dataDxfId="251" dataCellStyle="Normal 7"/>
    <tableColumn id="19" xr3:uid="{AC25FB7C-725F-44AD-ADCB-E575EC922306}" name="2040-41 _x000a_to _x000a_2044-45" dataDxfId="250" dataCellStyle="Normal 7"/>
    <tableColumn id="20" xr3:uid="{A36FBEBA-9CED-414F-8136-6118CC2488D0}" name="2045-46 _x000a_to _x000a_2049-50" dataDxfId="249" dataCellStyle="Normal 7"/>
    <tableColumn id="21" xr3:uid="{2E08DFB8-F4D1-4B3D-BC57-B16B1DAE2BD1}" name="2050-51 _x000a_to _x000a_2054-55" dataDxfId="248" dataCellStyle="Normal 7"/>
    <tableColumn id="22" xr3:uid="{EF725CF0-F05B-4831-AA3E-7FFE4CAE0B01}" name="2055-56 _x000a_to _x000a_2059-60" dataDxfId="247" dataCellStyle="Normal 7"/>
    <tableColumn id="23" xr3:uid="{EC2A2C4E-D894-432A-9C5C-D496E4156366}" name="2060-61 _x000a_to _x000a_2064-65" dataDxfId="246" dataCellStyle="Normal 7"/>
    <tableColumn id="24" xr3:uid="{D4D032B9-3C82-476D-ABB1-B10B666EFD32}" name="2065-66 _x000a_to _x000a_2069-70" dataDxfId="245" dataCellStyle="Normal 7"/>
    <tableColumn id="25" xr3:uid="{E0B24A70-50BB-4E97-8449-7E71040259D0}" name="2070-71 _x000a_to _x000a_2074-75" dataDxfId="244" dataCellStyle="Normal 7"/>
    <tableColumn id="26" xr3:uid="{44BFDA76-66BF-4DCB-BD7B-61DEA5A5A026}" name="2075-76 _x000a_to _x000a_2079-80" dataDxfId="243" dataCellStyle="Normal 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F27FFCD-51F6-401F-9976-2999574A6B3C}" name="TBL8d_Total_Enhancement364231" displayName="TBL8d_Total_Enhancement364231" ref="B261:AA264" totalsRowShown="0" headerRowDxfId="242" dataDxfId="240" headerRowBorderDxfId="241" tableBorderDxfId="239" headerRowCellStyle="Normal 2 2 2" dataCellStyle="Normal 7">
  <autoFilter ref="B261:AA264" xr:uid="{DF27FFCD-51F6-401F-9976-2999574A6B3C}"/>
  <tableColumns count="26">
    <tableColumn id="1" xr3:uid="{3D12039D-1EF1-4F58-A5A8-52D77046C189}" name="Reference" dataDxfId="238" dataCellStyle="Normal 2 2 2"/>
    <tableColumn id="2" xr3:uid="{77008C76-E362-4887-9727-A2C96F765B48}" name="Expenditure element" dataDxfId="237" dataCellStyle="Normal 2 2 2"/>
    <tableColumn id="3" xr3:uid="{D746F43E-C5EA-4BE4-8959-5A4E6DCF2A24}" name="Expenditure type" dataDxfId="236" dataCellStyle="Normal 2 2 2"/>
    <tableColumn id="4" xr3:uid="{21526B3C-4164-4331-939F-58E414B3D502}" name="Unit" dataDxfId="235" dataCellStyle="Normal 2 2 2"/>
    <tableColumn id="5" xr3:uid="{91C31210-E541-41A8-8B33-F89C768F9232}" name="Decimal places" dataDxfId="234" dataCellStyle="Normal 2 2 2"/>
    <tableColumn id="6" xr3:uid="{C6FBD42C-A314-4DEB-BBF7-DCE930537D62}" name="2019-20" dataDxfId="233" dataCellStyle="Normal 7"/>
    <tableColumn id="7" xr3:uid="{4A66693B-8914-4C73-99F3-6FC3FE23436E}" name="2020-21" dataDxfId="232" dataCellStyle="Normal 7"/>
    <tableColumn id="8" xr3:uid="{A3398DED-BAAA-4C2F-B9BE-7FE33C86AA6C}" name="2021-22" dataDxfId="231" dataCellStyle="Normal 7"/>
    <tableColumn id="9" xr3:uid="{75C7A4FC-DA1C-484B-A964-4367BAE78933}" name="2022-23" dataDxfId="230" dataCellStyle="Normal 7"/>
    <tableColumn id="10" xr3:uid="{25E3414A-0DC0-4BEE-9932-A2FC0B4DD2BB}" name="2023-24" dataDxfId="229" dataCellStyle="Normal 7"/>
    <tableColumn id="11" xr3:uid="{8BEA595C-EA8D-4DE6-937A-91B2B66EB793}" name="2024-25" dataDxfId="228" dataCellStyle="Normal 7"/>
    <tableColumn id="12" xr3:uid="{0F96D31C-D85E-4A15-8462-8B846556D7D7}" name="2025-26" dataDxfId="227" dataCellStyle="Normal 7"/>
    <tableColumn id="13" xr3:uid="{61D79526-02CB-4B8A-811B-79C263DB6081}" name="2026-27" dataDxfId="226" dataCellStyle="Normal 7"/>
    <tableColumn id="14" xr3:uid="{C9B9DBBD-D3C1-4B67-926D-F091F95A6459}" name="2027-28" dataDxfId="225" dataCellStyle="Normal 7"/>
    <tableColumn id="15" xr3:uid="{ED74AD04-B8A0-4D5B-B48B-6C901FA361F2}" name="2028-29" dataDxfId="224" dataCellStyle="Normal 7"/>
    <tableColumn id="16" xr3:uid="{A56D5C96-32DA-4F7D-91E7-AD9AC417DEA7}" name="2029-30" dataDxfId="223" dataCellStyle="Normal 7"/>
    <tableColumn id="17" xr3:uid="{646E9228-8997-43DE-A1AF-00915DA6817C}" name="2030-31 _x000a_to _x000a_2034-35" dataDxfId="222" dataCellStyle="Normal 7"/>
    <tableColumn id="18" xr3:uid="{E95EAF5B-0D22-4F43-8369-3F9C3459A6E7}" name="2035-36 _x000a_to _x000a_2039-40" dataDxfId="221" dataCellStyle="Normal 7"/>
    <tableColumn id="19" xr3:uid="{2AE24641-DF46-4ECA-BD4E-331490022874}" name="2040-41 _x000a_to _x000a_2044-45" dataDxfId="220" dataCellStyle="Normal 7"/>
    <tableColumn id="20" xr3:uid="{7767BF9F-D79A-4D70-B38A-7B4D7536BAA3}" name="2045-46 _x000a_to _x000a_2049-50" dataDxfId="219" dataCellStyle="Normal 7"/>
    <tableColumn id="21" xr3:uid="{82F0C49D-7646-49F7-993E-11DEA8FA4362}" name="2050-51 _x000a_to _x000a_2054-55" dataDxfId="218" dataCellStyle="Normal 7"/>
    <tableColumn id="22" xr3:uid="{815BF66C-AAD0-4519-90AE-8C31BA4D5F2D}" name="2055-56 _x000a_to _x000a_2059-60" dataDxfId="217" dataCellStyle="Normal 7"/>
    <tableColumn id="23" xr3:uid="{2597954E-D5FC-49FE-9712-0FC25B5A38AE}" name="2060-61 _x000a_to _x000a_2064-65" dataDxfId="216" dataCellStyle="Normal 7"/>
    <tableColumn id="24" xr3:uid="{54C0E756-B76E-43EF-9E81-75BC1B4CA276}" name="2065-66 _x000a_to _x000a_2069-70" dataDxfId="215" dataCellStyle="Normal 7"/>
    <tableColumn id="25" xr3:uid="{05510272-9552-49AA-AEF0-ADE8B59EF087}" name="2070-71 _x000a_to _x000a_2074-75" dataDxfId="214" dataCellStyle="Normal 7"/>
    <tableColumn id="26" xr3:uid="{AEAE9530-1A72-4C9E-83CB-55BE290792DD}" name="2075-76 _x000a_to _x000a_2079-80" dataDxfId="213" dataCellStyle="Normal 7"/>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9078D188-D8BF-4327-A181-D4D4C96442E5}" name="TBL8e_Supply_Demand_Benefit374332" displayName="TBL8e_Supply_Demand_Benefit374332" ref="B267:AA279" totalsRowShown="0" headerRowDxfId="212" dataDxfId="210" headerRowBorderDxfId="211" tableBorderDxfId="209" headerRowCellStyle="Normal 2 2 2" dataCellStyle="Normal 7">
  <autoFilter ref="B267:AA279" xr:uid="{9078D188-D8BF-4327-A181-D4D4C96442E5}"/>
  <tableColumns count="26">
    <tableColumn id="1" xr3:uid="{B8E69674-9CFC-4576-9A10-3AB329C8FD98}" name="Reference" dataDxfId="208" dataCellStyle="Normal 2 2 2"/>
    <tableColumn id="2" xr3:uid="{FC202EFF-23E2-4F16-A98B-9A630D6AAA5A}" name="Benefit element" dataDxfId="207" dataCellStyle="Normal 2 2 2"/>
    <tableColumn id="3" xr3:uid="{C782CDC1-38B2-4DE3-B5FA-85A87342F16C}" name="Expenditure type" dataDxfId="206" dataCellStyle="Normal 2 2 2"/>
    <tableColumn id="4" xr3:uid="{05B9C36B-B8C5-4CA7-92D8-70FB9E2F4676}" name="Unit" dataDxfId="205" dataCellStyle="Normal 2 2 2"/>
    <tableColumn id="5" xr3:uid="{4C0A760E-F0EC-436D-B972-72E4D66E39F6}" name="Decimal places" dataDxfId="204" dataCellStyle="Normal 2 2 2"/>
    <tableColumn id="6" xr3:uid="{289CE644-BA68-474A-9BF1-5752CFE5FB5B}" name="2019-20" dataDxfId="203" dataCellStyle="Normal 7"/>
    <tableColumn id="7" xr3:uid="{D7DD4F0D-9124-49DB-AF8D-7CD3CCC1A43B}" name="2020-21" dataDxfId="202" dataCellStyle="Normal 7"/>
    <tableColumn id="8" xr3:uid="{2D081DBB-1964-466D-B46B-1C1293A9E2CE}" name="2021-22" dataDxfId="201" dataCellStyle="Normal 7"/>
    <tableColumn id="9" xr3:uid="{95C33AB2-52FE-4164-9483-75A7FA8097B5}" name="2022-23" dataDxfId="200" dataCellStyle="Normal 7"/>
    <tableColumn id="10" xr3:uid="{A0D7974C-B4A5-4791-BCB1-D179E84D056C}" name="2023-24" dataDxfId="199" dataCellStyle="Normal 7"/>
    <tableColumn id="11" xr3:uid="{BF5D6739-35E6-406D-A4F9-0A7B7A016585}" name="2024-25" dataDxfId="198" dataCellStyle="Normal 7"/>
    <tableColumn id="12" xr3:uid="{11B1F22B-2805-438B-AD53-C3DF47498236}" name="2025-26" dataDxfId="197" dataCellStyle="Normal 7"/>
    <tableColumn id="13" xr3:uid="{7270CA0B-4572-4D7D-A738-5AB5E841CA7A}" name="2026-27" dataDxfId="196" dataCellStyle="Normal 7"/>
    <tableColumn id="14" xr3:uid="{38951091-2D3D-4066-B724-E0E30DFC6311}" name="2027-28" dataDxfId="195" dataCellStyle="Normal 7"/>
    <tableColumn id="15" xr3:uid="{EC353AA2-B5C0-4B7C-90D6-44197CF3812E}" name="2028-29" dataDxfId="194" dataCellStyle="Normal 7"/>
    <tableColumn id="16" xr3:uid="{12E098D1-A6E4-45B1-9D99-F563A57F035C}" name="2029-30" dataDxfId="193" dataCellStyle="Normal 7"/>
    <tableColumn id="17" xr3:uid="{626F06E3-9FB4-445B-A998-D3E4382B6C34}" name="2030-31 _x000a_to _x000a_2034-35" dataDxfId="192" dataCellStyle="Normal 7"/>
    <tableColumn id="18" xr3:uid="{FC7529D1-B06A-4F87-AB8A-A1A5CB87D46D}" name="2035-36 _x000a_to _x000a_2039-40" dataDxfId="191" dataCellStyle="Normal 7"/>
    <tableColumn id="19" xr3:uid="{5A22270F-3440-4A51-BAB7-43488C64F6FB}" name="2040-41 _x000a_to _x000a_2044-45" dataDxfId="190" dataCellStyle="Normal 7"/>
    <tableColumn id="20" xr3:uid="{09AFF113-97B5-418A-94F1-94201F7F1EA6}" name="2045-46 _x000a_to _x000a_2049-50" dataDxfId="189" dataCellStyle="Normal 7"/>
    <tableColumn id="21" xr3:uid="{04BF26B1-924E-4CF7-BF4B-5186722D83A4}" name="2050-51 _x000a_to _x000a_2054-55" dataDxfId="188" dataCellStyle="Normal 7"/>
    <tableColumn id="22" xr3:uid="{E29EE3AB-E8BD-466B-A09A-AAF21177CE3C}" name="2055-56 _x000a_to _x000a_2059-60" dataDxfId="187" dataCellStyle="Normal 7"/>
    <tableColumn id="23" xr3:uid="{81ED29EA-5E5E-4E82-9813-96A6F6B4E0FB}" name="2060-61 _x000a_to _x000a_2064-65" dataDxfId="186" dataCellStyle="Normal 7"/>
    <tableColumn id="24" xr3:uid="{B359DF72-3321-4457-8196-BE8DDE74F094}" name="2065-66 _x000a_to _x000a_2069-70" dataDxfId="185" dataCellStyle="Normal 7"/>
    <tableColumn id="25" xr3:uid="{71F55040-3DD9-4E95-8DE7-B5A7BAE761EE}" name="2070-71 _x000a_to _x000a_2074-75" dataDxfId="184" dataCellStyle="Normal 7"/>
    <tableColumn id="26" xr3:uid="{0861FDAB-C8CC-4037-B788-A1602FE6F47B}" name="2075-76 _x000a_to _x000a_2079-80" dataDxfId="183" dataCellStyle="Normal 7"/>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3792268-80E9-4529-A6C2-9801B30D4DFD}" name="TBL8f_Leakage_Totex384533" displayName="TBL8f_Leakage_Totex384533" ref="B282:AA284" totalsRowShown="0" headerRowDxfId="182" dataDxfId="180" headerRowBorderDxfId="181" tableBorderDxfId="179" headerRowCellStyle="Normal 2 2 2">
  <autoFilter ref="B282:AA284" xr:uid="{C3792268-80E9-4529-A6C2-9801B30D4DFD}"/>
  <tableColumns count="26">
    <tableColumn id="1" xr3:uid="{5D9CF709-A36D-47AC-A262-0B98C63174CF}" name="Reference" dataDxfId="178" dataCellStyle="Normal 2 2 2"/>
    <tableColumn id="2" xr3:uid="{18A14189-63E1-4F17-9FFC-4394E37646A9}" name="Expenditure element" dataDxfId="177"/>
    <tableColumn id="3" xr3:uid="{75807060-5EFD-44B0-B0F8-AC7FA430A3B7}" name="Expenditure type" dataDxfId="176"/>
    <tableColumn id="4" xr3:uid="{8989EE1F-EE7B-4A73-A2B9-80207E7AD077}" name="Unit" dataDxfId="175"/>
    <tableColumn id="5" xr3:uid="{00E3512B-AFE6-4A7F-A6DA-015CBF24CBB8}" name="Decimal places" dataDxfId="174"/>
    <tableColumn id="6" xr3:uid="{5D6FC41E-1694-4234-8D22-63582B57C3E4}" name="2019-20" dataDxfId="173" dataCellStyle="Normal 7"/>
    <tableColumn id="7" xr3:uid="{2ACDC1E2-E84F-4849-A79B-BFD1754A8C92}" name="2020-21" dataDxfId="172" dataCellStyle="Normal 7"/>
    <tableColumn id="8" xr3:uid="{FA2206A9-353B-4DA6-B79C-98BEB8922737}" name="2021-22" dataDxfId="171" dataCellStyle="Normal 7"/>
    <tableColumn id="9" xr3:uid="{66F078C5-A2F0-4C3B-8018-C6E2E74CA894}" name="2022-23" dataDxfId="170" dataCellStyle="Normal 7"/>
    <tableColumn id="10" xr3:uid="{01BEB6CC-8126-4DCA-9AEB-86D3E6B74E65}" name="2023-24" dataDxfId="169" dataCellStyle="Normal 7"/>
    <tableColumn id="11" xr3:uid="{E912350A-3305-42D1-A89E-053F094E253D}" name="2024-25" dataDxfId="168" dataCellStyle="Normal 7"/>
    <tableColumn id="12" xr3:uid="{4A8D3C29-41E8-45A3-9FF6-D8CD2430E92F}" name="2025-26" dataDxfId="167" dataCellStyle="Normal 7"/>
    <tableColumn id="13" xr3:uid="{C0D5B833-023C-4FDF-8BD7-C3A0D037B1A9}" name="2026-27" dataDxfId="166" dataCellStyle="Normal 7"/>
    <tableColumn id="14" xr3:uid="{949B675B-D6E5-4BE2-BC6D-368738F6137B}" name="2027-28" dataDxfId="165" dataCellStyle="Normal 7"/>
    <tableColumn id="15" xr3:uid="{F00D1FE8-A2DC-465B-BD57-BAB27A388449}" name="2028-29" dataDxfId="164" dataCellStyle="Normal 7"/>
    <tableColumn id="16" xr3:uid="{2F6602D3-C469-4F89-A82F-90DBD396CFDB}" name="2029-30" dataDxfId="163" dataCellStyle="Normal 7"/>
    <tableColumn id="17" xr3:uid="{D235F348-BCA9-4F2C-9F26-D45886AFC65F}" name="2030-31 _x000a_to _x000a_2034-35" dataDxfId="162" dataCellStyle="Normal 7"/>
    <tableColumn id="18" xr3:uid="{3A2C1FD5-C1BF-4194-974A-C389B77E14B2}" name="2035-36 _x000a_to _x000a_2039-40" dataDxfId="161" dataCellStyle="Normal 7"/>
    <tableColumn id="19" xr3:uid="{D1F0D67E-8D83-44D7-A784-C6E322D48B17}" name="2040-41 _x000a_to _x000a_2044-45" dataDxfId="160" dataCellStyle="Normal 7"/>
    <tableColumn id="20" xr3:uid="{97D1130E-2E9E-4AE4-AE6B-BD8647C4D3B9}" name="2045-46 _x000a_to _x000a_2049-50" dataDxfId="159" dataCellStyle="Normal 7"/>
    <tableColumn id="21" xr3:uid="{FD8D7D5D-A4DD-403A-AA78-710EF8795A7F}" name="2050-51 _x000a_to _x000a_2054-55" dataDxfId="158" dataCellStyle="Normal 7"/>
    <tableColumn id="22" xr3:uid="{3887C67B-797E-43AD-8715-C4A1723B67EF}" name="2055-56 _x000a_to _x000a_2059-60" dataDxfId="157" dataCellStyle="Normal 7"/>
    <tableColumn id="23" xr3:uid="{D15509C1-AA40-487A-AF52-FE552630D191}" name="2060-61 _x000a_to _x000a_2064-65" dataDxfId="156" dataCellStyle="Normal 7"/>
    <tableColumn id="24" xr3:uid="{44F668D1-F12B-44EE-918D-5E1689C07F9C}" name="2065-66 _x000a_to _x000a_2069-70" dataDxfId="155" dataCellStyle="Normal 7"/>
    <tableColumn id="25" xr3:uid="{496BA6C8-4941-4537-94EB-A58D3325DD75}" name="2070-71 _x000a_to _x000a_2074-75" dataDxfId="154" dataCellStyle="Normal 7"/>
    <tableColumn id="26" xr3:uid="{0D34C2CF-412F-4D4C-9E15-8EB841E4A29C}" name="2075-76 _x000a_to _x000a_2079-80" dataDxfId="153" dataCellStyle="Normal 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152" dataDxfId="150" headerRowBorderDxfId="151" tableBorderDxfId="149">
  <autoFilter ref="E2:J133" xr:uid="{79B3E692-8EF3-454B-85C6-1957D60D325D}"/>
  <tableColumns count="6">
    <tableColumn id="1" xr3:uid="{198661D9-D262-4361-873A-5D59AD45EE50}" name="COMPANY" dataDxfId="148"/>
    <tableColumn id="2" xr3:uid="{5612D87C-4942-458B-A632-94E6E98E5542}" name="WRZ_NAME" dataDxfId="147"/>
    <tableColumn id="3" xr3:uid="{E25D601E-F8E3-493A-BE15-28A8E8D11EB6}" name="RZ_ID" dataDxfId="146"/>
    <tableColumn id="4" xr3:uid="{E5FEC7D8-8216-4235-A461-CB48AA69BFDA}" name="WC id" dataDxfId="145"/>
    <tableColumn id="5" xr3:uid="{526192E8-8224-49B8-AA52-E027017647D2}" name="WRZ id" dataDxfId="144"/>
    <tableColumn id="6" xr3:uid="{23FCED85-2D78-4435-A564-233893996877}" name="Combined id" dataDxfId="1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0:L53" totalsRowShown="0" headerRowDxfId="1395" headerRowBorderDxfId="1394" tableBorderDxfId="1393" totalsRowBorderDxfId="1392" headerRowCellStyle="Normal 2">
  <autoFilter ref="B50:L53" xr:uid="{00000000-0009-0000-0100-000004000000}"/>
  <tableColumns count="11">
    <tableColumn id="2" xr3:uid="{00000000-0010-0000-0300-000002000000}" name="WRMP24 Reference" dataDxfId="1391"/>
    <tableColumn id="3" xr3:uid="{00000000-0010-0000-0300-000003000000}" name="Derivation" dataDxfId="1390"/>
    <tableColumn id="4" xr3:uid="{00000000-0010-0000-0300-000004000000}" name="Licence number" dataDxfId="1389"/>
    <tableColumn id="5" xr3:uid="{00000000-0010-0000-0300-000005000000}" name="Source name" dataDxfId="1388"/>
    <tableColumn id="6" xr3:uid="{00000000-0010-0000-0300-000006000000}" name="Source type" dataDxfId="1387"/>
    <tableColumn id="7" xr3:uid="{00000000-0010-0000-0300-000007000000}" name="WRZ Code" dataDxfId="1386"/>
    <tableColumn id="8" xr3:uid="{00000000-0010-0000-0300-000008000000}" name="DYAA deployable output (Ml/d)" dataDxfId="1385"/>
    <tableColumn id="1" xr3:uid="{00000000-0010-0000-0300-000001000000}" name="DYCP deployable output (Ml/d)" dataDxfId="1384">
      <calculatedColumnFormula>SUM(I52:I53)</calculatedColumnFormula>
    </tableColumn>
    <tableColumn id="9" xr3:uid="{00000000-0010-0000-0300-000009000000}" name="Annual licensed quantity (Ml/d)" dataDxfId="1383"/>
    <tableColumn id="10" xr3:uid="{00000000-0010-0000-0300-00000A000000}" name="Reason licence is unused" dataDxfId="1382"/>
    <tableColumn id="11" xr3:uid="{00000000-0010-0000-0300-00000B000000}" name="Additional notes (if desired)" dataDxfId="138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57:L60" totalsRowShown="0" headerRowDxfId="1380" headerRowBorderDxfId="1379" tableBorderDxfId="1378" totalsRowBorderDxfId="1377" headerRowCellStyle="Normal 2">
  <autoFilter ref="B57:L60"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1376"/>
    <tableColumn id="8" xr3:uid="{00000000-0010-0000-0400-000008000000}" name="DYAA deployable output (Ml/d)" dataDxfId="1375"/>
    <tableColumn id="1" xr3:uid="{00000000-0010-0000-0400-000001000000}" name="DYCP deployable output (Ml/d)" dataDxfId="1374">
      <calculatedColumnFormula>SUM(I59:I60)</calculatedColumnFormula>
    </tableColumn>
    <tableColumn id="9" xr3:uid="{00000000-0010-0000-0400-000009000000}" name="Annual licensed quantity (Ml/d)" dataDxfId="1373"/>
    <tableColumn id="10" xr3:uid="{00000000-0010-0000-0400-00000A000000}" name="Status of licence" dataDxfId="1372"/>
    <tableColumn id="11" xr3:uid="{00000000-0010-0000-0400-00000B000000}" name="Additional notes (if desired)"/>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64:L67" totalsRowShown="0" headerRowDxfId="1371" tableBorderDxfId="1370" headerRowCellStyle="Normal 2">
  <autoFilter ref="B64:L67"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1369"/>
    <tableColumn id="8" xr3:uid="{00000000-0010-0000-0500-000008000000}" name="DYAA deployable output (Ml/d)" dataDxfId="1368"/>
    <tableColumn id="1" xr3:uid="{00000000-0010-0000-0500-000001000000}" name="DYCP deployable output (Ml/d)"/>
    <tableColumn id="9" xr3:uid="{00000000-0010-0000-0500-000009000000}" name="Annual limit (Ml/d)" dataDxfId="1367"/>
    <tableColumn id="10" xr3:uid="{00000000-0010-0000-0500-00000A000000}" name="Changes to agreement during drought" dataDxfId="1366"/>
    <tableColumn id="11" xr3:uid="{00000000-0010-0000-0500-00000B000000}" name="Additional notes (if desired)"/>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1:L78" totalsRowShown="0" headerRowDxfId="1365" tableBorderDxfId="1364" headerRowCellStyle="Normal 2">
  <autoFilter ref="B71:L78"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dataDxfId="1363" dataCellStyle="Normal 2 2 2"/>
    <tableColumn id="7" xr3:uid="{00000000-0010-0000-0600-000007000000}" name="WRZ Code To" dataDxfId="1362" dataCellStyle="Normal 2 2 2"/>
    <tableColumn id="8" xr3:uid="{00000000-0010-0000-0600-000008000000}" name="DYAA deployable output (Ml/d)" dataDxfId="1361"/>
    <tableColumn id="1" xr3:uid="{00000000-0010-0000-0600-000001000000}" name="DYCP deployable output (Ml/d)"/>
    <tableColumn id="9" xr3:uid="{00000000-0010-0000-0600-000009000000}" name="Annual limit (Ml/d)" dataDxfId="1360"/>
    <tableColumn id="10" xr3:uid="{00000000-0010-0000-0600-00000A000000}" name="Changes to agreement during drought" dataDxfId="1359"/>
    <tableColumn id="11" xr3:uid="{00000000-0010-0000-0600-00000B000000}" name="Additional notes (if desired)"/>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F83B20D-4A59-436A-B006-431B26351283}" name="TBL3a_DYAABL_10_BWXBRS" displayName="TBL3a_DYAABL_10_BWXBRS" ref="B23:CI91" totalsRowShown="0" headerRowDxfId="1358" dataDxfId="1357" tableBorderDxfId="1356" headerRowCellStyle="Normal 2 2 2">
  <autoFilter ref="B23:CI91" xr:uid="{D893CB9E-6419-4938-B8EA-592538CC25DE}"/>
  <tableColumns count="86">
    <tableColumn id="1" xr3:uid="{3C35C1C6-666C-4C0B-A6E0-D4D4C03F1970}" name="WRMP24 reference" dataDxfId="1355" dataCellStyle="Normal 2 2 2"/>
    <tableColumn id="2" xr3:uid="{324C34E7-A91A-4A57-AF2A-4961111142A0}" name="Component" dataDxfId="1354" dataCellStyle="Normal 2 2 2"/>
    <tableColumn id="3" xr3:uid="{A3E51BF3-954C-4861-B213-427030BC662D}" name="Derivation" dataDxfId="1353" dataCellStyle="Normal 2 2 2"/>
    <tableColumn id="4" xr3:uid="{C19D7483-CC36-4AF5-B677-119C85FAEACC}" name="Unit" dataDxfId="1352" dataCellStyle="Normal 2 2 2"/>
    <tableColumn id="5" xr3:uid="{723E04FF-93A7-4A47-B50E-592A9F146355}" name="Decimal places" dataDxfId="1351" dataCellStyle="Normal 2 2 2"/>
    <tableColumn id="6" xr3:uid="{89990194-3491-474D-9248-CDA8FCD5416A}" name="2019-20" dataDxfId="1350"/>
    <tableColumn id="7" xr3:uid="{84EB9973-3552-4024-AA43-139ACCAF2BB0}" name="2020-21" dataDxfId="1349"/>
    <tableColumn id="8" xr3:uid="{0460CABD-D2D9-4EC0-83FE-814D3EE4441E}" name="2021-22" dataDxfId="1348"/>
    <tableColumn id="9" xr3:uid="{70EEF45C-552D-4864-973E-17169A57E9DF}" name="2022-23" dataDxfId="1347"/>
    <tableColumn id="10" xr3:uid="{A34A6DE9-E90A-4181-AE46-6C7705F05207}" name="2023-24" dataDxfId="1346"/>
    <tableColumn id="11" xr3:uid="{7F345B57-B440-40A0-9B8B-54C78D41CCB6}" name="2024-25" dataDxfId="1345"/>
    <tableColumn id="12" xr3:uid="{A479FB79-752E-4060-BD94-6760C6D1A2C6}" name="2025-26" dataDxfId="1344"/>
    <tableColumn id="13" xr3:uid="{E7AFB3E9-5FA4-4AB4-9F4C-F8BA0B710B6B}" name="2026-27" dataDxfId="1343"/>
    <tableColumn id="14" xr3:uid="{3536FDA7-8CFC-4877-869E-B9276D0FE191}" name="2027-28" dataDxfId="1342"/>
    <tableColumn id="15" xr3:uid="{C58FC682-3553-46E3-A1B7-FF6488EC7F1D}" name="2028-29" dataDxfId="1341"/>
    <tableColumn id="16" xr3:uid="{C32BB2C3-0167-440A-928C-1383C4FE4A62}" name="2029-30" dataDxfId="1340"/>
    <tableColumn id="17" xr3:uid="{055DCE87-A430-4C3F-B976-198A46F9EC52}" name="2030-31" dataDxfId="1339"/>
    <tableColumn id="18" xr3:uid="{6C83FF67-E8B6-4F27-9456-CAED9D0443E5}" name="2031-32" dataDxfId="1338"/>
    <tableColumn id="19" xr3:uid="{5D36D081-DA81-4244-9FF6-3A75E5C107C5}" name="2032-33" dataDxfId="1337"/>
    <tableColumn id="20" xr3:uid="{A7908285-F760-4B69-BFEE-532C03AF1FD3}" name="2033-34" dataDxfId="1336"/>
    <tableColumn id="21" xr3:uid="{D1489F98-C02F-4DCF-9047-FA47E668CDAB}" name="2034-35" dataDxfId="1335"/>
    <tableColumn id="22" xr3:uid="{A5C6B931-D399-4295-90E0-AC0208038F48}" name="2035-36" dataDxfId="1334"/>
    <tableColumn id="23" xr3:uid="{D8AE853E-A90F-4F03-9F16-85AF373D4C14}" name="2036-37" dataDxfId="1333"/>
    <tableColumn id="24" xr3:uid="{8893F144-FF3D-4438-A87E-D2BD71122A9D}" name="2037-38" dataDxfId="1332"/>
    <tableColumn id="25" xr3:uid="{16FCBDC5-6F5C-4072-8F36-A042B0127D50}" name="2038-39" dataDxfId="1331"/>
    <tableColumn id="26" xr3:uid="{14E2EDAC-ADE1-494A-8EA1-FD82BA127ACF}" name="2039-40" dataDxfId="1330"/>
    <tableColumn id="27" xr3:uid="{1F5B67FB-1356-4521-AC97-42FD791370CF}" name="2040-41" dataDxfId="1329"/>
    <tableColumn id="28" xr3:uid="{3BD2D6CF-1439-464D-ABC2-B2A24175586A}" name="2041-42" dataDxfId="1328"/>
    <tableColumn id="29" xr3:uid="{E6256FE0-1476-43B0-9119-5F5F6993F560}" name="2042-43" dataDxfId="1327"/>
    <tableColumn id="30" xr3:uid="{F09CA274-B4C8-4065-9C97-60576711BB22}" name="2043-44" dataDxfId="1326"/>
    <tableColumn id="31" xr3:uid="{63345F7D-8D9B-43F1-9190-D531F185A27C}" name="2044-45" dataDxfId="1325"/>
    <tableColumn id="32" xr3:uid="{D3946F3F-D00E-4172-9499-AA04B0686EF6}" name="2045-46" dataDxfId="1324"/>
    <tableColumn id="33" xr3:uid="{47ECBCC9-30C0-499D-ACAA-4F9620D56CAD}" name="2046-47" dataDxfId="1323"/>
    <tableColumn id="34" xr3:uid="{9BF9C667-5E55-4D84-A660-EDC35DDABF70}" name="2047-48" dataDxfId="1322"/>
    <tableColumn id="35" xr3:uid="{36E38590-33CB-435C-92BC-C18784328CC3}" name="2048-49" dataDxfId="1321"/>
    <tableColumn id="36" xr3:uid="{8BD66924-29B5-427E-ABBD-1975353C4FA8}" name="2049-50" dataDxfId="1320"/>
    <tableColumn id="37" xr3:uid="{9ADE210C-26BA-4B33-B39D-5D91714A3151}" name="2050-51" dataDxfId="1319"/>
    <tableColumn id="38" xr3:uid="{311A44B7-316A-45BD-BEEB-E160D5C992EF}" name="2051-52" dataDxfId="1318"/>
    <tableColumn id="39" xr3:uid="{A98226A9-F87C-4DA1-B222-8E28486F6EA6}" name="2052-53" dataDxfId="1317"/>
    <tableColumn id="40" xr3:uid="{BA61E3D0-6D28-485C-AF39-4991BA241A16}" name="2053-54" dataDxfId="1316"/>
    <tableColumn id="41" xr3:uid="{2ADA6DCD-1A36-4522-B960-A5434E249411}" name="2054-55" dataDxfId="1315"/>
    <tableColumn id="42" xr3:uid="{7A71719C-213A-459E-98EB-833C16B39D8D}" name="2055-56" dataDxfId="1314"/>
    <tableColumn id="43" xr3:uid="{9B3AAAC5-BD0F-4ED9-B780-6A3F7DC8A11E}" name="2056-57" dataDxfId="1313"/>
    <tableColumn id="44" xr3:uid="{3BBC4C34-44D7-4148-808A-EF49A82159DB}" name="2057-58" dataDxfId="1312"/>
    <tableColumn id="45" xr3:uid="{FC143324-E31A-49B1-90AF-C2186DC09D8E}" name="2058-59" dataDxfId="1311"/>
    <tableColumn id="46" xr3:uid="{2F5BA3D1-9268-4E27-BF7C-7284C538D85A}" name="2059-60" dataDxfId="1310"/>
    <tableColumn id="47" xr3:uid="{C1BA5BD6-5765-4296-8BB6-394523C84270}" name="2060-61" dataDxfId="1309"/>
    <tableColumn id="48" xr3:uid="{57C69FC8-9D3D-42BC-B5EF-1F62F11F6A6C}" name="2061-62" dataDxfId="1308"/>
    <tableColumn id="49" xr3:uid="{0F46A9CF-83B9-4751-86C0-BDA660913FC6}" name="2062-63" dataDxfId="1307"/>
    <tableColumn id="50" xr3:uid="{2855116F-4F51-4E00-A728-C4EF2F08555A}" name="2063-64" dataDxfId="1306"/>
    <tableColumn id="51" xr3:uid="{601BF316-8A33-420E-BC9F-964CE069B026}" name="2064-65" dataDxfId="1305"/>
    <tableColumn id="52" xr3:uid="{0AC65606-8D0B-4764-9D38-20A7DE234A24}" name="2065-66" dataDxfId="1304"/>
    <tableColumn id="53" xr3:uid="{4DE395D2-6EB4-407C-9203-CBDF991D4525}" name="2066-67" dataDxfId="1303"/>
    <tableColumn id="54" xr3:uid="{4243ED05-F938-4440-BDF1-4B8658122869}" name="2067-68" dataDxfId="1302"/>
    <tableColumn id="55" xr3:uid="{6A0E98F9-6282-4AFA-A426-267F68B8A3BE}" name="2068-69" dataDxfId="1301"/>
    <tableColumn id="56" xr3:uid="{1AFE01D5-489D-4106-8DB9-83CAE9A8F4EB}" name="2069-70" dataDxfId="1300"/>
    <tableColumn id="57" xr3:uid="{5F9505C3-57E6-4863-8C14-272EA127D1C4}" name="2070-71" dataDxfId="1299"/>
    <tableColumn id="58" xr3:uid="{0C2454C9-6D41-48FE-B7AD-6ED3E0054D0B}" name="2071-72" dataDxfId="1298"/>
    <tableColumn id="59" xr3:uid="{50DE609C-AC7F-45C2-8801-08792BAEE833}" name="2072-73" dataDxfId="1297"/>
    <tableColumn id="60" xr3:uid="{4B49F48C-AC99-4C43-949E-4CBE3AF6E112}" name="2073-74" dataDxfId="1296"/>
    <tableColumn id="61" xr3:uid="{2A428CE5-1C4F-4BB3-A637-7751E3A43CDC}" name="2074-75" dataDxfId="1295"/>
    <tableColumn id="62" xr3:uid="{04AD6FB2-0A4F-4468-B045-7188BB4FE4C8}" name="2075-76" dataDxfId="1294"/>
    <tableColumn id="63" xr3:uid="{8C9F3BD5-65BB-4003-BFB0-51051CA8E2FC}" name="2076-77" dataDxfId="1293"/>
    <tableColumn id="64" xr3:uid="{63DDF84F-0610-4A93-86D1-5ACAAF700B6D}" name="2077-78" dataDxfId="1292"/>
    <tableColumn id="65" xr3:uid="{73D860BC-3135-4561-A0CF-4D4B088C7F6D}" name="2078-79" dataDxfId="1291"/>
    <tableColumn id="66" xr3:uid="{7F8B3A36-0CA2-4B01-B03B-2747FDD85FAF}" name="2079-80" dataDxfId="1290"/>
    <tableColumn id="67" xr3:uid="{56729AAF-E3BB-45B2-AE17-12BFEDF83C86}" name="2080-81" dataDxfId="1289"/>
    <tableColumn id="68" xr3:uid="{FD92FED8-7D56-44E8-B25D-4D9325436C3C}" name="2081-82" dataDxfId="1288"/>
    <tableColumn id="69" xr3:uid="{51D05483-0E90-42FF-89A4-769C79DF5A79}" name="2082-83" dataDxfId="1287"/>
    <tableColumn id="70" xr3:uid="{0D1A47EE-FAE0-40CF-9051-A7D4417D4167}" name="2083-84" dataDxfId="1286"/>
    <tableColumn id="71" xr3:uid="{4E63D4FC-B65F-41BC-9B50-F72CD9FB4854}" name="2084-85" dataDxfId="1285"/>
    <tableColumn id="72" xr3:uid="{6A7A3C7B-C67B-4313-ACCD-FECDC1E080FB}" name="2085-86" dataDxfId="1284"/>
    <tableColumn id="73" xr3:uid="{11FB18FD-DD42-4F72-A97D-94C567A2ACAD}" name="2086-87" dataDxfId="1283"/>
    <tableColumn id="74" xr3:uid="{1A5632B1-F60E-4A5E-8FD1-5341EE205FAC}" name="2087-88" dataDxfId="1282"/>
    <tableColumn id="75" xr3:uid="{5F4FCEE0-2A8F-4D84-A903-06B46893FAC6}" name="2088-89" dataDxfId="1281"/>
    <tableColumn id="76" xr3:uid="{231CFD04-F502-4774-8E24-002293917E72}" name="2089-90" dataDxfId="1280"/>
    <tableColumn id="77" xr3:uid="{B3929B3A-6ABF-46A7-BC31-12F68D77DD52}" name="2090-91" dataDxfId="1279"/>
    <tableColumn id="78" xr3:uid="{42386227-A450-4835-B23F-55B6ABA5F524}" name="2091-92" dataDxfId="1278"/>
    <tableColumn id="79" xr3:uid="{45717C2D-5E20-48AD-BA22-907B9A8B819B}" name="2092-93" dataDxfId="1277"/>
    <tableColumn id="80" xr3:uid="{322C2DA0-3DC9-469F-8BC5-C59F376C114A}" name="2093-94" dataDxfId="1276"/>
    <tableColumn id="81" xr3:uid="{F3BCB5C4-7932-4D6E-A76C-27994132A943}" name="2094-95" dataDxfId="1275"/>
    <tableColumn id="82" xr3:uid="{9ACE12C6-D5E8-446C-A61C-007E444316F5}" name="2095-96" dataDxfId="1274"/>
    <tableColumn id="83" xr3:uid="{3B09EAAA-6934-486B-A500-469A2B2102FC}" name="2096-97" dataDxfId="1273"/>
    <tableColumn id="84" xr3:uid="{0D4C8C0B-4444-4077-BC1C-A8969F4CDBD1}" name="2097-98" dataDxfId="1272"/>
    <tableColumn id="85" xr3:uid="{AAD039C3-6A05-4040-A47E-2B20F907A8BE}" name="2098-99" dataDxfId="1271"/>
    <tableColumn id="86" xr3:uid="{070CC2F9-E0AF-40A0-8DCC-197C0792B75B}" name="2099-100" dataDxfId="127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0EFCFF5-E710-4063-BC56-A1A149F6B4D1}" name="TBL3b_DYAAOpt_11_BWXBRS" displayName="TBL3b_DYAAOpt_11_BWXBRS" ref="B94:CI118" totalsRowShown="0" headerRowDxfId="1269" dataDxfId="1267" headerRowBorderDxfId="1268" tableBorderDxfId="1266" headerRowCellStyle="Normal 2 2 2" dataCellStyle="Normal 2 2 2">
  <autoFilter ref="B94:CI118" xr:uid="{D5EFB056-0F2B-4E27-8197-E2FB749A3A50}"/>
  <tableColumns count="86">
    <tableColumn id="1" xr3:uid="{B41C9579-F858-4831-876F-1CE013314181}" name="WRMP24 reference" dataDxfId="1265" dataCellStyle="Normal 2 2 2"/>
    <tableColumn id="2" xr3:uid="{81E1E04E-6852-4E1F-851E-CC96CD43C4BD}" name="Option type" dataDxfId="1264" dataCellStyle="Normal 2 2 2"/>
    <tableColumn id="3" xr3:uid="{66108676-42F9-4F15-B9D8-92106480CC94}" name="Cat ID" dataDxfId="1263" dataCellStyle="Normal 2 2 2"/>
    <tableColumn id="4" xr3:uid="{AC1E34B4-01CE-4173-BF0C-B0D7BBF9D0F0}" name="Unit" dataDxfId="1262" dataCellStyle="Normal 2 2 2"/>
    <tableColumn id="5" xr3:uid="{9C7DBB42-CC12-4532-82BD-0CCBC2F661F3}" name="Decimal places" dataDxfId="1261" dataCellStyle="Normal 2 2 2"/>
    <tableColumn id="6" xr3:uid="{71179ED2-1E3F-4EAB-9D65-A94F2570D0D4}" name="2019-20" dataDxfId="1260" dataCellStyle="Normal 2 2 2"/>
    <tableColumn id="7" xr3:uid="{A4387F8A-0D88-4C40-8F34-2944BDB84036}" name="2020-21" dataDxfId="1259" dataCellStyle="Normal 2 2 2"/>
    <tableColumn id="8" xr3:uid="{230DEE99-41DF-4505-BFA7-860C695FEB0D}" name="2021-22" dataDxfId="1258" dataCellStyle="Normal 2 2 2"/>
    <tableColumn id="9" xr3:uid="{384637B6-A64C-498A-94B8-78E696F8D334}" name="2022-23" dataDxfId="1257" dataCellStyle="Normal 2 2 2"/>
    <tableColumn id="10" xr3:uid="{B2D637E7-B3BB-4D13-9F79-5490884B95A0}" name="2023-24" dataDxfId="1256" dataCellStyle="Normal 2 2 2"/>
    <tableColumn id="11" xr3:uid="{AE0E3002-3A47-4F57-93AE-464CF06FCE2C}" name="2024-25" dataDxfId="1255" dataCellStyle="Normal 2 2 2"/>
    <tableColumn id="12" xr3:uid="{F18026A7-E922-4C9B-AABB-FDEA6C094517}" name="2025-26" dataDxfId="1254" dataCellStyle="Normal 2 2 2"/>
    <tableColumn id="13" xr3:uid="{9873F4AD-C96A-485C-A023-0CD5512E7B6B}" name="2026-27" dataDxfId="1253" dataCellStyle="Normal 2 2 2"/>
    <tableColumn id="14" xr3:uid="{A1C1FD9A-B7C4-45C0-924E-394A6D642279}" name="2027-28" dataDxfId="1252" dataCellStyle="Normal 2 2 2"/>
    <tableColumn id="15" xr3:uid="{840517AB-1157-46F9-A5AB-56C37874470D}" name="2028-29" dataDxfId="1251" dataCellStyle="Normal 2 2 2"/>
    <tableColumn id="16" xr3:uid="{769F7203-884E-49E2-A0AD-F376265E15E2}" name="2029-30" dataDxfId="1250" dataCellStyle="Normal 2 2 2"/>
    <tableColumn id="17" xr3:uid="{05180DFE-11E3-4B9D-AB11-FAE602BCE7EF}" name="2030-31" dataDxfId="1249" dataCellStyle="Normal 2 2 2"/>
    <tableColumn id="18" xr3:uid="{C99C90EB-F942-4BB3-93DB-3EB6C09E4B7F}" name="2031-32" dataDxfId="1248" dataCellStyle="Normal 2 2 2"/>
    <tableColumn id="19" xr3:uid="{538E0311-5F8F-4E42-B705-EA3951C4ECD5}" name="2032-33" dataDxfId="1247" dataCellStyle="Normal 2 2 2"/>
    <tableColumn id="20" xr3:uid="{CF2C3E2E-673C-4272-A540-A64695224CC1}" name="2033-34" dataDxfId="1246" dataCellStyle="Normal 2 2 2"/>
    <tableColumn id="21" xr3:uid="{A0F5EC9A-A760-4758-9005-F661B05FDF64}" name="2034-35" dataDxfId="1245" dataCellStyle="Normal 2 2 2"/>
    <tableColumn id="22" xr3:uid="{A7A6A111-C1E9-4CB4-88F4-1304E9C55C89}" name="2035-36" dataDxfId="1244" dataCellStyle="Normal 2 2 2"/>
    <tableColumn id="23" xr3:uid="{D711B9CE-0918-4953-9C44-719F8FC4C26F}" name="2036-37" dataDxfId="1243" dataCellStyle="Normal 2 2 2"/>
    <tableColumn id="24" xr3:uid="{80B6CDA5-F3BE-4C4F-9B82-7AA1337C98AB}" name="2037-38" dataDxfId="1242" dataCellStyle="Normal 2 2 2"/>
    <tableColumn id="25" xr3:uid="{08B3DB61-C51C-433F-B90B-8B8D6ECBF75F}" name="2038-39" dataDxfId="1241" dataCellStyle="Normal 2 2 2"/>
    <tableColumn id="26" xr3:uid="{49B6DA72-0EB2-4B0B-87E9-3D93EFE44F33}" name="2039-40" dataDxfId="1240" dataCellStyle="Normal 2 2 2"/>
    <tableColumn id="27" xr3:uid="{7C96064F-B691-4E02-848D-64354EF52B5B}" name="2040-41" dataDxfId="1239" dataCellStyle="Normal 2 2 2"/>
    <tableColumn id="28" xr3:uid="{66E9D5C9-8BCC-44CD-B138-F0B62A317E21}" name="2041-42" dataDxfId="1238" dataCellStyle="Normal 2 2 2"/>
    <tableColumn id="29" xr3:uid="{A615D8CE-19DB-49CB-B0EC-E32D50399B70}" name="2042-43" dataDxfId="1237" dataCellStyle="Normal 2 2 2"/>
    <tableColumn id="30" xr3:uid="{E5108D6B-C55F-4B6C-9762-7191B474773E}" name="2043-44" dataDxfId="1236" dataCellStyle="Normal 2 2 2"/>
    <tableColumn id="31" xr3:uid="{993C29F2-7FAE-43F2-8070-3C3BBDBD25ED}" name="2044-45" dataDxfId="1235" dataCellStyle="Normal 2 2 2"/>
    <tableColumn id="32" xr3:uid="{1AA4DD2E-CE23-486A-9742-38FA1F8759C6}" name="2045-46" dataDxfId="1234" dataCellStyle="Normal 2 2 2"/>
    <tableColumn id="33" xr3:uid="{D67322D6-27B8-4A3A-AFB2-362007833DAC}" name="2046-47" dataDxfId="1233" dataCellStyle="Normal 2 2 2"/>
    <tableColumn id="34" xr3:uid="{88A7B393-9F1E-4EF4-83B0-E136801C191A}" name="2047-48" dataDxfId="1232" dataCellStyle="Normal 2 2 2"/>
    <tableColumn id="35" xr3:uid="{EEACC923-8001-4AD0-B4CA-798A8208F502}" name="2048-49" dataDxfId="1231" dataCellStyle="Normal 2 2 2"/>
    <tableColumn id="36" xr3:uid="{1787115C-1656-4B3D-89BC-A0413250D227}" name="2049-50" dataDxfId="1230" dataCellStyle="Normal 2 2 2"/>
    <tableColumn id="37" xr3:uid="{C4EDD186-35CE-4761-BDF6-AF1CE3727B8A}" name="2050-51" dataDxfId="1229" dataCellStyle="Normal 2 2 2"/>
    <tableColumn id="38" xr3:uid="{814BFE0D-A628-41DD-8979-C9E82CDF1429}" name="2051-52" dataDxfId="1228" dataCellStyle="Normal 2 2 2"/>
    <tableColumn id="39" xr3:uid="{33A4716D-6457-4C5E-AF25-AECEFB5BC323}" name="2052-53" dataDxfId="1227" dataCellStyle="Normal 2 2 2"/>
    <tableColumn id="40" xr3:uid="{CF43FB57-B183-483E-A3AB-F2786EEABA36}" name="2053-54" dataDxfId="1226" dataCellStyle="Normal 2 2 2"/>
    <tableColumn id="41" xr3:uid="{906A3C10-A884-46B7-A191-4479487A652D}" name="2054-55" dataDxfId="1225" dataCellStyle="Normal 2 2 2"/>
    <tableColumn id="42" xr3:uid="{7CDD9DE6-3C15-4EF7-AF33-D56CF5546EC1}" name="2055-56" dataDxfId="1224" dataCellStyle="Normal 2 2 2"/>
    <tableColumn id="43" xr3:uid="{E10F1525-7343-4A86-9DC5-79FCCC331B16}" name="2056-57" dataDxfId="1223" dataCellStyle="Normal 2 2 2"/>
    <tableColumn id="44" xr3:uid="{A3FA6124-8FBD-49DF-81E5-495935F4B0C0}" name="2057-58" dataDxfId="1222" dataCellStyle="Normal 2 2 2"/>
    <tableColumn id="45" xr3:uid="{C9F9FC9C-83F5-434E-AFD2-DD08C1C2BF01}" name="2058-59" dataDxfId="1221" dataCellStyle="Normal 2 2 2"/>
    <tableColumn id="46" xr3:uid="{B533988F-D654-4C0F-A804-C01513191C83}" name="2059-60" dataDxfId="1220" dataCellStyle="Normal 2 2 2"/>
    <tableColumn id="47" xr3:uid="{78659F4D-7FA0-4737-A743-964E91715CD5}" name="2060-61" dataDxfId="1219" dataCellStyle="Normal 2 2 2"/>
    <tableColumn id="48" xr3:uid="{6F393F1F-2189-4E25-A094-D21AB938F16A}" name="2061-62" dataDxfId="1218" dataCellStyle="Normal 2 2 2"/>
    <tableColumn id="49" xr3:uid="{F1F5CFC7-5473-41F1-9993-AC8C0CB03FF2}" name="2062-63" dataDxfId="1217" dataCellStyle="Normal 2 2 2"/>
    <tableColumn id="50" xr3:uid="{D0716251-618D-4905-BB22-D5F9EB9BD08A}" name="2063-64" dataDxfId="1216" dataCellStyle="Normal 2 2 2"/>
    <tableColumn id="51" xr3:uid="{DA2BBBC0-4598-43DF-A14C-31FC3AB6DF68}" name="2064-65" dataDxfId="1215" dataCellStyle="Normal 2 2 2"/>
    <tableColumn id="52" xr3:uid="{0EFF6622-ACC1-4B29-8BDD-A00E92C65B7F}" name="2065-66" dataDxfId="1214" dataCellStyle="Normal 2 2 2"/>
    <tableColumn id="53" xr3:uid="{4927BF8D-806D-43F6-9840-4510945467A8}" name="2066-67" dataDxfId="1213" dataCellStyle="Normal 2 2 2"/>
    <tableColumn id="54" xr3:uid="{D63D99EC-B075-4272-BA07-3E18369AA117}" name="2067-68" dataDxfId="1212" dataCellStyle="Normal 2 2 2"/>
    <tableColumn id="55" xr3:uid="{10164BF3-50A4-4B55-BB38-41B4681D7C16}" name="2068-69" dataDxfId="1211" dataCellStyle="Normal 2 2 2"/>
    <tableColumn id="56" xr3:uid="{57889183-AB26-4F6B-8F64-36B0D2120B26}" name="2069-70" dataDxfId="1210" dataCellStyle="Normal 2 2 2"/>
    <tableColumn id="57" xr3:uid="{62BB50BC-33AD-4649-A2A7-1335D5EF1043}" name="2070-71" dataDxfId="1209" dataCellStyle="Normal 2 2 2"/>
    <tableColumn id="58" xr3:uid="{9EEA3480-4472-40AE-A218-AD5E0107C0E8}" name="2071-72" dataDxfId="1208" dataCellStyle="Normal 2 2 2"/>
    <tableColumn id="59" xr3:uid="{0768663F-632F-420A-897E-7BAC3512EFF5}" name="2072-73" dataDxfId="1207" dataCellStyle="Normal 2 2 2"/>
    <tableColumn id="60" xr3:uid="{7CB575DC-FED2-4D23-B122-512AEA866CBB}" name="2073-74" dataDxfId="1206" dataCellStyle="Normal 2 2 2"/>
    <tableColumn id="61" xr3:uid="{AEE44006-4E50-443D-937A-710DF484AE6A}" name="2074-75" dataDxfId="1205" dataCellStyle="Normal 2 2 2"/>
    <tableColumn id="62" xr3:uid="{8B4A916A-0FF6-46CA-A037-F8D166E7EAF9}" name="2075-76" dataDxfId="1204" dataCellStyle="Normal 2 2 2"/>
    <tableColumn id="63" xr3:uid="{686FF57F-6648-4860-BDE4-A8FC4B0EC587}" name="2076-77" dataDxfId="1203" dataCellStyle="Normal 2 2 2"/>
    <tableColumn id="64" xr3:uid="{12879399-D7CD-4D31-A3AA-62894F70F7E8}" name="2077-78" dataDxfId="1202" dataCellStyle="Normal 2 2 2"/>
    <tableColumn id="65" xr3:uid="{BE464711-698C-478C-9AB1-4E9FC9D29CCB}" name="2078-79" dataDxfId="1201" dataCellStyle="Normal 2 2 2"/>
    <tableColumn id="66" xr3:uid="{E342C21C-5366-4F69-8D49-412793949C96}" name="2079-80" dataDxfId="1200" dataCellStyle="Normal 2 2 2"/>
    <tableColumn id="67" xr3:uid="{0B53766A-C3A5-46CF-9505-881DC9E40C61}" name="2080-81" dataDxfId="1199" dataCellStyle="Normal 2 2 2"/>
    <tableColumn id="68" xr3:uid="{AD617232-2DE1-477F-9851-49A4E3251C98}" name="2081-82" dataDxfId="1198" dataCellStyle="Normal 2 2 2"/>
    <tableColumn id="69" xr3:uid="{F52467AF-BCCD-49B9-88DE-CAFF9E555FD3}" name="2082-83" dataDxfId="1197" dataCellStyle="Normal 2 2 2"/>
    <tableColumn id="70" xr3:uid="{7167734B-4E03-4CB7-953B-72F971CE417B}" name="2083-84" dataDxfId="1196" dataCellStyle="Normal 2 2 2"/>
    <tableColumn id="71" xr3:uid="{39105B54-5D37-4255-9490-5E766E3A0C87}" name="2084-85" dataDxfId="1195" dataCellStyle="Normal 2 2 2"/>
    <tableColumn id="72" xr3:uid="{D7EF72E9-8C26-438D-BECD-91544AC219A5}" name="2085-86" dataDxfId="1194" dataCellStyle="Normal 2 2 2"/>
    <tableColumn id="73" xr3:uid="{3D5499CE-2EA3-460A-81F9-D0A5331FCE7A}" name="2086-87" dataDxfId="1193" dataCellStyle="Normal 2 2 2"/>
    <tableColumn id="74" xr3:uid="{910F9D34-FFE8-40A6-9291-837D24B5FDE2}" name="2087-88" dataDxfId="1192" dataCellStyle="Normal 2 2 2"/>
    <tableColumn id="75" xr3:uid="{747FC18B-EC70-4369-93CF-29BD89737366}" name="2088-89" dataDxfId="1191" dataCellStyle="Normal 2 2 2"/>
    <tableColumn id="76" xr3:uid="{7ACD9A89-BE75-40D1-AF52-9FD4C8DB8BCE}" name="2089-90" dataDxfId="1190" dataCellStyle="Normal 2 2 2"/>
    <tableColumn id="77" xr3:uid="{11782CB3-B255-4D21-A210-8AE101A39BAE}" name="2090-91" dataDxfId="1189" dataCellStyle="Normal 2 2 2"/>
    <tableColumn id="78" xr3:uid="{D6EAAD8C-8919-479A-8898-196430775A06}" name="2091-92" dataDxfId="1188" dataCellStyle="Normal 2 2 2"/>
    <tableColumn id="79" xr3:uid="{45F03B00-DDC6-453D-8662-E59B851438A7}" name="2092-93" dataDxfId="1187" dataCellStyle="Normal 2 2 2"/>
    <tableColumn id="80" xr3:uid="{904DACB5-5FE1-40E5-B165-B3A272BCDCCC}" name="2093-94" dataDxfId="1186" dataCellStyle="Normal 2 2 2"/>
    <tableColumn id="81" xr3:uid="{91889144-D9D0-43DA-B720-A78728FFFD89}" name="2094-95" dataDxfId="1185" dataCellStyle="Normal 2 2 2"/>
    <tableColumn id="82" xr3:uid="{743CF130-A8F4-4542-9F44-08DC33F602B5}" name="2095-96" dataDxfId="1184" dataCellStyle="Normal 2 2 2"/>
    <tableColumn id="83" xr3:uid="{14F3FF6A-A7B8-4F2D-B980-9D272EEB9ACD}" name="2096-97" dataDxfId="1183" dataCellStyle="Normal 2 2 2"/>
    <tableColumn id="84" xr3:uid="{BE4D1559-5A67-4D90-B703-B418F95FB521}" name="2097-98" dataDxfId="1182" dataCellStyle="Normal 2 2 2"/>
    <tableColumn id="85" xr3:uid="{2DB7947F-C6E1-47EF-8627-D3F554B9FCB9}" name="2098-99" dataDxfId="1181" dataCellStyle="Normal 2 2 2"/>
    <tableColumn id="86" xr3:uid="{E5C0B44B-29E9-4296-A36D-BF6496AC8E97}" name="2099-100" dataDxfId="1180" dataCellStyle="Normal 2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25" dT="2022-09-02T15:14:02.67" personId="{00000000-0000-0000-0000-000000000000}" id="{1B691E0F-942E-4D8D-B954-1A9B3A309633}">
    <text>Increased from WRMP19 to average of reported annual outturn data 2019-2022</text>
  </threadedComment>
  <threadedComment ref="I30" dT="2022-07-21T15:21:49.62" personId="{00000000-0000-0000-0000-000000000000}" id="{891F83F8-1741-4E96-B353-F0727C2F34F8}">
    <text>NM full transfer volume accounted for in Aquator model runs, so added back in here (11.37) to avoid double counting on the planning tables due to reporting potable water exported in WAFU calc</text>
  </threadedComment>
  <threadedComment ref="M35" dT="2023-06-15T16:22:12.60" personId="{00000000-0000-0000-0000-000000000000}" id="{1ECD7FC9-D709-447A-8FC0-29AFF1A62A5F}">
    <text>Approximately 1 Ml/d at risk of being lost from DO starting in AMP8</text>
  </threadedComment>
  <threadedComment ref="Q35" dT="2023-06-15T16:23:50.06" personId="{00000000-0000-0000-0000-000000000000}" id="{8BE0FA10-D167-4579-9781-2F311347DA72}">
    <text>A further 3.1 Ml/d is at risk of being lost from DO starting in AMP9. Previous ED reductions proposed for 2050 (3.28 Ml/d) have been brought forward to 2030.</text>
  </threadedComment>
  <threadedComment ref="I36" dT="2022-07-27T15:57:43.37" personId="{00000000-0000-0000-0000-000000000000}" id="{D0D5C442-A176-48EA-8841-8E9F171F0EA7}">
    <text>Reduction of 3.52Ml/d as a result of Sherbourne being OOS and 1.24 as result of Charterhouse being OOS</text>
  </threadedComment>
  <threadedComment ref="M39" dT="2022-07-22T10:30:43.89" personId="{00000000-0000-0000-0000-000000000000}" id="{66AF6430-BC0E-47F3-9869-538516401999}">
    <text>Set as average of last 3 years outturn data (2019/20 - 2021/22)</text>
  </threadedComment>
  <threadedComment ref="AG48" dT="2023-09-05T14:22:01.10" personId="{00000000-0000-0000-0000-000000000000}" id="{980B9278-500B-4E5F-9C9B-8F71983D8AFA}">
    <text>Extrapolation method from WRMP19 continued beyond 2045 for WRMP24</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18" Type="http://schemas.openxmlformats.org/officeDocument/2006/relationships/table" Target="../tables/table3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17" Type="http://schemas.openxmlformats.org/officeDocument/2006/relationships/table" Target="../tables/table31.xml"/><Relationship Id="rId2" Type="http://schemas.openxmlformats.org/officeDocument/2006/relationships/table" Target="../tables/table16.xml"/><Relationship Id="rId16" Type="http://schemas.openxmlformats.org/officeDocument/2006/relationships/table" Target="../tables/table30.xml"/><Relationship Id="rId1" Type="http://schemas.openxmlformats.org/officeDocument/2006/relationships/printerSettings" Target="../printerSettings/printerSettings10.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5" Type="http://schemas.openxmlformats.org/officeDocument/2006/relationships/table" Target="../tables/table29.xml"/><Relationship Id="rId10" Type="http://schemas.openxmlformats.org/officeDocument/2006/relationships/table" Target="../tables/table24.xml"/><Relationship Id="rId19" Type="http://schemas.openxmlformats.org/officeDocument/2006/relationships/table" Target="../tables/table33.xml"/><Relationship Id="rId4" Type="http://schemas.openxmlformats.org/officeDocument/2006/relationships/table" Target="../tables/table18.xml"/><Relationship Id="rId9" Type="http://schemas.openxmlformats.org/officeDocument/2006/relationships/table" Target="../tables/table23.xml"/><Relationship Id="rId14" Type="http://schemas.openxmlformats.org/officeDocument/2006/relationships/table" Target="../tables/table2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vmlDrawing" Target="../drawings/vmlDrawing2.vml"/><Relationship Id="rId7" Type="http://schemas.openxmlformats.org/officeDocument/2006/relationships/table" Target="../tables/table11.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10.xml"/><Relationship Id="rId11" Type="http://schemas.microsoft.com/office/2017/10/relationships/threadedComment" Target="../threadedComments/threadedComment1.xml"/><Relationship Id="rId5" Type="http://schemas.openxmlformats.org/officeDocument/2006/relationships/table" Target="../tables/table9.xml"/><Relationship Id="rId10" Type="http://schemas.openxmlformats.org/officeDocument/2006/relationships/comments" Target="../comments2.xml"/><Relationship Id="rId4" Type="http://schemas.openxmlformats.org/officeDocument/2006/relationships/table" Target="../tables/table8.xml"/><Relationship Id="rId9"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topLeftCell="B1" zoomScale="80" zoomScaleNormal="80" workbookViewId="0">
      <selection activeCell="S10" sqref="S10"/>
    </sheetView>
  </sheetViews>
  <sheetFormatPr defaultColWidth="8.81640625" defaultRowHeight="15.6" customHeight="1" x14ac:dyDescent="0.25"/>
  <cols>
    <col min="1" max="2" width="2.453125" style="61" customWidth="1"/>
    <col min="3" max="4" width="26.81640625" style="61" customWidth="1"/>
    <col min="5" max="7" width="2.453125" style="61" customWidth="1"/>
    <col min="8" max="9" width="26.81640625" style="61" customWidth="1"/>
    <col min="10" max="12" width="2.453125" style="61" customWidth="1"/>
    <col min="13" max="14" width="26.81640625" style="61" customWidth="1"/>
    <col min="15" max="17" width="2.453125" style="61" customWidth="1"/>
    <col min="18" max="18" width="12" style="61" customWidth="1"/>
    <col min="19" max="19" width="83.81640625" style="61" customWidth="1"/>
    <col min="20" max="20" width="16.1796875" style="61" customWidth="1"/>
    <col min="21" max="21" width="2.81640625" style="61" customWidth="1"/>
    <col min="22" max="251" width="8.81640625" style="61"/>
    <col min="252" max="252" width="2.54296875" style="61" customWidth="1"/>
    <col min="253" max="253" width="22.54296875" style="61" customWidth="1"/>
    <col min="254" max="254" width="7.81640625" style="61" customWidth="1"/>
    <col min="255" max="255" width="26.81640625" style="61" customWidth="1"/>
    <col min="256" max="256" width="18.54296875" style="61" customWidth="1"/>
    <col min="257" max="257" width="17.81640625" style="61" customWidth="1"/>
    <col min="258" max="258" width="2.453125" style="61" customWidth="1"/>
    <col min="259" max="259" width="7.54296875" style="61" customWidth="1"/>
    <col min="260" max="260" width="13.1796875" style="61" customWidth="1"/>
    <col min="261" max="261" width="2.1796875" style="61" customWidth="1"/>
    <col min="262" max="263" width="8.81640625" style="61"/>
    <col min="264" max="264" width="8.1796875" style="61" bestFit="1" customWidth="1"/>
    <col min="265" max="507" width="8.81640625" style="61"/>
    <col min="508" max="508" width="2.54296875" style="61" customWidth="1"/>
    <col min="509" max="509" width="22.54296875" style="61" customWidth="1"/>
    <col min="510" max="510" width="7.81640625" style="61" customWidth="1"/>
    <col min="511" max="511" width="26.81640625" style="61" customWidth="1"/>
    <col min="512" max="512" width="18.54296875" style="61" customWidth="1"/>
    <col min="513" max="513" width="17.81640625" style="61" customWidth="1"/>
    <col min="514" max="514" width="2.453125" style="61" customWidth="1"/>
    <col min="515" max="515" width="7.54296875" style="61" customWidth="1"/>
    <col min="516" max="516" width="13.1796875" style="61" customWidth="1"/>
    <col min="517" max="517" width="2.1796875" style="61" customWidth="1"/>
    <col min="518" max="519" width="8.81640625" style="61"/>
    <col min="520" max="520" width="8.1796875" style="61" bestFit="1" customWidth="1"/>
    <col min="521" max="763" width="8.81640625" style="61"/>
    <col min="764" max="764" width="2.54296875" style="61" customWidth="1"/>
    <col min="765" max="765" width="22.54296875" style="61" customWidth="1"/>
    <col min="766" max="766" width="7.81640625" style="61" customWidth="1"/>
    <col min="767" max="767" width="26.81640625" style="61" customWidth="1"/>
    <col min="768" max="768" width="18.54296875" style="61" customWidth="1"/>
    <col min="769" max="769" width="17.81640625" style="61" customWidth="1"/>
    <col min="770" max="770" width="2.453125" style="61" customWidth="1"/>
    <col min="771" max="771" width="7.54296875" style="61" customWidth="1"/>
    <col min="772" max="772" width="13.1796875" style="61" customWidth="1"/>
    <col min="773" max="773" width="2.1796875" style="61" customWidth="1"/>
    <col min="774" max="775" width="8.81640625" style="61"/>
    <col min="776" max="776" width="8.1796875" style="61" bestFit="1" customWidth="1"/>
    <col min="777" max="1019" width="8.81640625" style="61"/>
    <col min="1020" max="1020" width="2.54296875" style="61" customWidth="1"/>
    <col min="1021" max="1021" width="22.54296875" style="61" customWidth="1"/>
    <col min="1022" max="1022" width="7.81640625" style="61" customWidth="1"/>
    <col min="1023" max="1023" width="26.81640625" style="61" customWidth="1"/>
    <col min="1024" max="1024" width="18.54296875" style="61" customWidth="1"/>
    <col min="1025" max="1025" width="17.81640625" style="61" customWidth="1"/>
    <col min="1026" max="1026" width="2.453125" style="61" customWidth="1"/>
    <col min="1027" max="1027" width="7.54296875" style="61" customWidth="1"/>
    <col min="1028" max="1028" width="13.1796875" style="61" customWidth="1"/>
    <col min="1029" max="1029" width="2.1796875" style="61" customWidth="1"/>
    <col min="1030" max="1031" width="8.81640625" style="61"/>
    <col min="1032" max="1032" width="8.1796875" style="61" bestFit="1" customWidth="1"/>
    <col min="1033" max="1275" width="8.81640625" style="61"/>
    <col min="1276" max="1276" width="2.54296875" style="61" customWidth="1"/>
    <col min="1277" max="1277" width="22.54296875" style="61" customWidth="1"/>
    <col min="1278" max="1278" width="7.81640625" style="61" customWidth="1"/>
    <col min="1279" max="1279" width="26.81640625" style="61" customWidth="1"/>
    <col min="1280" max="1280" width="18.54296875" style="61" customWidth="1"/>
    <col min="1281" max="1281" width="17.81640625" style="61" customWidth="1"/>
    <col min="1282" max="1282" width="2.453125" style="61" customWidth="1"/>
    <col min="1283" max="1283" width="7.54296875" style="61" customWidth="1"/>
    <col min="1284" max="1284" width="13.1796875" style="61" customWidth="1"/>
    <col min="1285" max="1285" width="2.1796875" style="61" customWidth="1"/>
    <col min="1286" max="1287" width="8.81640625" style="61"/>
    <col min="1288" max="1288" width="8.1796875" style="61" bestFit="1" customWidth="1"/>
    <col min="1289" max="1531" width="8.81640625" style="61"/>
    <col min="1532" max="1532" width="2.54296875" style="61" customWidth="1"/>
    <col min="1533" max="1533" width="22.54296875" style="61" customWidth="1"/>
    <col min="1534" max="1534" width="7.81640625" style="61" customWidth="1"/>
    <col min="1535" max="1535" width="26.81640625" style="61" customWidth="1"/>
    <col min="1536" max="1536" width="18.54296875" style="61" customWidth="1"/>
    <col min="1537" max="1537" width="17.81640625" style="61" customWidth="1"/>
    <col min="1538" max="1538" width="2.453125" style="61" customWidth="1"/>
    <col min="1539" max="1539" width="7.54296875" style="61" customWidth="1"/>
    <col min="1540" max="1540" width="13.1796875" style="61" customWidth="1"/>
    <col min="1541" max="1541" width="2.1796875" style="61" customWidth="1"/>
    <col min="1542" max="1543" width="8.81640625" style="61"/>
    <col min="1544" max="1544" width="8.1796875" style="61" bestFit="1" customWidth="1"/>
    <col min="1545" max="1787" width="8.81640625" style="61"/>
    <col min="1788" max="1788" width="2.54296875" style="61" customWidth="1"/>
    <col min="1789" max="1789" width="22.54296875" style="61" customWidth="1"/>
    <col min="1790" max="1790" width="7.81640625" style="61" customWidth="1"/>
    <col min="1791" max="1791" width="26.81640625" style="61" customWidth="1"/>
    <col min="1792" max="1792" width="18.54296875" style="61" customWidth="1"/>
    <col min="1793" max="1793" width="17.81640625" style="61" customWidth="1"/>
    <col min="1794" max="1794" width="2.453125" style="61" customWidth="1"/>
    <col min="1795" max="1795" width="7.54296875" style="61" customWidth="1"/>
    <col min="1796" max="1796" width="13.1796875" style="61" customWidth="1"/>
    <col min="1797" max="1797" width="2.1796875" style="61" customWidth="1"/>
    <col min="1798" max="1799" width="8.81640625" style="61"/>
    <col min="1800" max="1800" width="8.1796875" style="61" bestFit="1" customWidth="1"/>
    <col min="1801" max="2043" width="8.81640625" style="61"/>
    <col min="2044" max="2044" width="2.54296875" style="61" customWidth="1"/>
    <col min="2045" max="2045" width="22.54296875" style="61" customWidth="1"/>
    <col min="2046" max="2046" width="7.81640625" style="61" customWidth="1"/>
    <col min="2047" max="2047" width="26.81640625" style="61" customWidth="1"/>
    <col min="2048" max="2048" width="18.54296875" style="61" customWidth="1"/>
    <col min="2049" max="2049" width="17.81640625" style="61" customWidth="1"/>
    <col min="2050" max="2050" width="2.453125" style="61" customWidth="1"/>
    <col min="2051" max="2051" width="7.54296875" style="61" customWidth="1"/>
    <col min="2052" max="2052" width="13.1796875" style="61" customWidth="1"/>
    <col min="2053" max="2053" width="2.1796875" style="61" customWidth="1"/>
    <col min="2054" max="2055" width="8.81640625" style="61"/>
    <col min="2056" max="2056" width="8.1796875" style="61" bestFit="1" customWidth="1"/>
    <col min="2057" max="2299" width="8.81640625" style="61"/>
    <col min="2300" max="2300" width="2.54296875" style="61" customWidth="1"/>
    <col min="2301" max="2301" width="22.54296875" style="61" customWidth="1"/>
    <col min="2302" max="2302" width="7.81640625" style="61" customWidth="1"/>
    <col min="2303" max="2303" width="26.81640625" style="61" customWidth="1"/>
    <col min="2304" max="2304" width="18.54296875" style="61" customWidth="1"/>
    <col min="2305" max="2305" width="17.81640625" style="61" customWidth="1"/>
    <col min="2306" max="2306" width="2.453125" style="61" customWidth="1"/>
    <col min="2307" max="2307" width="7.54296875" style="61" customWidth="1"/>
    <col min="2308" max="2308" width="13.1796875" style="61" customWidth="1"/>
    <col min="2309" max="2309" width="2.1796875" style="61" customWidth="1"/>
    <col min="2310" max="2311" width="8.81640625" style="61"/>
    <col min="2312" max="2312" width="8.1796875" style="61" bestFit="1" customWidth="1"/>
    <col min="2313" max="2555" width="8.81640625" style="61"/>
    <col min="2556" max="2556" width="2.54296875" style="61" customWidth="1"/>
    <col min="2557" max="2557" width="22.54296875" style="61" customWidth="1"/>
    <col min="2558" max="2558" width="7.81640625" style="61" customWidth="1"/>
    <col min="2559" max="2559" width="26.81640625" style="61" customWidth="1"/>
    <col min="2560" max="2560" width="18.54296875" style="61" customWidth="1"/>
    <col min="2561" max="2561" width="17.81640625" style="61" customWidth="1"/>
    <col min="2562" max="2562" width="2.453125" style="61" customWidth="1"/>
    <col min="2563" max="2563" width="7.54296875" style="61" customWidth="1"/>
    <col min="2564" max="2564" width="13.1796875" style="61" customWidth="1"/>
    <col min="2565" max="2565" width="2.1796875" style="61" customWidth="1"/>
    <col min="2566" max="2567" width="8.81640625" style="61"/>
    <col min="2568" max="2568" width="8.1796875" style="61" bestFit="1" customWidth="1"/>
    <col min="2569" max="2811" width="8.81640625" style="61"/>
    <col min="2812" max="2812" width="2.54296875" style="61" customWidth="1"/>
    <col min="2813" max="2813" width="22.54296875" style="61" customWidth="1"/>
    <col min="2814" max="2814" width="7.81640625" style="61" customWidth="1"/>
    <col min="2815" max="2815" width="26.81640625" style="61" customWidth="1"/>
    <col min="2816" max="2816" width="18.54296875" style="61" customWidth="1"/>
    <col min="2817" max="2817" width="17.81640625" style="61" customWidth="1"/>
    <col min="2818" max="2818" width="2.453125" style="61" customWidth="1"/>
    <col min="2819" max="2819" width="7.54296875" style="61" customWidth="1"/>
    <col min="2820" max="2820" width="13.1796875" style="61" customWidth="1"/>
    <col min="2821" max="2821" width="2.1796875" style="61" customWidth="1"/>
    <col min="2822" max="2823" width="8.81640625" style="61"/>
    <col min="2824" max="2824" width="8.1796875" style="61" bestFit="1" customWidth="1"/>
    <col min="2825" max="3067" width="8.81640625" style="61"/>
    <col min="3068" max="3068" width="2.54296875" style="61" customWidth="1"/>
    <col min="3069" max="3069" width="22.54296875" style="61" customWidth="1"/>
    <col min="3070" max="3070" width="7.81640625" style="61" customWidth="1"/>
    <col min="3071" max="3071" width="26.81640625" style="61" customWidth="1"/>
    <col min="3072" max="3072" width="18.54296875" style="61" customWidth="1"/>
    <col min="3073" max="3073" width="17.81640625" style="61" customWidth="1"/>
    <col min="3074" max="3074" width="2.453125" style="61" customWidth="1"/>
    <col min="3075" max="3075" width="7.54296875" style="61" customWidth="1"/>
    <col min="3076" max="3076" width="13.1796875" style="61" customWidth="1"/>
    <col min="3077" max="3077" width="2.1796875" style="61" customWidth="1"/>
    <col min="3078" max="3079" width="8.81640625" style="61"/>
    <col min="3080" max="3080" width="8.1796875" style="61" bestFit="1" customWidth="1"/>
    <col min="3081" max="3323" width="8.81640625" style="61"/>
    <col min="3324" max="3324" width="2.54296875" style="61" customWidth="1"/>
    <col min="3325" max="3325" width="22.54296875" style="61" customWidth="1"/>
    <col min="3326" max="3326" width="7.81640625" style="61" customWidth="1"/>
    <col min="3327" max="3327" width="26.81640625" style="61" customWidth="1"/>
    <col min="3328" max="3328" width="18.54296875" style="61" customWidth="1"/>
    <col min="3329" max="3329" width="17.81640625" style="61" customWidth="1"/>
    <col min="3330" max="3330" width="2.453125" style="61" customWidth="1"/>
    <col min="3331" max="3331" width="7.54296875" style="61" customWidth="1"/>
    <col min="3332" max="3332" width="13.1796875" style="61" customWidth="1"/>
    <col min="3333" max="3333" width="2.1796875" style="61" customWidth="1"/>
    <col min="3334" max="3335" width="8.81640625" style="61"/>
    <col min="3336" max="3336" width="8.1796875" style="61" bestFit="1" customWidth="1"/>
    <col min="3337" max="3579" width="8.81640625" style="61"/>
    <col min="3580" max="3580" width="2.54296875" style="61" customWidth="1"/>
    <col min="3581" max="3581" width="22.54296875" style="61" customWidth="1"/>
    <col min="3582" max="3582" width="7.81640625" style="61" customWidth="1"/>
    <col min="3583" max="3583" width="26.81640625" style="61" customWidth="1"/>
    <col min="3584" max="3584" width="18.54296875" style="61" customWidth="1"/>
    <col min="3585" max="3585" width="17.81640625" style="61" customWidth="1"/>
    <col min="3586" max="3586" width="2.453125" style="61" customWidth="1"/>
    <col min="3587" max="3587" width="7.54296875" style="61" customWidth="1"/>
    <col min="3588" max="3588" width="13.1796875" style="61" customWidth="1"/>
    <col min="3589" max="3589" width="2.1796875" style="61" customWidth="1"/>
    <col min="3590" max="3591" width="8.81640625" style="61"/>
    <col min="3592" max="3592" width="8.1796875" style="61" bestFit="1" customWidth="1"/>
    <col min="3593" max="3835" width="8.81640625" style="61"/>
    <col min="3836" max="3836" width="2.54296875" style="61" customWidth="1"/>
    <col min="3837" max="3837" width="22.54296875" style="61" customWidth="1"/>
    <col min="3838" max="3838" width="7.81640625" style="61" customWidth="1"/>
    <col min="3839" max="3839" width="26.81640625" style="61" customWidth="1"/>
    <col min="3840" max="3840" width="18.54296875" style="61" customWidth="1"/>
    <col min="3841" max="3841" width="17.81640625" style="61" customWidth="1"/>
    <col min="3842" max="3842" width="2.453125" style="61" customWidth="1"/>
    <col min="3843" max="3843" width="7.54296875" style="61" customWidth="1"/>
    <col min="3844" max="3844" width="13.1796875" style="61" customWidth="1"/>
    <col min="3845" max="3845" width="2.1796875" style="61" customWidth="1"/>
    <col min="3846" max="3847" width="8.81640625" style="61"/>
    <col min="3848" max="3848" width="8.1796875" style="61" bestFit="1" customWidth="1"/>
    <col min="3849" max="4091" width="8.81640625" style="61"/>
    <col min="4092" max="4092" width="2.54296875" style="61" customWidth="1"/>
    <col min="4093" max="4093" width="22.54296875" style="61" customWidth="1"/>
    <col min="4094" max="4094" width="7.81640625" style="61" customWidth="1"/>
    <col min="4095" max="4095" width="26.81640625" style="61" customWidth="1"/>
    <col min="4096" max="4096" width="18.54296875" style="61" customWidth="1"/>
    <col min="4097" max="4097" width="17.81640625" style="61" customWidth="1"/>
    <col min="4098" max="4098" width="2.453125" style="61" customWidth="1"/>
    <col min="4099" max="4099" width="7.54296875" style="61" customWidth="1"/>
    <col min="4100" max="4100" width="13.1796875" style="61" customWidth="1"/>
    <col min="4101" max="4101" width="2.1796875" style="61" customWidth="1"/>
    <col min="4102" max="4103" width="8.81640625" style="61"/>
    <col min="4104" max="4104" width="8.1796875" style="61" bestFit="1" customWidth="1"/>
    <col min="4105" max="4347" width="8.81640625" style="61"/>
    <col min="4348" max="4348" width="2.54296875" style="61" customWidth="1"/>
    <col min="4349" max="4349" width="22.54296875" style="61" customWidth="1"/>
    <col min="4350" max="4350" width="7.81640625" style="61" customWidth="1"/>
    <col min="4351" max="4351" width="26.81640625" style="61" customWidth="1"/>
    <col min="4352" max="4352" width="18.54296875" style="61" customWidth="1"/>
    <col min="4353" max="4353" width="17.81640625" style="61" customWidth="1"/>
    <col min="4354" max="4354" width="2.453125" style="61" customWidth="1"/>
    <col min="4355" max="4355" width="7.54296875" style="61" customWidth="1"/>
    <col min="4356" max="4356" width="13.1796875" style="61" customWidth="1"/>
    <col min="4357" max="4357" width="2.1796875" style="61" customWidth="1"/>
    <col min="4358" max="4359" width="8.81640625" style="61"/>
    <col min="4360" max="4360" width="8.1796875" style="61" bestFit="1" customWidth="1"/>
    <col min="4361" max="4603" width="8.81640625" style="61"/>
    <col min="4604" max="4604" width="2.54296875" style="61" customWidth="1"/>
    <col min="4605" max="4605" width="22.54296875" style="61" customWidth="1"/>
    <col min="4606" max="4606" width="7.81640625" style="61" customWidth="1"/>
    <col min="4607" max="4607" width="26.81640625" style="61" customWidth="1"/>
    <col min="4608" max="4608" width="18.54296875" style="61" customWidth="1"/>
    <col min="4609" max="4609" width="17.81640625" style="61" customWidth="1"/>
    <col min="4610" max="4610" width="2.453125" style="61" customWidth="1"/>
    <col min="4611" max="4611" width="7.54296875" style="61" customWidth="1"/>
    <col min="4612" max="4612" width="13.1796875" style="61" customWidth="1"/>
    <col min="4613" max="4613" width="2.1796875" style="61" customWidth="1"/>
    <col min="4614" max="4615" width="8.81640625" style="61"/>
    <col min="4616" max="4616" width="8.1796875" style="61" bestFit="1" customWidth="1"/>
    <col min="4617" max="4859" width="8.81640625" style="61"/>
    <col min="4860" max="4860" width="2.54296875" style="61" customWidth="1"/>
    <col min="4861" max="4861" width="22.54296875" style="61" customWidth="1"/>
    <col min="4862" max="4862" width="7.81640625" style="61" customWidth="1"/>
    <col min="4863" max="4863" width="26.81640625" style="61" customWidth="1"/>
    <col min="4864" max="4864" width="18.54296875" style="61" customWidth="1"/>
    <col min="4865" max="4865" width="17.81640625" style="61" customWidth="1"/>
    <col min="4866" max="4866" width="2.453125" style="61" customWidth="1"/>
    <col min="4867" max="4867" width="7.54296875" style="61" customWidth="1"/>
    <col min="4868" max="4868" width="13.1796875" style="61" customWidth="1"/>
    <col min="4869" max="4869" width="2.1796875" style="61" customWidth="1"/>
    <col min="4870" max="4871" width="8.81640625" style="61"/>
    <col min="4872" max="4872" width="8.1796875" style="61" bestFit="1" customWidth="1"/>
    <col min="4873" max="5115" width="8.81640625" style="61"/>
    <col min="5116" max="5116" width="2.54296875" style="61" customWidth="1"/>
    <col min="5117" max="5117" width="22.54296875" style="61" customWidth="1"/>
    <col min="5118" max="5118" width="7.81640625" style="61" customWidth="1"/>
    <col min="5119" max="5119" width="26.81640625" style="61" customWidth="1"/>
    <col min="5120" max="5120" width="18.54296875" style="61" customWidth="1"/>
    <col min="5121" max="5121" width="17.81640625" style="61" customWidth="1"/>
    <col min="5122" max="5122" width="2.453125" style="61" customWidth="1"/>
    <col min="5123" max="5123" width="7.54296875" style="61" customWidth="1"/>
    <col min="5124" max="5124" width="13.1796875" style="61" customWidth="1"/>
    <col min="5125" max="5125" width="2.1796875" style="61" customWidth="1"/>
    <col min="5126" max="5127" width="8.81640625" style="61"/>
    <col min="5128" max="5128" width="8.1796875" style="61" bestFit="1" customWidth="1"/>
    <col min="5129" max="5371" width="8.81640625" style="61"/>
    <col min="5372" max="5372" width="2.54296875" style="61" customWidth="1"/>
    <col min="5373" max="5373" width="22.54296875" style="61" customWidth="1"/>
    <col min="5374" max="5374" width="7.81640625" style="61" customWidth="1"/>
    <col min="5375" max="5375" width="26.81640625" style="61" customWidth="1"/>
    <col min="5376" max="5376" width="18.54296875" style="61" customWidth="1"/>
    <col min="5377" max="5377" width="17.81640625" style="61" customWidth="1"/>
    <col min="5378" max="5378" width="2.453125" style="61" customWidth="1"/>
    <col min="5379" max="5379" width="7.54296875" style="61" customWidth="1"/>
    <col min="5380" max="5380" width="13.1796875" style="61" customWidth="1"/>
    <col min="5381" max="5381" width="2.1796875" style="61" customWidth="1"/>
    <col min="5382" max="5383" width="8.81640625" style="61"/>
    <col min="5384" max="5384" width="8.1796875" style="61" bestFit="1" customWidth="1"/>
    <col min="5385" max="5627" width="8.81640625" style="61"/>
    <col min="5628" max="5628" width="2.54296875" style="61" customWidth="1"/>
    <col min="5629" max="5629" width="22.54296875" style="61" customWidth="1"/>
    <col min="5630" max="5630" width="7.81640625" style="61" customWidth="1"/>
    <col min="5631" max="5631" width="26.81640625" style="61" customWidth="1"/>
    <col min="5632" max="5632" width="18.54296875" style="61" customWidth="1"/>
    <col min="5633" max="5633" width="17.81640625" style="61" customWidth="1"/>
    <col min="5634" max="5634" width="2.453125" style="61" customWidth="1"/>
    <col min="5635" max="5635" width="7.54296875" style="61" customWidth="1"/>
    <col min="5636" max="5636" width="13.1796875" style="61" customWidth="1"/>
    <col min="5637" max="5637" width="2.1796875" style="61" customWidth="1"/>
    <col min="5638" max="5639" width="8.81640625" style="61"/>
    <col min="5640" max="5640" width="8.1796875" style="61" bestFit="1" customWidth="1"/>
    <col min="5641" max="5883" width="8.81640625" style="61"/>
    <col min="5884" max="5884" width="2.54296875" style="61" customWidth="1"/>
    <col min="5885" max="5885" width="22.54296875" style="61" customWidth="1"/>
    <col min="5886" max="5886" width="7.81640625" style="61" customWidth="1"/>
    <col min="5887" max="5887" width="26.81640625" style="61" customWidth="1"/>
    <col min="5888" max="5888" width="18.54296875" style="61" customWidth="1"/>
    <col min="5889" max="5889" width="17.81640625" style="61" customWidth="1"/>
    <col min="5890" max="5890" width="2.453125" style="61" customWidth="1"/>
    <col min="5891" max="5891" width="7.54296875" style="61" customWidth="1"/>
    <col min="5892" max="5892" width="13.1796875" style="61" customWidth="1"/>
    <col min="5893" max="5893" width="2.1796875" style="61" customWidth="1"/>
    <col min="5894" max="5895" width="8.81640625" style="61"/>
    <col min="5896" max="5896" width="8.1796875" style="61" bestFit="1" customWidth="1"/>
    <col min="5897" max="6139" width="8.81640625" style="61"/>
    <col min="6140" max="6140" width="2.54296875" style="61" customWidth="1"/>
    <col min="6141" max="6141" width="22.54296875" style="61" customWidth="1"/>
    <col min="6142" max="6142" width="7.81640625" style="61" customWidth="1"/>
    <col min="6143" max="6143" width="26.81640625" style="61" customWidth="1"/>
    <col min="6144" max="6144" width="18.54296875" style="61" customWidth="1"/>
    <col min="6145" max="6145" width="17.81640625" style="61" customWidth="1"/>
    <col min="6146" max="6146" width="2.453125" style="61" customWidth="1"/>
    <col min="6147" max="6147" width="7.54296875" style="61" customWidth="1"/>
    <col min="6148" max="6148" width="13.1796875" style="61" customWidth="1"/>
    <col min="6149" max="6149" width="2.1796875" style="61" customWidth="1"/>
    <col min="6150" max="6151" width="8.81640625" style="61"/>
    <col min="6152" max="6152" width="8.1796875" style="61" bestFit="1" customWidth="1"/>
    <col min="6153" max="6395" width="8.81640625" style="61"/>
    <col min="6396" max="6396" width="2.54296875" style="61" customWidth="1"/>
    <col min="6397" max="6397" width="22.54296875" style="61" customWidth="1"/>
    <col min="6398" max="6398" width="7.81640625" style="61" customWidth="1"/>
    <col min="6399" max="6399" width="26.81640625" style="61" customWidth="1"/>
    <col min="6400" max="6400" width="18.54296875" style="61" customWidth="1"/>
    <col min="6401" max="6401" width="17.81640625" style="61" customWidth="1"/>
    <col min="6402" max="6402" width="2.453125" style="61" customWidth="1"/>
    <col min="6403" max="6403" width="7.54296875" style="61" customWidth="1"/>
    <col min="6404" max="6404" width="13.1796875" style="61" customWidth="1"/>
    <col min="6405" max="6405" width="2.1796875" style="61" customWidth="1"/>
    <col min="6406" max="6407" width="8.81640625" style="61"/>
    <col min="6408" max="6408" width="8.1796875" style="61" bestFit="1" customWidth="1"/>
    <col min="6409" max="6651" width="8.81640625" style="61"/>
    <col min="6652" max="6652" width="2.54296875" style="61" customWidth="1"/>
    <col min="6653" max="6653" width="22.54296875" style="61" customWidth="1"/>
    <col min="6654" max="6654" width="7.81640625" style="61" customWidth="1"/>
    <col min="6655" max="6655" width="26.81640625" style="61" customWidth="1"/>
    <col min="6656" max="6656" width="18.54296875" style="61" customWidth="1"/>
    <col min="6657" max="6657" width="17.81640625" style="61" customWidth="1"/>
    <col min="6658" max="6658" width="2.453125" style="61" customWidth="1"/>
    <col min="6659" max="6659" width="7.54296875" style="61" customWidth="1"/>
    <col min="6660" max="6660" width="13.1796875" style="61" customWidth="1"/>
    <col min="6661" max="6661" width="2.1796875" style="61" customWidth="1"/>
    <col min="6662" max="6663" width="8.81640625" style="61"/>
    <col min="6664" max="6664" width="8.1796875" style="61" bestFit="1" customWidth="1"/>
    <col min="6665" max="6907" width="8.81640625" style="61"/>
    <col min="6908" max="6908" width="2.54296875" style="61" customWidth="1"/>
    <col min="6909" max="6909" width="22.54296875" style="61" customWidth="1"/>
    <col min="6910" max="6910" width="7.81640625" style="61" customWidth="1"/>
    <col min="6911" max="6911" width="26.81640625" style="61" customWidth="1"/>
    <col min="6912" max="6912" width="18.54296875" style="61" customWidth="1"/>
    <col min="6913" max="6913" width="17.81640625" style="61" customWidth="1"/>
    <col min="6914" max="6914" width="2.453125" style="61" customWidth="1"/>
    <col min="6915" max="6915" width="7.54296875" style="61" customWidth="1"/>
    <col min="6916" max="6916" width="13.1796875" style="61" customWidth="1"/>
    <col min="6917" max="6917" width="2.1796875" style="61" customWidth="1"/>
    <col min="6918" max="6919" width="8.81640625" style="61"/>
    <col min="6920" max="6920" width="8.1796875" style="61" bestFit="1" customWidth="1"/>
    <col min="6921" max="7163" width="8.81640625" style="61"/>
    <col min="7164" max="7164" width="2.54296875" style="61" customWidth="1"/>
    <col min="7165" max="7165" width="22.54296875" style="61" customWidth="1"/>
    <col min="7166" max="7166" width="7.81640625" style="61" customWidth="1"/>
    <col min="7167" max="7167" width="26.81640625" style="61" customWidth="1"/>
    <col min="7168" max="7168" width="18.54296875" style="61" customWidth="1"/>
    <col min="7169" max="7169" width="17.81640625" style="61" customWidth="1"/>
    <col min="7170" max="7170" width="2.453125" style="61" customWidth="1"/>
    <col min="7171" max="7171" width="7.54296875" style="61" customWidth="1"/>
    <col min="7172" max="7172" width="13.1796875" style="61" customWidth="1"/>
    <col min="7173" max="7173" width="2.1796875" style="61" customWidth="1"/>
    <col min="7174" max="7175" width="8.81640625" style="61"/>
    <col min="7176" max="7176" width="8.1796875" style="61" bestFit="1" customWidth="1"/>
    <col min="7177" max="7419" width="8.81640625" style="61"/>
    <col min="7420" max="7420" width="2.54296875" style="61" customWidth="1"/>
    <col min="7421" max="7421" width="22.54296875" style="61" customWidth="1"/>
    <col min="7422" max="7422" width="7.81640625" style="61" customWidth="1"/>
    <col min="7423" max="7423" width="26.81640625" style="61" customWidth="1"/>
    <col min="7424" max="7424" width="18.54296875" style="61" customWidth="1"/>
    <col min="7425" max="7425" width="17.81640625" style="61" customWidth="1"/>
    <col min="7426" max="7426" width="2.453125" style="61" customWidth="1"/>
    <col min="7427" max="7427" width="7.54296875" style="61" customWidth="1"/>
    <col min="7428" max="7428" width="13.1796875" style="61" customWidth="1"/>
    <col min="7429" max="7429" width="2.1796875" style="61" customWidth="1"/>
    <col min="7430" max="7431" width="8.81640625" style="61"/>
    <col min="7432" max="7432" width="8.1796875" style="61" bestFit="1" customWidth="1"/>
    <col min="7433" max="7675" width="8.81640625" style="61"/>
    <col min="7676" max="7676" width="2.54296875" style="61" customWidth="1"/>
    <col min="7677" max="7677" width="22.54296875" style="61" customWidth="1"/>
    <col min="7678" max="7678" width="7.81640625" style="61" customWidth="1"/>
    <col min="7679" max="7679" width="26.81640625" style="61" customWidth="1"/>
    <col min="7680" max="7680" width="18.54296875" style="61" customWidth="1"/>
    <col min="7681" max="7681" width="17.81640625" style="61" customWidth="1"/>
    <col min="7682" max="7682" width="2.453125" style="61" customWidth="1"/>
    <col min="7683" max="7683" width="7.54296875" style="61" customWidth="1"/>
    <col min="7684" max="7684" width="13.1796875" style="61" customWidth="1"/>
    <col min="7685" max="7685" width="2.1796875" style="61" customWidth="1"/>
    <col min="7686" max="7687" width="8.81640625" style="61"/>
    <col min="7688" max="7688" width="8.1796875" style="61" bestFit="1" customWidth="1"/>
    <col min="7689" max="7931" width="8.81640625" style="61"/>
    <col min="7932" max="7932" width="2.54296875" style="61" customWidth="1"/>
    <col min="7933" max="7933" width="22.54296875" style="61" customWidth="1"/>
    <col min="7934" max="7934" width="7.81640625" style="61" customWidth="1"/>
    <col min="7935" max="7935" width="26.81640625" style="61" customWidth="1"/>
    <col min="7936" max="7936" width="18.54296875" style="61" customWidth="1"/>
    <col min="7937" max="7937" width="17.81640625" style="61" customWidth="1"/>
    <col min="7938" max="7938" width="2.453125" style="61" customWidth="1"/>
    <col min="7939" max="7939" width="7.54296875" style="61" customWidth="1"/>
    <col min="7940" max="7940" width="13.1796875" style="61" customWidth="1"/>
    <col min="7941" max="7941" width="2.1796875" style="61" customWidth="1"/>
    <col min="7942" max="7943" width="8.81640625" style="61"/>
    <col min="7944" max="7944" width="8.1796875" style="61" bestFit="1" customWidth="1"/>
    <col min="7945" max="8187" width="8.81640625" style="61"/>
    <col min="8188" max="8188" width="2.54296875" style="61" customWidth="1"/>
    <col min="8189" max="8189" width="22.54296875" style="61" customWidth="1"/>
    <col min="8190" max="8190" width="7.81640625" style="61" customWidth="1"/>
    <col min="8191" max="8191" width="26.81640625" style="61" customWidth="1"/>
    <col min="8192" max="8192" width="18.54296875" style="61" customWidth="1"/>
    <col min="8193" max="8193" width="17.81640625" style="61" customWidth="1"/>
    <col min="8194" max="8194" width="2.453125" style="61" customWidth="1"/>
    <col min="8195" max="8195" width="7.54296875" style="61" customWidth="1"/>
    <col min="8196" max="8196" width="13.1796875" style="61" customWidth="1"/>
    <col min="8197" max="8197" width="2.1796875" style="61" customWidth="1"/>
    <col min="8198" max="8199" width="8.81640625" style="61"/>
    <col min="8200" max="8200" width="8.1796875" style="61" bestFit="1" customWidth="1"/>
    <col min="8201" max="8443" width="8.81640625" style="61"/>
    <col min="8444" max="8444" width="2.54296875" style="61" customWidth="1"/>
    <col min="8445" max="8445" width="22.54296875" style="61" customWidth="1"/>
    <col min="8446" max="8446" width="7.81640625" style="61" customWidth="1"/>
    <col min="8447" max="8447" width="26.81640625" style="61" customWidth="1"/>
    <col min="8448" max="8448" width="18.54296875" style="61" customWidth="1"/>
    <col min="8449" max="8449" width="17.81640625" style="61" customWidth="1"/>
    <col min="8450" max="8450" width="2.453125" style="61" customWidth="1"/>
    <col min="8451" max="8451" width="7.54296875" style="61" customWidth="1"/>
    <col min="8452" max="8452" width="13.1796875" style="61" customWidth="1"/>
    <col min="8453" max="8453" width="2.1796875" style="61" customWidth="1"/>
    <col min="8454" max="8455" width="8.81640625" style="61"/>
    <col min="8456" max="8456" width="8.1796875" style="61" bestFit="1" customWidth="1"/>
    <col min="8457" max="8699" width="8.81640625" style="61"/>
    <col min="8700" max="8700" width="2.54296875" style="61" customWidth="1"/>
    <col min="8701" max="8701" width="22.54296875" style="61" customWidth="1"/>
    <col min="8702" max="8702" width="7.81640625" style="61" customWidth="1"/>
    <col min="8703" max="8703" width="26.81640625" style="61" customWidth="1"/>
    <col min="8704" max="8704" width="18.54296875" style="61" customWidth="1"/>
    <col min="8705" max="8705" width="17.81640625" style="61" customWidth="1"/>
    <col min="8706" max="8706" width="2.453125" style="61" customWidth="1"/>
    <col min="8707" max="8707" width="7.54296875" style="61" customWidth="1"/>
    <col min="8708" max="8708" width="13.1796875" style="61" customWidth="1"/>
    <col min="8709" max="8709" width="2.1796875" style="61" customWidth="1"/>
    <col min="8710" max="8711" width="8.81640625" style="61"/>
    <col min="8712" max="8712" width="8.1796875" style="61" bestFit="1" customWidth="1"/>
    <col min="8713" max="8955" width="8.81640625" style="61"/>
    <col min="8956" max="8956" width="2.54296875" style="61" customWidth="1"/>
    <col min="8957" max="8957" width="22.54296875" style="61" customWidth="1"/>
    <col min="8958" max="8958" width="7.81640625" style="61" customWidth="1"/>
    <col min="8959" max="8959" width="26.81640625" style="61" customWidth="1"/>
    <col min="8960" max="8960" width="18.54296875" style="61" customWidth="1"/>
    <col min="8961" max="8961" width="17.81640625" style="61" customWidth="1"/>
    <col min="8962" max="8962" width="2.453125" style="61" customWidth="1"/>
    <col min="8963" max="8963" width="7.54296875" style="61" customWidth="1"/>
    <col min="8964" max="8964" width="13.1796875" style="61" customWidth="1"/>
    <col min="8965" max="8965" width="2.1796875" style="61" customWidth="1"/>
    <col min="8966" max="8967" width="8.81640625" style="61"/>
    <col min="8968" max="8968" width="8.1796875" style="61" bestFit="1" customWidth="1"/>
    <col min="8969" max="9211" width="8.81640625" style="61"/>
    <col min="9212" max="9212" width="2.54296875" style="61" customWidth="1"/>
    <col min="9213" max="9213" width="22.54296875" style="61" customWidth="1"/>
    <col min="9214" max="9214" width="7.81640625" style="61" customWidth="1"/>
    <col min="9215" max="9215" width="26.81640625" style="61" customWidth="1"/>
    <col min="9216" max="9216" width="18.54296875" style="61" customWidth="1"/>
    <col min="9217" max="9217" width="17.81640625" style="61" customWidth="1"/>
    <col min="9218" max="9218" width="2.453125" style="61" customWidth="1"/>
    <col min="9219" max="9219" width="7.54296875" style="61" customWidth="1"/>
    <col min="9220" max="9220" width="13.1796875" style="61" customWidth="1"/>
    <col min="9221" max="9221" width="2.1796875" style="61" customWidth="1"/>
    <col min="9222" max="9223" width="8.81640625" style="61"/>
    <col min="9224" max="9224" width="8.1796875" style="61" bestFit="1" customWidth="1"/>
    <col min="9225" max="9467" width="8.81640625" style="61"/>
    <col min="9468" max="9468" width="2.54296875" style="61" customWidth="1"/>
    <col min="9469" max="9469" width="22.54296875" style="61" customWidth="1"/>
    <col min="9470" max="9470" width="7.81640625" style="61" customWidth="1"/>
    <col min="9471" max="9471" width="26.81640625" style="61" customWidth="1"/>
    <col min="9472" max="9472" width="18.54296875" style="61" customWidth="1"/>
    <col min="9473" max="9473" width="17.81640625" style="61" customWidth="1"/>
    <col min="9474" max="9474" width="2.453125" style="61" customWidth="1"/>
    <col min="9475" max="9475" width="7.54296875" style="61" customWidth="1"/>
    <col min="9476" max="9476" width="13.1796875" style="61" customWidth="1"/>
    <col min="9477" max="9477" width="2.1796875" style="61" customWidth="1"/>
    <col min="9478" max="9479" width="8.81640625" style="61"/>
    <col min="9480" max="9480" width="8.1796875" style="61" bestFit="1" customWidth="1"/>
    <col min="9481" max="9723" width="8.81640625" style="61"/>
    <col min="9724" max="9724" width="2.54296875" style="61" customWidth="1"/>
    <col min="9725" max="9725" width="22.54296875" style="61" customWidth="1"/>
    <col min="9726" max="9726" width="7.81640625" style="61" customWidth="1"/>
    <col min="9727" max="9727" width="26.81640625" style="61" customWidth="1"/>
    <col min="9728" max="9728" width="18.54296875" style="61" customWidth="1"/>
    <col min="9729" max="9729" width="17.81640625" style="61" customWidth="1"/>
    <col min="9730" max="9730" width="2.453125" style="61" customWidth="1"/>
    <col min="9731" max="9731" width="7.54296875" style="61" customWidth="1"/>
    <col min="9732" max="9732" width="13.1796875" style="61" customWidth="1"/>
    <col min="9733" max="9733" width="2.1796875" style="61" customWidth="1"/>
    <col min="9734" max="9735" width="8.81640625" style="61"/>
    <col min="9736" max="9736" width="8.1796875" style="61" bestFit="1" customWidth="1"/>
    <col min="9737" max="9979" width="8.81640625" style="61"/>
    <col min="9980" max="9980" width="2.54296875" style="61" customWidth="1"/>
    <col min="9981" max="9981" width="22.54296875" style="61" customWidth="1"/>
    <col min="9982" max="9982" width="7.81640625" style="61" customWidth="1"/>
    <col min="9983" max="9983" width="26.81640625" style="61" customWidth="1"/>
    <col min="9984" max="9984" width="18.54296875" style="61" customWidth="1"/>
    <col min="9985" max="9985" width="17.81640625" style="61" customWidth="1"/>
    <col min="9986" max="9986" width="2.453125" style="61" customWidth="1"/>
    <col min="9987" max="9987" width="7.54296875" style="61" customWidth="1"/>
    <col min="9988" max="9988" width="13.1796875" style="61" customWidth="1"/>
    <col min="9989" max="9989" width="2.1796875" style="61" customWidth="1"/>
    <col min="9990" max="9991" width="8.81640625" style="61"/>
    <col min="9992" max="9992" width="8.1796875" style="61" bestFit="1" customWidth="1"/>
    <col min="9993" max="10235" width="8.81640625" style="61"/>
    <col min="10236" max="10236" width="2.54296875" style="61" customWidth="1"/>
    <col min="10237" max="10237" width="22.54296875" style="61" customWidth="1"/>
    <col min="10238" max="10238" width="7.81640625" style="61" customWidth="1"/>
    <col min="10239" max="10239" width="26.81640625" style="61" customWidth="1"/>
    <col min="10240" max="10240" width="18.54296875" style="61" customWidth="1"/>
    <col min="10241" max="10241" width="17.81640625" style="61" customWidth="1"/>
    <col min="10242" max="10242" width="2.453125" style="61" customWidth="1"/>
    <col min="10243" max="10243" width="7.54296875" style="61" customWidth="1"/>
    <col min="10244" max="10244" width="13.1796875" style="61" customWidth="1"/>
    <col min="10245" max="10245" width="2.1796875" style="61" customWidth="1"/>
    <col min="10246" max="10247" width="8.81640625" style="61"/>
    <col min="10248" max="10248" width="8.1796875" style="61" bestFit="1" customWidth="1"/>
    <col min="10249" max="10491" width="8.81640625" style="61"/>
    <col min="10492" max="10492" width="2.54296875" style="61" customWidth="1"/>
    <col min="10493" max="10493" width="22.54296875" style="61" customWidth="1"/>
    <col min="10494" max="10494" width="7.81640625" style="61" customWidth="1"/>
    <col min="10495" max="10495" width="26.81640625" style="61" customWidth="1"/>
    <col min="10496" max="10496" width="18.54296875" style="61" customWidth="1"/>
    <col min="10497" max="10497" width="17.81640625" style="61" customWidth="1"/>
    <col min="10498" max="10498" width="2.453125" style="61" customWidth="1"/>
    <col min="10499" max="10499" width="7.54296875" style="61" customWidth="1"/>
    <col min="10500" max="10500" width="13.1796875" style="61" customWidth="1"/>
    <col min="10501" max="10501" width="2.1796875" style="61" customWidth="1"/>
    <col min="10502" max="10503" width="8.81640625" style="61"/>
    <col min="10504" max="10504" width="8.1796875" style="61" bestFit="1" customWidth="1"/>
    <col min="10505" max="10747" width="8.81640625" style="61"/>
    <col min="10748" max="10748" width="2.54296875" style="61" customWidth="1"/>
    <col min="10749" max="10749" width="22.54296875" style="61" customWidth="1"/>
    <col min="10750" max="10750" width="7.81640625" style="61" customWidth="1"/>
    <col min="10751" max="10751" width="26.81640625" style="61" customWidth="1"/>
    <col min="10752" max="10752" width="18.54296875" style="61" customWidth="1"/>
    <col min="10753" max="10753" width="17.81640625" style="61" customWidth="1"/>
    <col min="10754" max="10754" width="2.453125" style="61" customWidth="1"/>
    <col min="10755" max="10755" width="7.54296875" style="61" customWidth="1"/>
    <col min="10756" max="10756" width="13.1796875" style="61" customWidth="1"/>
    <col min="10757" max="10757" width="2.1796875" style="61" customWidth="1"/>
    <col min="10758" max="10759" width="8.81640625" style="61"/>
    <col min="10760" max="10760" width="8.1796875" style="61" bestFit="1" customWidth="1"/>
    <col min="10761" max="11003" width="8.81640625" style="61"/>
    <col min="11004" max="11004" width="2.54296875" style="61" customWidth="1"/>
    <col min="11005" max="11005" width="22.54296875" style="61" customWidth="1"/>
    <col min="11006" max="11006" width="7.81640625" style="61" customWidth="1"/>
    <col min="11007" max="11007" width="26.81640625" style="61" customWidth="1"/>
    <col min="11008" max="11008" width="18.54296875" style="61" customWidth="1"/>
    <col min="11009" max="11009" width="17.81640625" style="61" customWidth="1"/>
    <col min="11010" max="11010" width="2.453125" style="61" customWidth="1"/>
    <col min="11011" max="11011" width="7.54296875" style="61" customWidth="1"/>
    <col min="11012" max="11012" width="13.1796875" style="61" customWidth="1"/>
    <col min="11013" max="11013" width="2.1796875" style="61" customWidth="1"/>
    <col min="11014" max="11015" width="8.81640625" style="61"/>
    <col min="11016" max="11016" width="8.1796875" style="61" bestFit="1" customWidth="1"/>
    <col min="11017" max="11259" width="8.81640625" style="61"/>
    <col min="11260" max="11260" width="2.54296875" style="61" customWidth="1"/>
    <col min="11261" max="11261" width="22.54296875" style="61" customWidth="1"/>
    <col min="11262" max="11262" width="7.81640625" style="61" customWidth="1"/>
    <col min="11263" max="11263" width="26.81640625" style="61" customWidth="1"/>
    <col min="11264" max="11264" width="18.54296875" style="61" customWidth="1"/>
    <col min="11265" max="11265" width="17.81640625" style="61" customWidth="1"/>
    <col min="11266" max="11266" width="2.453125" style="61" customWidth="1"/>
    <col min="11267" max="11267" width="7.54296875" style="61" customWidth="1"/>
    <col min="11268" max="11268" width="13.1796875" style="61" customWidth="1"/>
    <col min="11269" max="11269" width="2.1796875" style="61" customWidth="1"/>
    <col min="11270" max="11271" width="8.81640625" style="61"/>
    <col min="11272" max="11272" width="8.1796875" style="61" bestFit="1" customWidth="1"/>
    <col min="11273" max="11515" width="8.81640625" style="61"/>
    <col min="11516" max="11516" width="2.54296875" style="61" customWidth="1"/>
    <col min="11517" max="11517" width="22.54296875" style="61" customWidth="1"/>
    <col min="11518" max="11518" width="7.81640625" style="61" customWidth="1"/>
    <col min="11519" max="11519" width="26.81640625" style="61" customWidth="1"/>
    <col min="11520" max="11520" width="18.54296875" style="61" customWidth="1"/>
    <col min="11521" max="11521" width="17.81640625" style="61" customWidth="1"/>
    <col min="11522" max="11522" width="2.453125" style="61" customWidth="1"/>
    <col min="11523" max="11523" width="7.54296875" style="61" customWidth="1"/>
    <col min="11524" max="11524" width="13.1796875" style="61" customWidth="1"/>
    <col min="11525" max="11525" width="2.1796875" style="61" customWidth="1"/>
    <col min="11526" max="11527" width="8.81640625" style="61"/>
    <col min="11528" max="11528" width="8.1796875" style="61" bestFit="1" customWidth="1"/>
    <col min="11529" max="11771" width="8.81640625" style="61"/>
    <col min="11772" max="11772" width="2.54296875" style="61" customWidth="1"/>
    <col min="11773" max="11773" width="22.54296875" style="61" customWidth="1"/>
    <col min="11774" max="11774" width="7.81640625" style="61" customWidth="1"/>
    <col min="11775" max="11775" width="26.81640625" style="61" customWidth="1"/>
    <col min="11776" max="11776" width="18.54296875" style="61" customWidth="1"/>
    <col min="11777" max="11777" width="17.81640625" style="61" customWidth="1"/>
    <col min="11778" max="11778" width="2.453125" style="61" customWidth="1"/>
    <col min="11779" max="11779" width="7.54296875" style="61" customWidth="1"/>
    <col min="11780" max="11780" width="13.1796875" style="61" customWidth="1"/>
    <col min="11781" max="11781" width="2.1796875" style="61" customWidth="1"/>
    <col min="11782" max="11783" width="8.81640625" style="61"/>
    <col min="11784" max="11784" width="8.1796875" style="61" bestFit="1" customWidth="1"/>
    <col min="11785" max="12027" width="8.81640625" style="61"/>
    <col min="12028" max="12028" width="2.54296875" style="61" customWidth="1"/>
    <col min="12029" max="12029" width="22.54296875" style="61" customWidth="1"/>
    <col min="12030" max="12030" width="7.81640625" style="61" customWidth="1"/>
    <col min="12031" max="12031" width="26.81640625" style="61" customWidth="1"/>
    <col min="12032" max="12032" width="18.54296875" style="61" customWidth="1"/>
    <col min="12033" max="12033" width="17.81640625" style="61" customWidth="1"/>
    <col min="12034" max="12034" width="2.453125" style="61" customWidth="1"/>
    <col min="12035" max="12035" width="7.54296875" style="61" customWidth="1"/>
    <col min="12036" max="12036" width="13.1796875" style="61" customWidth="1"/>
    <col min="12037" max="12037" width="2.1796875" style="61" customWidth="1"/>
    <col min="12038" max="12039" width="8.81640625" style="61"/>
    <col min="12040" max="12040" width="8.1796875" style="61" bestFit="1" customWidth="1"/>
    <col min="12041" max="12283" width="8.81640625" style="61"/>
    <col min="12284" max="12284" width="2.54296875" style="61" customWidth="1"/>
    <col min="12285" max="12285" width="22.54296875" style="61" customWidth="1"/>
    <col min="12286" max="12286" width="7.81640625" style="61" customWidth="1"/>
    <col min="12287" max="12287" width="26.81640625" style="61" customWidth="1"/>
    <col min="12288" max="12288" width="18.54296875" style="61" customWidth="1"/>
    <col min="12289" max="12289" width="17.81640625" style="61" customWidth="1"/>
    <col min="12290" max="12290" width="2.453125" style="61" customWidth="1"/>
    <col min="12291" max="12291" width="7.54296875" style="61" customWidth="1"/>
    <col min="12292" max="12292" width="13.1796875" style="61" customWidth="1"/>
    <col min="12293" max="12293" width="2.1796875" style="61" customWidth="1"/>
    <col min="12294" max="12295" width="8.81640625" style="61"/>
    <col min="12296" max="12296" width="8.1796875" style="61" bestFit="1" customWidth="1"/>
    <col min="12297" max="12539" width="8.81640625" style="61"/>
    <col min="12540" max="12540" width="2.54296875" style="61" customWidth="1"/>
    <col min="12541" max="12541" width="22.54296875" style="61" customWidth="1"/>
    <col min="12542" max="12542" width="7.81640625" style="61" customWidth="1"/>
    <col min="12543" max="12543" width="26.81640625" style="61" customWidth="1"/>
    <col min="12544" max="12544" width="18.54296875" style="61" customWidth="1"/>
    <col min="12545" max="12545" width="17.81640625" style="61" customWidth="1"/>
    <col min="12546" max="12546" width="2.453125" style="61" customWidth="1"/>
    <col min="12547" max="12547" width="7.54296875" style="61" customWidth="1"/>
    <col min="12548" max="12548" width="13.1796875" style="61" customWidth="1"/>
    <col min="12549" max="12549" width="2.1796875" style="61" customWidth="1"/>
    <col min="12550" max="12551" width="8.81640625" style="61"/>
    <col min="12552" max="12552" width="8.1796875" style="61" bestFit="1" customWidth="1"/>
    <col min="12553" max="12795" width="8.81640625" style="61"/>
    <col min="12796" max="12796" width="2.54296875" style="61" customWidth="1"/>
    <col min="12797" max="12797" width="22.54296875" style="61" customWidth="1"/>
    <col min="12798" max="12798" width="7.81640625" style="61" customWidth="1"/>
    <col min="12799" max="12799" width="26.81640625" style="61" customWidth="1"/>
    <col min="12800" max="12800" width="18.54296875" style="61" customWidth="1"/>
    <col min="12801" max="12801" width="17.81640625" style="61" customWidth="1"/>
    <col min="12802" max="12802" width="2.453125" style="61" customWidth="1"/>
    <col min="12803" max="12803" width="7.54296875" style="61" customWidth="1"/>
    <col min="12804" max="12804" width="13.1796875" style="61" customWidth="1"/>
    <col min="12805" max="12805" width="2.1796875" style="61" customWidth="1"/>
    <col min="12806" max="12807" width="8.81640625" style="61"/>
    <col min="12808" max="12808" width="8.1796875" style="61" bestFit="1" customWidth="1"/>
    <col min="12809" max="13051" width="8.81640625" style="61"/>
    <col min="13052" max="13052" width="2.54296875" style="61" customWidth="1"/>
    <col min="13053" max="13053" width="22.54296875" style="61" customWidth="1"/>
    <col min="13054" max="13054" width="7.81640625" style="61" customWidth="1"/>
    <col min="13055" max="13055" width="26.81640625" style="61" customWidth="1"/>
    <col min="13056" max="13056" width="18.54296875" style="61" customWidth="1"/>
    <col min="13057" max="13057" width="17.81640625" style="61" customWidth="1"/>
    <col min="13058" max="13058" width="2.453125" style="61" customWidth="1"/>
    <col min="13059" max="13059" width="7.54296875" style="61" customWidth="1"/>
    <col min="13060" max="13060" width="13.1796875" style="61" customWidth="1"/>
    <col min="13061" max="13061" width="2.1796875" style="61" customWidth="1"/>
    <col min="13062" max="13063" width="8.81640625" style="61"/>
    <col min="13064" max="13064" width="8.1796875" style="61" bestFit="1" customWidth="1"/>
    <col min="13065" max="13307" width="8.81640625" style="61"/>
    <col min="13308" max="13308" width="2.54296875" style="61" customWidth="1"/>
    <col min="13309" max="13309" width="22.54296875" style="61" customWidth="1"/>
    <col min="13310" max="13310" width="7.81640625" style="61" customWidth="1"/>
    <col min="13311" max="13311" width="26.81640625" style="61" customWidth="1"/>
    <col min="13312" max="13312" width="18.54296875" style="61" customWidth="1"/>
    <col min="13313" max="13313" width="17.81640625" style="61" customWidth="1"/>
    <col min="13314" max="13314" width="2.453125" style="61" customWidth="1"/>
    <col min="13315" max="13315" width="7.54296875" style="61" customWidth="1"/>
    <col min="13316" max="13316" width="13.1796875" style="61" customWidth="1"/>
    <col min="13317" max="13317" width="2.1796875" style="61" customWidth="1"/>
    <col min="13318" max="13319" width="8.81640625" style="61"/>
    <col min="13320" max="13320" width="8.1796875" style="61" bestFit="1" customWidth="1"/>
    <col min="13321" max="13563" width="8.81640625" style="61"/>
    <col min="13564" max="13564" width="2.54296875" style="61" customWidth="1"/>
    <col min="13565" max="13565" width="22.54296875" style="61" customWidth="1"/>
    <col min="13566" max="13566" width="7.81640625" style="61" customWidth="1"/>
    <col min="13567" max="13567" width="26.81640625" style="61" customWidth="1"/>
    <col min="13568" max="13568" width="18.54296875" style="61" customWidth="1"/>
    <col min="13569" max="13569" width="17.81640625" style="61" customWidth="1"/>
    <col min="13570" max="13570" width="2.453125" style="61" customWidth="1"/>
    <col min="13571" max="13571" width="7.54296875" style="61" customWidth="1"/>
    <col min="13572" max="13572" width="13.1796875" style="61" customWidth="1"/>
    <col min="13573" max="13573" width="2.1796875" style="61" customWidth="1"/>
    <col min="13574" max="13575" width="8.81640625" style="61"/>
    <col min="13576" max="13576" width="8.1796875" style="61" bestFit="1" customWidth="1"/>
    <col min="13577" max="13819" width="8.81640625" style="61"/>
    <col min="13820" max="13820" width="2.54296875" style="61" customWidth="1"/>
    <col min="13821" max="13821" width="22.54296875" style="61" customWidth="1"/>
    <col min="13822" max="13822" width="7.81640625" style="61" customWidth="1"/>
    <col min="13823" max="13823" width="26.81640625" style="61" customWidth="1"/>
    <col min="13824" max="13824" width="18.54296875" style="61" customWidth="1"/>
    <col min="13825" max="13825" width="17.81640625" style="61" customWidth="1"/>
    <col min="13826" max="13826" width="2.453125" style="61" customWidth="1"/>
    <col min="13827" max="13827" width="7.54296875" style="61" customWidth="1"/>
    <col min="13828" max="13828" width="13.1796875" style="61" customWidth="1"/>
    <col min="13829" max="13829" width="2.1796875" style="61" customWidth="1"/>
    <col min="13830" max="13831" width="8.81640625" style="61"/>
    <col min="13832" max="13832" width="8.1796875" style="61" bestFit="1" customWidth="1"/>
    <col min="13833" max="14075" width="8.81640625" style="61"/>
    <col min="14076" max="14076" width="2.54296875" style="61" customWidth="1"/>
    <col min="14077" max="14077" width="22.54296875" style="61" customWidth="1"/>
    <col min="14078" max="14078" width="7.81640625" style="61" customWidth="1"/>
    <col min="14079" max="14079" width="26.81640625" style="61" customWidth="1"/>
    <col min="14080" max="14080" width="18.54296875" style="61" customWidth="1"/>
    <col min="14081" max="14081" width="17.81640625" style="61" customWidth="1"/>
    <col min="14082" max="14082" width="2.453125" style="61" customWidth="1"/>
    <col min="14083" max="14083" width="7.54296875" style="61" customWidth="1"/>
    <col min="14084" max="14084" width="13.1796875" style="61" customWidth="1"/>
    <col min="14085" max="14085" width="2.1796875" style="61" customWidth="1"/>
    <col min="14086" max="14087" width="8.81640625" style="61"/>
    <col min="14088" max="14088" width="8.1796875" style="61" bestFit="1" customWidth="1"/>
    <col min="14089" max="14331" width="8.81640625" style="61"/>
    <col min="14332" max="14332" width="2.54296875" style="61" customWidth="1"/>
    <col min="14333" max="14333" width="22.54296875" style="61" customWidth="1"/>
    <col min="14334" max="14334" width="7.81640625" style="61" customWidth="1"/>
    <col min="14335" max="14335" width="26.81640625" style="61" customWidth="1"/>
    <col min="14336" max="14336" width="18.54296875" style="61" customWidth="1"/>
    <col min="14337" max="14337" width="17.81640625" style="61" customWidth="1"/>
    <col min="14338" max="14338" width="2.453125" style="61" customWidth="1"/>
    <col min="14339" max="14339" width="7.54296875" style="61" customWidth="1"/>
    <col min="14340" max="14340" width="13.1796875" style="61" customWidth="1"/>
    <col min="14341" max="14341" width="2.1796875" style="61" customWidth="1"/>
    <col min="14342" max="14343" width="8.81640625" style="61"/>
    <col min="14344" max="14344" width="8.1796875" style="61" bestFit="1" customWidth="1"/>
    <col min="14345" max="14587" width="8.81640625" style="61"/>
    <col min="14588" max="14588" width="2.54296875" style="61" customWidth="1"/>
    <col min="14589" max="14589" width="22.54296875" style="61" customWidth="1"/>
    <col min="14590" max="14590" width="7.81640625" style="61" customWidth="1"/>
    <col min="14591" max="14591" width="26.81640625" style="61" customWidth="1"/>
    <col min="14592" max="14592" width="18.54296875" style="61" customWidth="1"/>
    <col min="14593" max="14593" width="17.81640625" style="61" customWidth="1"/>
    <col min="14594" max="14594" width="2.453125" style="61" customWidth="1"/>
    <col min="14595" max="14595" width="7.54296875" style="61" customWidth="1"/>
    <col min="14596" max="14596" width="13.1796875" style="61" customWidth="1"/>
    <col min="14597" max="14597" width="2.1796875" style="61" customWidth="1"/>
    <col min="14598" max="14599" width="8.81640625" style="61"/>
    <col min="14600" max="14600" width="8.1796875" style="61" bestFit="1" customWidth="1"/>
    <col min="14601" max="14843" width="8.81640625" style="61"/>
    <col min="14844" max="14844" width="2.54296875" style="61" customWidth="1"/>
    <col min="14845" max="14845" width="22.54296875" style="61" customWidth="1"/>
    <col min="14846" max="14846" width="7.81640625" style="61" customWidth="1"/>
    <col min="14847" max="14847" width="26.81640625" style="61" customWidth="1"/>
    <col min="14848" max="14848" width="18.54296875" style="61" customWidth="1"/>
    <col min="14849" max="14849" width="17.81640625" style="61" customWidth="1"/>
    <col min="14850" max="14850" width="2.453125" style="61" customWidth="1"/>
    <col min="14851" max="14851" width="7.54296875" style="61" customWidth="1"/>
    <col min="14852" max="14852" width="13.1796875" style="61" customWidth="1"/>
    <col min="14853" max="14853" width="2.1796875" style="61" customWidth="1"/>
    <col min="14854" max="14855" width="8.81640625" style="61"/>
    <col min="14856" max="14856" width="8.1796875" style="61" bestFit="1" customWidth="1"/>
    <col min="14857" max="15099" width="8.81640625" style="61"/>
    <col min="15100" max="15100" width="2.54296875" style="61" customWidth="1"/>
    <col min="15101" max="15101" width="22.54296875" style="61" customWidth="1"/>
    <col min="15102" max="15102" width="7.81640625" style="61" customWidth="1"/>
    <col min="15103" max="15103" width="26.81640625" style="61" customWidth="1"/>
    <col min="15104" max="15104" width="18.54296875" style="61" customWidth="1"/>
    <col min="15105" max="15105" width="17.81640625" style="61" customWidth="1"/>
    <col min="15106" max="15106" width="2.453125" style="61" customWidth="1"/>
    <col min="15107" max="15107" width="7.54296875" style="61" customWidth="1"/>
    <col min="15108" max="15108" width="13.1796875" style="61" customWidth="1"/>
    <col min="15109" max="15109" width="2.1796875" style="61" customWidth="1"/>
    <col min="15110" max="15111" width="8.81640625" style="61"/>
    <col min="15112" max="15112" width="8.1796875" style="61" bestFit="1" customWidth="1"/>
    <col min="15113" max="15355" width="8.81640625" style="61"/>
    <col min="15356" max="15356" width="2.54296875" style="61" customWidth="1"/>
    <col min="15357" max="15357" width="22.54296875" style="61" customWidth="1"/>
    <col min="15358" max="15358" width="7.81640625" style="61" customWidth="1"/>
    <col min="15359" max="15359" width="26.81640625" style="61" customWidth="1"/>
    <col min="15360" max="15360" width="18.54296875" style="61" customWidth="1"/>
    <col min="15361" max="15361" width="17.81640625" style="61" customWidth="1"/>
    <col min="15362" max="15362" width="2.453125" style="61" customWidth="1"/>
    <col min="15363" max="15363" width="7.54296875" style="61" customWidth="1"/>
    <col min="15364" max="15364" width="13.1796875" style="61" customWidth="1"/>
    <col min="15365" max="15365" width="2.1796875" style="61" customWidth="1"/>
    <col min="15366" max="15367" width="8.81640625" style="61"/>
    <col min="15368" max="15368" width="8.1796875" style="61" bestFit="1" customWidth="1"/>
    <col min="15369" max="15611" width="8.81640625" style="61"/>
    <col min="15612" max="15612" width="2.54296875" style="61" customWidth="1"/>
    <col min="15613" max="15613" width="22.54296875" style="61" customWidth="1"/>
    <col min="15614" max="15614" width="7.81640625" style="61" customWidth="1"/>
    <col min="15615" max="15615" width="26.81640625" style="61" customWidth="1"/>
    <col min="15616" max="15616" width="18.54296875" style="61" customWidth="1"/>
    <col min="15617" max="15617" width="17.81640625" style="61" customWidth="1"/>
    <col min="15618" max="15618" width="2.453125" style="61" customWidth="1"/>
    <col min="15619" max="15619" width="7.54296875" style="61" customWidth="1"/>
    <col min="15620" max="15620" width="13.1796875" style="61" customWidth="1"/>
    <col min="15621" max="15621" width="2.1796875" style="61" customWidth="1"/>
    <col min="15622" max="15623" width="8.81640625" style="61"/>
    <col min="15624" max="15624" width="8.1796875" style="61" bestFit="1" customWidth="1"/>
    <col min="15625" max="15867" width="8.81640625" style="61"/>
    <col min="15868" max="15868" width="2.54296875" style="61" customWidth="1"/>
    <col min="15869" max="15869" width="22.54296875" style="61" customWidth="1"/>
    <col min="15870" max="15870" width="7.81640625" style="61" customWidth="1"/>
    <col min="15871" max="15871" width="26.81640625" style="61" customWidth="1"/>
    <col min="15872" max="15872" width="18.54296875" style="61" customWidth="1"/>
    <col min="15873" max="15873" width="17.81640625" style="61" customWidth="1"/>
    <col min="15874" max="15874" width="2.453125" style="61" customWidth="1"/>
    <col min="15875" max="15875" width="7.54296875" style="61" customWidth="1"/>
    <col min="15876" max="15876" width="13.1796875" style="61" customWidth="1"/>
    <col min="15877" max="15877" width="2.1796875" style="61" customWidth="1"/>
    <col min="15878" max="15879" width="8.81640625" style="61"/>
    <col min="15880" max="15880" width="8.1796875" style="61" bestFit="1" customWidth="1"/>
    <col min="15881" max="16123" width="8.81640625" style="61"/>
    <col min="16124" max="16124" width="2.54296875" style="61" customWidth="1"/>
    <col min="16125" max="16125" width="22.54296875" style="61" customWidth="1"/>
    <col min="16126" max="16126" width="7.81640625" style="61" customWidth="1"/>
    <col min="16127" max="16127" width="26.81640625" style="61" customWidth="1"/>
    <col min="16128" max="16128" width="18.54296875" style="61" customWidth="1"/>
    <col min="16129" max="16129" width="17.81640625" style="61" customWidth="1"/>
    <col min="16130" max="16130" width="2.453125" style="61" customWidth="1"/>
    <col min="16131" max="16131" width="7.54296875" style="61" customWidth="1"/>
    <col min="16132" max="16132" width="13.1796875" style="61" customWidth="1"/>
    <col min="16133" max="16133" width="2.1796875" style="61" customWidth="1"/>
    <col min="16134" max="16135" width="8.81640625" style="61"/>
    <col min="16136" max="16136" width="8.1796875" style="61" bestFit="1" customWidth="1"/>
    <col min="16137" max="16384" width="8.81640625" style="61"/>
  </cols>
  <sheetData>
    <row r="1" spans="2:21" ht="15.6" customHeight="1" thickBot="1" x14ac:dyDescent="0.3">
      <c r="B1" s="142"/>
      <c r="C1" s="142"/>
      <c r="D1" s="142"/>
      <c r="E1" s="142"/>
      <c r="F1" s="142"/>
      <c r="G1" s="142"/>
      <c r="H1" s="142"/>
      <c r="I1" s="142"/>
      <c r="J1" s="142"/>
      <c r="K1" s="142"/>
      <c r="L1" s="142"/>
      <c r="M1" s="142"/>
      <c r="N1" s="142"/>
      <c r="O1" s="142"/>
      <c r="P1" s="142"/>
      <c r="Q1" s="142"/>
      <c r="R1" s="142"/>
    </row>
    <row r="2" spans="2:21" ht="15.6" customHeight="1" x14ac:dyDescent="0.25">
      <c r="B2" s="156"/>
      <c r="C2" s="157"/>
      <c r="D2" s="157"/>
      <c r="E2" s="157"/>
      <c r="F2" s="157"/>
      <c r="G2" s="157"/>
      <c r="H2" s="157"/>
      <c r="I2" s="157"/>
      <c r="J2" s="157"/>
      <c r="K2" s="157"/>
      <c r="L2" s="157"/>
      <c r="M2" s="157"/>
      <c r="N2" s="157"/>
      <c r="O2" s="158"/>
      <c r="P2" s="150"/>
      <c r="Q2" s="186"/>
      <c r="R2" s="202"/>
      <c r="S2" s="202"/>
      <c r="T2" s="202"/>
      <c r="U2" s="203"/>
    </row>
    <row r="3" spans="2:21" s="145" customFormat="1" ht="15.6" customHeight="1" x14ac:dyDescent="0.25">
      <c r="B3" s="159"/>
      <c r="C3" s="1522" t="s">
        <v>0</v>
      </c>
      <c r="D3" s="1522"/>
      <c r="E3" s="1522"/>
      <c r="F3" s="1522"/>
      <c r="G3" s="1522"/>
      <c r="H3" s="1522"/>
      <c r="I3" s="1522"/>
      <c r="J3" s="1522"/>
      <c r="K3" s="1522"/>
      <c r="L3" s="1522"/>
      <c r="M3" s="1522"/>
      <c r="N3" s="1522"/>
      <c r="O3" s="160"/>
      <c r="P3" s="151"/>
      <c r="Q3" s="190"/>
      <c r="R3" s="1193" t="s">
        <v>1</v>
      </c>
      <c r="S3" s="1193"/>
      <c r="T3" s="1193"/>
      <c r="U3" s="182"/>
    </row>
    <row r="4" spans="2:21" s="145" customFormat="1" ht="15.6" customHeight="1" thickBot="1" x14ac:dyDescent="0.3">
      <c r="B4" s="161"/>
      <c r="C4" s="1522"/>
      <c r="D4" s="1522"/>
      <c r="E4" s="1522"/>
      <c r="F4" s="1522"/>
      <c r="G4" s="1522"/>
      <c r="H4" s="1522"/>
      <c r="I4" s="1522"/>
      <c r="J4" s="1522"/>
      <c r="K4" s="1522"/>
      <c r="L4" s="1522"/>
      <c r="M4" s="1522"/>
      <c r="N4" s="1522"/>
      <c r="O4" s="160"/>
      <c r="P4" s="151"/>
      <c r="Q4" s="190"/>
      <c r="R4" s="204"/>
      <c r="S4" s="204"/>
      <c r="T4" s="204"/>
      <c r="U4" s="182"/>
    </row>
    <row r="5" spans="2:21" ht="15.6" customHeight="1" thickBot="1" x14ac:dyDescent="0.3">
      <c r="B5" s="162"/>
      <c r="C5" s="1522"/>
      <c r="D5" s="1522"/>
      <c r="E5" s="1522"/>
      <c r="F5" s="1522"/>
      <c r="G5" s="1522"/>
      <c r="H5" s="1522"/>
      <c r="I5" s="1522"/>
      <c r="J5" s="1522"/>
      <c r="K5" s="1522"/>
      <c r="L5" s="1522"/>
      <c r="M5" s="1522"/>
      <c r="N5" s="1522"/>
      <c r="O5" s="160"/>
      <c r="P5" s="151"/>
      <c r="Q5" s="190"/>
      <c r="R5" s="205" t="s">
        <v>2</v>
      </c>
      <c r="S5" s="206" t="s">
        <v>3</v>
      </c>
      <c r="T5" s="205" t="s">
        <v>4</v>
      </c>
      <c r="U5" s="182"/>
    </row>
    <row r="6" spans="2:21" ht="15.6" customHeight="1" thickBot="1" x14ac:dyDescent="0.3">
      <c r="B6" s="163"/>
      <c r="C6" s="164"/>
      <c r="D6" s="165"/>
      <c r="E6" s="165"/>
      <c r="F6" s="166"/>
      <c r="G6" s="166"/>
      <c r="H6" s="166"/>
      <c r="I6" s="167"/>
      <c r="J6" s="167"/>
      <c r="K6" s="167"/>
      <c r="L6" s="167"/>
      <c r="M6" s="168"/>
      <c r="N6" s="168"/>
      <c r="O6" s="169"/>
      <c r="P6" s="150"/>
      <c r="Q6" s="190"/>
      <c r="R6" s="199" t="s">
        <v>5</v>
      </c>
      <c r="S6" s="1341" t="s">
        <v>6</v>
      </c>
      <c r="T6" s="1342">
        <v>44747</v>
      </c>
      <c r="U6" s="182"/>
    </row>
    <row r="7" spans="2:21" ht="15.6" customHeight="1" thickBot="1" x14ac:dyDescent="0.3">
      <c r="B7" s="142"/>
      <c r="C7" s="146"/>
      <c r="D7" s="147"/>
      <c r="E7" s="147"/>
      <c r="F7" s="143"/>
      <c r="G7" s="143"/>
      <c r="H7" s="143"/>
      <c r="I7" s="144"/>
      <c r="J7" s="144"/>
      <c r="K7" s="144"/>
      <c r="L7" s="144"/>
      <c r="M7" s="142"/>
      <c r="N7" s="142"/>
      <c r="O7" s="142"/>
      <c r="P7" s="142"/>
      <c r="Q7" s="190"/>
      <c r="R7" s="200" t="s">
        <v>2007</v>
      </c>
      <c r="S7" s="201" t="s">
        <v>2008</v>
      </c>
      <c r="T7" s="1443">
        <v>44951</v>
      </c>
      <c r="U7" s="182"/>
    </row>
    <row r="8" spans="2:21" ht="15.6" customHeight="1" x14ac:dyDescent="0.25">
      <c r="B8" s="186"/>
      <c r="C8" s="170"/>
      <c r="D8" s="171"/>
      <c r="E8" s="171"/>
      <c r="F8" s="172"/>
      <c r="G8" s="172"/>
      <c r="H8" s="172"/>
      <c r="I8" s="173"/>
      <c r="J8" s="173"/>
      <c r="K8" s="173"/>
      <c r="L8" s="173"/>
      <c r="M8" s="174"/>
      <c r="N8" s="174"/>
      <c r="O8" s="175"/>
      <c r="P8" s="142"/>
      <c r="Q8" s="190"/>
      <c r="R8" s="200" t="s">
        <v>2009</v>
      </c>
      <c r="S8" s="201" t="s">
        <v>2010</v>
      </c>
      <c r="T8" s="1443">
        <v>44957</v>
      </c>
      <c r="U8" s="182"/>
    </row>
    <row r="9" spans="2:21" ht="15.6" customHeight="1" x14ac:dyDescent="0.25">
      <c r="B9" s="190"/>
      <c r="C9" s="176"/>
      <c r="D9" s="177"/>
      <c r="E9" s="177"/>
      <c r="F9" s="178"/>
      <c r="G9" s="178"/>
      <c r="H9" s="1495" t="s">
        <v>7</v>
      </c>
      <c r="I9" s="1495"/>
      <c r="J9" s="179"/>
      <c r="K9" s="179"/>
      <c r="L9" s="179"/>
      <c r="M9" s="180"/>
      <c r="N9" s="180"/>
      <c r="O9" s="181"/>
      <c r="P9" s="142"/>
      <c r="Q9" s="190"/>
      <c r="R9" s="200" t="s">
        <v>2011</v>
      </c>
      <c r="S9" s="201" t="s">
        <v>2012</v>
      </c>
      <c r="T9" s="1443">
        <v>44967</v>
      </c>
      <c r="U9" s="182"/>
    </row>
    <row r="10" spans="2:21" ht="15.6" customHeight="1" thickBot="1" x14ac:dyDescent="0.3">
      <c r="B10" s="190"/>
      <c r="C10" s="176"/>
      <c r="D10" s="177"/>
      <c r="E10" s="177"/>
      <c r="F10" s="178"/>
      <c r="G10" s="178"/>
      <c r="H10" s="178"/>
      <c r="I10" s="179"/>
      <c r="J10" s="179"/>
      <c r="K10" s="179"/>
      <c r="L10" s="179"/>
      <c r="M10" s="180"/>
      <c r="N10" s="180"/>
      <c r="O10" s="181"/>
      <c r="P10" s="142"/>
      <c r="Q10" s="190"/>
      <c r="R10" s="1474" t="s">
        <v>2058</v>
      </c>
      <c r="S10" s="201" t="s">
        <v>2059</v>
      </c>
      <c r="T10" s="1443">
        <v>45177</v>
      </c>
      <c r="U10" s="182"/>
    </row>
    <row r="11" spans="2:21" ht="15.6" customHeight="1" thickBot="1" x14ac:dyDescent="0.3">
      <c r="B11" s="190"/>
      <c r="C11" s="182"/>
      <c r="D11" s="1523" t="s">
        <v>8</v>
      </c>
      <c r="E11" s="1524"/>
      <c r="F11" s="1524"/>
      <c r="G11" s="1524"/>
      <c r="H11" s="183" t="s">
        <v>5</v>
      </c>
      <c r="I11" s="1519" t="s">
        <v>9</v>
      </c>
      <c r="J11" s="1519"/>
      <c r="K11" s="1519"/>
      <c r="L11" s="1519"/>
      <c r="M11" s="1519"/>
      <c r="N11" s="180"/>
      <c r="O11" s="181"/>
      <c r="P11" s="142"/>
      <c r="Q11" s="190"/>
      <c r="R11" s="200"/>
      <c r="S11" s="201"/>
      <c r="T11" s="200"/>
      <c r="U11" s="182"/>
    </row>
    <row r="12" spans="2:21" ht="15.6" customHeight="1" thickBot="1" x14ac:dyDescent="0.3">
      <c r="B12" s="190"/>
      <c r="C12" s="182"/>
      <c r="D12" s="1523" t="s">
        <v>10</v>
      </c>
      <c r="E12" s="1524"/>
      <c r="F12" s="1524"/>
      <c r="G12" s="1524"/>
      <c r="H12" s="1470">
        <v>44975</v>
      </c>
      <c r="I12" s="1520" t="s">
        <v>11</v>
      </c>
      <c r="J12" s="1521"/>
      <c r="K12" s="1521"/>
      <c r="L12" s="1521"/>
      <c r="M12" s="1521"/>
      <c r="N12" s="180"/>
      <c r="O12" s="181"/>
      <c r="P12" s="142"/>
      <c r="Q12" s="209"/>
      <c r="R12" s="200"/>
      <c r="S12" s="201"/>
      <c r="T12" s="200"/>
      <c r="U12" s="182"/>
    </row>
    <row r="13" spans="2:21" ht="15.6" customHeight="1" thickBot="1" x14ac:dyDescent="0.3">
      <c r="B13" s="163"/>
      <c r="C13" s="167"/>
      <c r="D13" s="167"/>
      <c r="E13" s="184"/>
      <c r="F13" s="185"/>
      <c r="G13" s="166"/>
      <c r="H13" s="166"/>
      <c r="I13" s="1525" t="s">
        <v>12</v>
      </c>
      <c r="J13" s="1525"/>
      <c r="K13" s="1525"/>
      <c r="L13" s="1525"/>
      <c r="M13" s="1525"/>
      <c r="N13" s="168"/>
      <c r="O13" s="169"/>
      <c r="P13" s="142"/>
      <c r="Q13" s="1194"/>
      <c r="R13" s="200"/>
      <c r="S13" s="201"/>
      <c r="T13" s="200"/>
      <c r="U13" s="182"/>
    </row>
    <row r="14" spans="2:21" ht="15.6" customHeight="1" thickBot="1" x14ac:dyDescent="0.3">
      <c r="B14" s="142"/>
      <c r="C14" s="139"/>
      <c r="D14" s="139"/>
      <c r="E14" s="139"/>
      <c r="F14" s="139"/>
      <c r="G14" s="139"/>
      <c r="H14" s="138"/>
      <c r="I14" s="139"/>
      <c r="J14" s="139"/>
      <c r="K14" s="139"/>
      <c r="L14" s="139"/>
      <c r="M14" s="139"/>
      <c r="N14" s="139"/>
      <c r="O14" s="139"/>
      <c r="P14" s="142"/>
      <c r="Q14" s="1194"/>
      <c r="R14" s="200"/>
      <c r="S14" s="201"/>
      <c r="T14" s="200"/>
      <c r="U14" s="182"/>
    </row>
    <row r="15" spans="2:21" ht="15.6" customHeight="1" x14ac:dyDescent="0.25">
      <c r="B15" s="186"/>
      <c r="C15" s="170"/>
      <c r="D15" s="174"/>
      <c r="E15" s="174"/>
      <c r="F15" s="174"/>
      <c r="G15" s="174"/>
      <c r="H15" s="174"/>
      <c r="I15" s="174"/>
      <c r="J15" s="174"/>
      <c r="K15" s="174"/>
      <c r="L15" s="174"/>
      <c r="M15" s="174"/>
      <c r="N15" s="174"/>
      <c r="O15" s="175"/>
      <c r="P15" s="142"/>
      <c r="Q15" s="1194"/>
      <c r="R15" s="200"/>
      <c r="S15" s="201"/>
      <c r="T15" s="200"/>
      <c r="U15" s="182"/>
    </row>
    <row r="16" spans="2:21" ht="15.6" customHeight="1" x14ac:dyDescent="0.25">
      <c r="B16" s="187"/>
      <c r="C16" s="188"/>
      <c r="D16" s="188"/>
      <c r="E16" s="188"/>
      <c r="F16" s="188"/>
      <c r="G16" s="188"/>
      <c r="H16" s="1495" t="s">
        <v>13</v>
      </c>
      <c r="I16" s="1495"/>
      <c r="J16" s="188"/>
      <c r="K16" s="188"/>
      <c r="L16" s="188"/>
      <c r="M16" s="188"/>
      <c r="N16" s="188"/>
      <c r="O16" s="189"/>
      <c r="P16" s="142"/>
      <c r="Q16" s="162"/>
      <c r="R16" s="200"/>
      <c r="S16" s="201"/>
      <c r="T16" s="200"/>
      <c r="U16" s="182"/>
    </row>
    <row r="17" spans="2:21" ht="15.6" customHeight="1" thickBot="1" x14ac:dyDescent="0.3">
      <c r="B17" s="190"/>
      <c r="C17" s="176"/>
      <c r="D17" s="180"/>
      <c r="E17" s="180"/>
      <c r="F17" s="180"/>
      <c r="G17" s="180"/>
      <c r="H17" s="180"/>
      <c r="I17" s="180"/>
      <c r="J17" s="180"/>
      <c r="K17" s="180"/>
      <c r="L17" s="180"/>
      <c r="M17" s="180"/>
      <c r="N17" s="180"/>
      <c r="O17" s="181"/>
      <c r="P17" s="142"/>
      <c r="Q17" s="1195"/>
      <c r="R17" s="200"/>
      <c r="S17" s="201"/>
      <c r="T17" s="200"/>
      <c r="U17" s="182"/>
    </row>
    <row r="18" spans="2:21" ht="15.6" customHeight="1" thickBot="1" x14ac:dyDescent="0.3">
      <c r="B18" s="191"/>
      <c r="C18" s="192" t="s">
        <v>14</v>
      </c>
      <c r="D18" s="1507" t="s">
        <v>15</v>
      </c>
      <c r="E18" s="1507"/>
      <c r="F18" s="1507"/>
      <c r="G18" s="1508"/>
      <c r="H18" s="193"/>
      <c r="I18" s="180"/>
      <c r="J18" s="180"/>
      <c r="K18" s="180"/>
      <c r="L18" s="180"/>
      <c r="M18" s="180"/>
      <c r="N18" s="180"/>
      <c r="O18" s="181"/>
      <c r="P18" s="148"/>
      <c r="Q18" s="1195"/>
      <c r="R18" s="200"/>
      <c r="S18" s="201"/>
      <c r="T18" s="200"/>
      <c r="U18" s="182"/>
    </row>
    <row r="19" spans="2:21" ht="15.6" customHeight="1" thickBot="1" x14ac:dyDescent="0.3">
      <c r="B19" s="191"/>
      <c r="C19" s="192" t="s">
        <v>16</v>
      </c>
      <c r="D19" s="1509" t="s">
        <v>1609</v>
      </c>
      <c r="E19" s="1510"/>
      <c r="F19" s="1510"/>
      <c r="G19" s="1511"/>
      <c r="H19" s="1517" t="s">
        <v>17</v>
      </c>
      <c r="I19" s="1514"/>
      <c r="J19" s="1514"/>
      <c r="K19" s="1514"/>
      <c r="L19" s="1514"/>
      <c r="M19" s="1518" t="s">
        <v>18</v>
      </c>
      <c r="N19" s="1515">
        <v>45177</v>
      </c>
      <c r="O19" s="181"/>
      <c r="Q19" s="1195"/>
      <c r="R19" s="200"/>
      <c r="S19" s="201"/>
      <c r="T19" s="200"/>
      <c r="U19" s="182"/>
    </row>
    <row r="20" spans="2:21" ht="15.6" customHeight="1" thickBot="1" x14ac:dyDescent="0.3">
      <c r="B20" s="191"/>
      <c r="C20" s="192" t="s">
        <v>19</v>
      </c>
      <c r="D20" s="1512" t="s">
        <v>1608</v>
      </c>
      <c r="E20" s="1512"/>
      <c r="F20" s="1512"/>
      <c r="G20" s="1513"/>
      <c r="H20" s="1517"/>
      <c r="I20" s="1514"/>
      <c r="J20" s="1514"/>
      <c r="K20" s="1514"/>
      <c r="L20" s="1514"/>
      <c r="M20" s="1518"/>
      <c r="N20" s="1516"/>
      <c r="O20" s="181"/>
      <c r="Q20" s="190"/>
      <c r="R20" s="200"/>
      <c r="S20" s="201"/>
      <c r="T20" s="200"/>
      <c r="U20" s="182"/>
    </row>
    <row r="21" spans="2:21" ht="15.6" customHeight="1" thickBot="1" x14ac:dyDescent="0.3">
      <c r="B21" s="190"/>
      <c r="C21" s="192" t="s">
        <v>20</v>
      </c>
      <c r="D21" s="1507">
        <v>4</v>
      </c>
      <c r="E21" s="1507"/>
      <c r="F21" s="1507"/>
      <c r="G21" s="1508"/>
      <c r="H21" s="1163"/>
      <c r="I21" s="180" t="s">
        <v>21</v>
      </c>
      <c r="J21" s="1163"/>
      <c r="K21" s="1163"/>
      <c r="L21" s="1163"/>
      <c r="M21" s="1163"/>
      <c r="N21" s="180"/>
      <c r="O21" s="181"/>
      <c r="Q21" s="190"/>
      <c r="R21" s="200"/>
      <c r="S21" s="201"/>
      <c r="T21" s="200"/>
      <c r="U21" s="182"/>
    </row>
    <row r="22" spans="2:21" ht="15.6" customHeight="1" x14ac:dyDescent="0.25">
      <c r="B22" s="190"/>
      <c r="C22" s="176"/>
      <c r="D22" s="1335"/>
      <c r="E22" s="1335"/>
      <c r="F22" s="1335"/>
      <c r="G22" s="1335"/>
      <c r="H22" s="176"/>
      <c r="I22" s="1163"/>
      <c r="J22" s="1163"/>
      <c r="K22" s="1163"/>
      <c r="L22" s="1163"/>
      <c r="M22" s="176"/>
      <c r="N22" s="176"/>
      <c r="O22" s="181"/>
      <c r="P22" s="149"/>
      <c r="Q22" s="190"/>
      <c r="R22" s="200"/>
      <c r="S22" s="201"/>
      <c r="T22" s="200"/>
      <c r="U22" s="182"/>
    </row>
    <row r="23" spans="2:21" ht="15.6" customHeight="1" thickBot="1" x14ac:dyDescent="0.3">
      <c r="B23" s="163"/>
      <c r="C23" s="168"/>
      <c r="D23" s="194"/>
      <c r="E23" s="194"/>
      <c r="F23" s="194"/>
      <c r="G23" s="194"/>
      <c r="H23" s="168"/>
      <c r="I23" s="194"/>
      <c r="J23" s="194"/>
      <c r="K23" s="194"/>
      <c r="L23" s="194"/>
      <c r="M23" s="168"/>
      <c r="N23" s="168"/>
      <c r="O23" s="169"/>
      <c r="P23" s="149"/>
      <c r="Q23" s="190"/>
      <c r="R23" s="200"/>
      <c r="S23" s="201"/>
      <c r="T23" s="200"/>
      <c r="U23" s="182"/>
    </row>
    <row r="24" spans="2:21" ht="15.6" customHeight="1" thickBot="1" x14ac:dyDescent="0.3">
      <c r="B24" s="142"/>
      <c r="C24" s="142"/>
      <c r="H24" s="142"/>
      <c r="M24" s="142"/>
      <c r="N24" s="142"/>
      <c r="O24" s="142"/>
      <c r="P24" s="149"/>
      <c r="Q24" s="190"/>
      <c r="R24" s="200"/>
      <c r="S24" s="201"/>
      <c r="T24" s="200"/>
      <c r="U24" s="182"/>
    </row>
    <row r="25" spans="2:21" ht="15.6" customHeight="1" x14ac:dyDescent="0.25">
      <c r="B25" s="196"/>
      <c r="C25" s="170"/>
      <c r="D25" s="174"/>
      <c r="E25" s="175"/>
      <c r="F25" s="140"/>
      <c r="G25" s="186"/>
      <c r="H25" s="174"/>
      <c r="I25" s="174"/>
      <c r="J25" s="174"/>
      <c r="K25" s="174"/>
      <c r="L25" s="174"/>
      <c r="M25" s="174"/>
      <c r="N25" s="174"/>
      <c r="O25" s="175"/>
      <c r="P25" s="149"/>
      <c r="Q25" s="190"/>
      <c r="R25" s="200"/>
      <c r="S25" s="201"/>
      <c r="T25" s="200"/>
      <c r="U25" s="182"/>
    </row>
    <row r="26" spans="2:21" ht="15.6" customHeight="1" x14ac:dyDescent="0.25">
      <c r="B26" s="187"/>
      <c r="C26" s="1495" t="s">
        <v>22</v>
      </c>
      <c r="D26" s="1495"/>
      <c r="E26" s="189"/>
      <c r="F26" s="141"/>
      <c r="G26" s="187"/>
      <c r="H26" s="1495" t="s">
        <v>23</v>
      </c>
      <c r="I26" s="1495"/>
      <c r="J26" s="1495"/>
      <c r="K26" s="1495"/>
      <c r="L26" s="1495"/>
      <c r="M26" s="1495"/>
      <c r="N26" s="1495"/>
      <c r="O26" s="189"/>
      <c r="P26" s="142"/>
      <c r="Q26" s="190"/>
      <c r="R26" s="200"/>
      <c r="S26" s="201"/>
      <c r="T26" s="200"/>
      <c r="U26" s="182"/>
    </row>
    <row r="27" spans="2:21" ht="15.6" customHeight="1" x14ac:dyDescent="0.25">
      <c r="B27" s="191"/>
      <c r="C27" s="176"/>
      <c r="D27" s="180"/>
      <c r="E27" s="181"/>
      <c r="F27" s="140"/>
      <c r="G27" s="190"/>
      <c r="H27" s="180"/>
      <c r="I27" s="180"/>
      <c r="J27" s="180"/>
      <c r="K27" s="180"/>
      <c r="L27" s="180"/>
      <c r="M27" s="180"/>
      <c r="N27" s="180"/>
      <c r="O27" s="181"/>
      <c r="P27" s="142"/>
      <c r="Q27" s="190"/>
      <c r="R27" s="200"/>
      <c r="S27" s="201"/>
      <c r="T27" s="200"/>
      <c r="U27" s="182"/>
    </row>
    <row r="28" spans="2:21" ht="15.6" customHeight="1" x14ac:dyDescent="0.25">
      <c r="B28" s="190"/>
      <c r="C28" s="1502" t="s">
        <v>24</v>
      </c>
      <c r="D28" s="1502"/>
      <c r="E28" s="181"/>
      <c r="F28" s="140"/>
      <c r="G28" s="190"/>
      <c r="H28" s="176" t="s">
        <v>25</v>
      </c>
      <c r="I28" s="176" t="s">
        <v>26</v>
      </c>
      <c r="J28" s="176"/>
      <c r="K28" s="176"/>
      <c r="L28" s="176"/>
      <c r="M28" s="180"/>
      <c r="N28" s="180"/>
      <c r="O28" s="181"/>
      <c r="P28" s="142"/>
      <c r="Q28" s="190"/>
      <c r="R28" s="200"/>
      <c r="S28" s="201"/>
      <c r="T28" s="200"/>
      <c r="U28" s="182"/>
    </row>
    <row r="29" spans="2:21" ht="15.6" customHeight="1" x14ac:dyDescent="0.25">
      <c r="B29" s="191"/>
      <c r="C29" s="197"/>
      <c r="D29" s="198"/>
      <c r="E29" s="181"/>
      <c r="F29" s="140"/>
      <c r="G29" s="190"/>
      <c r="H29" s="195" t="s">
        <v>27</v>
      </c>
      <c r="I29" s="180" t="s">
        <v>28</v>
      </c>
      <c r="J29" s="180"/>
      <c r="K29" s="180"/>
      <c r="L29" s="180"/>
      <c r="M29" s="180"/>
      <c r="N29" s="180"/>
      <c r="O29" s="181"/>
      <c r="P29" s="142"/>
      <c r="Q29" s="190"/>
      <c r="R29" s="200"/>
      <c r="S29" s="201"/>
      <c r="T29" s="200"/>
      <c r="U29" s="182"/>
    </row>
    <row r="30" spans="2:21" ht="15.6" customHeight="1" x14ac:dyDescent="0.25">
      <c r="B30" s="190"/>
      <c r="C30" s="1503" t="s">
        <v>29</v>
      </c>
      <c r="D30" s="1503"/>
      <c r="E30" s="181"/>
      <c r="F30" s="140"/>
      <c r="G30" s="190"/>
      <c r="H30" s="195" t="s">
        <v>30</v>
      </c>
      <c r="I30" s="180" t="s">
        <v>31</v>
      </c>
      <c r="J30" s="180"/>
      <c r="K30" s="180"/>
      <c r="L30" s="180"/>
      <c r="M30" s="180"/>
      <c r="N30" s="180"/>
      <c r="O30" s="181"/>
      <c r="P30" s="142"/>
      <c r="Q30" s="190"/>
      <c r="R30" s="200"/>
      <c r="S30" s="201"/>
      <c r="T30" s="200"/>
      <c r="U30" s="182"/>
    </row>
    <row r="31" spans="2:21" ht="15.6" customHeight="1" x14ac:dyDescent="0.25">
      <c r="B31" s="190"/>
      <c r="C31" s="197"/>
      <c r="D31" s="198"/>
      <c r="E31" s="181"/>
      <c r="F31" s="140"/>
      <c r="G31" s="190"/>
      <c r="H31" s="176" t="s">
        <v>32</v>
      </c>
      <c r="I31" s="180" t="s">
        <v>33</v>
      </c>
      <c r="J31" s="180"/>
      <c r="K31" s="180"/>
      <c r="L31" s="180"/>
      <c r="M31" s="180"/>
      <c r="N31" s="180"/>
      <c r="O31" s="181"/>
      <c r="P31" s="142"/>
      <c r="Q31" s="190"/>
      <c r="R31" s="200"/>
      <c r="S31" s="201"/>
      <c r="T31" s="200"/>
      <c r="U31" s="182"/>
    </row>
    <row r="32" spans="2:21" ht="15.6" customHeight="1" x14ac:dyDescent="0.25">
      <c r="B32" s="190"/>
      <c r="C32" s="1504" t="s">
        <v>34</v>
      </c>
      <c r="D32" s="1504"/>
      <c r="E32" s="181"/>
      <c r="F32" s="140"/>
      <c r="G32" s="190"/>
      <c r="H32" s="195" t="s">
        <v>35</v>
      </c>
      <c r="I32" s="180" t="s">
        <v>36</v>
      </c>
      <c r="J32" s="180"/>
      <c r="K32" s="180"/>
      <c r="L32" s="180"/>
      <c r="M32" s="180"/>
      <c r="N32" s="180"/>
      <c r="O32" s="181"/>
      <c r="P32" s="142"/>
      <c r="Q32" s="190"/>
      <c r="R32" s="200"/>
      <c r="S32" s="201"/>
      <c r="T32" s="200"/>
      <c r="U32" s="182"/>
    </row>
    <row r="33" spans="2:21" ht="15.6" customHeight="1" x14ac:dyDescent="0.25">
      <c r="B33" s="190"/>
      <c r="C33" s="197"/>
      <c r="D33" s="198"/>
      <c r="E33" s="181"/>
      <c r="F33" s="140"/>
      <c r="G33" s="190"/>
      <c r="H33" s="195" t="s">
        <v>37</v>
      </c>
      <c r="I33" s="180" t="s">
        <v>38</v>
      </c>
      <c r="J33" s="180"/>
      <c r="K33" s="180"/>
      <c r="L33" s="180"/>
      <c r="M33" s="180"/>
      <c r="N33" s="180"/>
      <c r="O33" s="181"/>
      <c r="P33" s="142"/>
      <c r="Q33" s="190"/>
      <c r="R33" s="200"/>
      <c r="S33" s="201"/>
      <c r="T33" s="200"/>
      <c r="U33" s="182"/>
    </row>
    <row r="34" spans="2:21" ht="15.6" customHeight="1" x14ac:dyDescent="0.25">
      <c r="B34" s="190"/>
      <c r="C34" s="1505" t="s">
        <v>39</v>
      </c>
      <c r="D34" s="1505"/>
      <c r="E34" s="181"/>
      <c r="F34" s="140"/>
      <c r="G34" s="190"/>
      <c r="H34" s="195" t="s">
        <v>40</v>
      </c>
      <c r="I34" s="180" t="s">
        <v>41</v>
      </c>
      <c r="J34" s="180"/>
      <c r="K34" s="180"/>
      <c r="L34" s="180"/>
      <c r="M34" s="180"/>
      <c r="N34" s="180"/>
      <c r="O34" s="181"/>
      <c r="P34" s="142"/>
      <c r="Q34" s="190"/>
      <c r="R34" s="200"/>
      <c r="S34" s="201"/>
      <c r="T34" s="200"/>
      <c r="U34" s="182"/>
    </row>
    <row r="35" spans="2:21" ht="15.6" customHeight="1" x14ac:dyDescent="0.25">
      <c r="B35" s="190"/>
      <c r="C35" s="197"/>
      <c r="D35" s="198"/>
      <c r="E35" s="181"/>
      <c r="F35" s="140"/>
      <c r="G35" s="190"/>
      <c r="H35" s="195" t="s">
        <v>42</v>
      </c>
      <c r="I35" s="180" t="s">
        <v>43</v>
      </c>
      <c r="J35" s="180"/>
      <c r="K35" s="180"/>
      <c r="L35" s="180"/>
      <c r="M35" s="180"/>
      <c r="N35" s="180"/>
      <c r="O35" s="181"/>
      <c r="P35" s="142"/>
      <c r="Q35" s="190"/>
      <c r="R35" s="200"/>
      <c r="S35" s="201"/>
      <c r="T35" s="200"/>
      <c r="U35" s="182"/>
    </row>
    <row r="36" spans="2:21" ht="15.6" customHeight="1" x14ac:dyDescent="0.25">
      <c r="B36" s="190"/>
      <c r="C36" s="1506" t="s">
        <v>44</v>
      </c>
      <c r="D36" s="1506"/>
      <c r="E36" s="181"/>
      <c r="F36" s="140"/>
      <c r="G36" s="190"/>
      <c r="H36" s="195" t="s">
        <v>45</v>
      </c>
      <c r="I36" s="180" t="s">
        <v>46</v>
      </c>
      <c r="J36" s="180"/>
      <c r="K36" s="180"/>
      <c r="L36" s="180"/>
      <c r="M36" s="180"/>
      <c r="N36" s="180"/>
      <c r="O36" s="181"/>
      <c r="P36" s="142"/>
      <c r="Q36" s="190"/>
      <c r="R36" s="200"/>
      <c r="S36" s="201"/>
      <c r="T36" s="200"/>
      <c r="U36" s="182"/>
    </row>
    <row r="37" spans="2:21" ht="15.6" customHeight="1" x14ac:dyDescent="0.25">
      <c r="B37" s="190"/>
      <c r="C37" s="197"/>
      <c r="D37" s="197"/>
      <c r="E37" s="181"/>
      <c r="F37" s="140"/>
      <c r="G37" s="190"/>
      <c r="H37" s="195" t="s">
        <v>47</v>
      </c>
      <c r="I37" s="180" t="s">
        <v>48</v>
      </c>
      <c r="J37" s="180"/>
      <c r="K37" s="180"/>
      <c r="L37" s="180"/>
      <c r="M37" s="180"/>
      <c r="N37" s="180"/>
      <c r="O37" s="181"/>
      <c r="P37" s="142"/>
      <c r="Q37" s="190"/>
      <c r="R37" s="200"/>
      <c r="S37" s="201"/>
      <c r="T37" s="200"/>
      <c r="U37" s="182"/>
    </row>
    <row r="38" spans="2:21" ht="14.4" thickBot="1" x14ac:dyDescent="0.3">
      <c r="B38" s="190"/>
      <c r="C38" s="1500" t="s">
        <v>49</v>
      </c>
      <c r="D38" s="1501"/>
      <c r="E38" s="181"/>
      <c r="F38" s="150"/>
      <c r="G38" s="163"/>
      <c r="H38" s="164"/>
      <c r="I38" s="168"/>
      <c r="J38" s="168"/>
      <c r="K38" s="168"/>
      <c r="L38" s="168"/>
      <c r="M38" s="168"/>
      <c r="N38" s="168"/>
      <c r="O38" s="169"/>
      <c r="P38" s="142"/>
      <c r="Q38" s="190"/>
      <c r="R38" s="200"/>
      <c r="S38" s="201"/>
      <c r="T38" s="200"/>
      <c r="U38" s="182"/>
    </row>
    <row r="39" spans="2:21" ht="15.6" customHeight="1" thickBot="1" x14ac:dyDescent="0.3">
      <c r="B39" s="163"/>
      <c r="C39" s="168"/>
      <c r="D39" s="168"/>
      <c r="E39" s="169"/>
      <c r="F39" s="150"/>
      <c r="G39" s="260"/>
      <c r="H39" s="142"/>
      <c r="I39" s="142"/>
      <c r="J39" s="142"/>
      <c r="K39" s="142"/>
      <c r="L39" s="142"/>
      <c r="M39" s="142"/>
      <c r="N39"/>
      <c r="O39" s="142"/>
      <c r="P39" s="142"/>
      <c r="Q39" s="162"/>
      <c r="R39" s="200"/>
      <c r="S39" s="201"/>
      <c r="T39" s="200"/>
      <c r="U39" s="182"/>
    </row>
    <row r="40" spans="2:21" ht="15.6" customHeight="1" thickBot="1" x14ac:dyDescent="0.3">
      <c r="B40" s="142"/>
      <c r="C40" s="142"/>
      <c r="D40" s="142"/>
      <c r="E40" s="142"/>
      <c r="F40" s="142"/>
      <c r="G40" s="142"/>
      <c r="H40" s="142"/>
      <c r="I40" s="142"/>
      <c r="J40" s="142"/>
      <c r="K40" s="142"/>
      <c r="L40" s="142"/>
      <c r="M40" s="142"/>
      <c r="N40" s="142"/>
      <c r="O40" s="142"/>
      <c r="P40" s="142"/>
      <c r="Q40" s="162"/>
      <c r="R40" s="200"/>
      <c r="S40" s="201"/>
      <c r="T40" s="1196"/>
      <c r="U40" s="182"/>
    </row>
    <row r="41" spans="2:21" ht="15.6" customHeight="1" thickBot="1" x14ac:dyDescent="0.3">
      <c r="B41" s="196"/>
      <c r="C41" s="170"/>
      <c r="D41" s="174"/>
      <c r="E41" s="175"/>
      <c r="F41" s="142"/>
      <c r="G41" s="142"/>
      <c r="H41" s="142"/>
      <c r="I41" s="142"/>
      <c r="J41" s="142"/>
      <c r="K41" s="142"/>
      <c r="L41" s="142"/>
      <c r="M41"/>
      <c r="N41" s="142"/>
      <c r="O41" s="142"/>
      <c r="P41" s="142"/>
      <c r="Q41" s="207"/>
      <c r="R41" s="194"/>
      <c r="S41" s="194"/>
      <c r="T41" s="194"/>
      <c r="U41" s="208"/>
    </row>
    <row r="42" spans="2:21" ht="15.6" customHeight="1" x14ac:dyDescent="0.25">
      <c r="B42" s="187"/>
      <c r="C42" s="1495" t="s">
        <v>50</v>
      </c>
      <c r="D42" s="1495"/>
      <c r="E42" s="189"/>
      <c r="F42" s="142"/>
      <c r="G42" s="142"/>
      <c r="H42" s="142"/>
      <c r="I42" s="142"/>
      <c r="J42" s="142"/>
      <c r="K42" s="142"/>
      <c r="L42" s="142"/>
      <c r="M42" s="142"/>
      <c r="N42" s="142"/>
      <c r="O42" s="142"/>
      <c r="P42" s="142"/>
    </row>
    <row r="43" spans="2:21" ht="15.6" customHeight="1" x14ac:dyDescent="0.25">
      <c r="B43" s="191"/>
      <c r="C43" s="176"/>
      <c r="D43" s="180"/>
      <c r="E43" s="181"/>
      <c r="F43" s="142"/>
      <c r="G43" s="142"/>
      <c r="H43" s="142"/>
      <c r="I43" s="142"/>
      <c r="J43" s="142"/>
      <c r="K43" s="142"/>
      <c r="L43" s="142"/>
      <c r="M43" s="142"/>
      <c r="N43" s="142"/>
      <c r="O43" s="142"/>
      <c r="P43" s="142"/>
    </row>
    <row r="44" spans="2:21" ht="15.6" customHeight="1" x14ac:dyDescent="0.25">
      <c r="B44" s="190"/>
      <c r="C44" s="1496" t="s">
        <v>51</v>
      </c>
      <c r="D44" s="1496"/>
      <c r="E44" s="181"/>
      <c r="F44" s="142"/>
      <c r="G44" s="142"/>
      <c r="H44" s="142"/>
      <c r="I44" s="142"/>
      <c r="J44" s="142"/>
      <c r="K44" s="142"/>
      <c r="L44" s="142"/>
      <c r="M44" s="142"/>
      <c r="N44" s="142"/>
      <c r="O44" s="142"/>
      <c r="P44" s="142"/>
    </row>
    <row r="45" spans="2:21" ht="15.6" customHeight="1" x14ac:dyDescent="0.25">
      <c r="B45" s="191"/>
      <c r="C45" s="197"/>
      <c r="D45" s="198"/>
      <c r="E45" s="181"/>
      <c r="F45" s="142"/>
      <c r="G45" s="142"/>
      <c r="H45" s="142"/>
      <c r="I45" s="142"/>
      <c r="J45" s="142"/>
      <c r="K45" s="142"/>
      <c r="L45" s="142"/>
      <c r="M45" s="142"/>
      <c r="N45" s="142"/>
      <c r="O45" s="142"/>
      <c r="P45" s="142"/>
    </row>
    <row r="46" spans="2:21" ht="15.6" customHeight="1" x14ac:dyDescent="0.25">
      <c r="B46" s="190"/>
      <c r="C46" s="1497" t="s">
        <v>52</v>
      </c>
      <c r="D46" s="1497"/>
      <c r="E46" s="181"/>
      <c r="F46" s="142"/>
      <c r="G46" s="142"/>
      <c r="H46" s="142"/>
      <c r="I46" s="142"/>
      <c r="J46" s="142"/>
      <c r="K46" s="142"/>
      <c r="L46" s="142"/>
      <c r="M46" s="142"/>
      <c r="N46" s="142"/>
      <c r="O46" s="142"/>
      <c r="P46" s="142"/>
    </row>
    <row r="47" spans="2:21" ht="15.6" customHeight="1" x14ac:dyDescent="0.25">
      <c r="B47" s="191"/>
      <c r="C47" s="197"/>
      <c r="D47" s="198"/>
      <c r="E47" s="181"/>
      <c r="F47" s="142"/>
      <c r="P47" s="142"/>
    </row>
    <row r="48" spans="2:21" ht="15.6" customHeight="1" x14ac:dyDescent="0.25">
      <c r="B48" s="190"/>
      <c r="C48" s="1494" t="s">
        <v>53</v>
      </c>
      <c r="D48" s="1494"/>
      <c r="E48" s="181"/>
      <c r="F48" s="142"/>
      <c r="G48" s="142"/>
      <c r="H48" s="142"/>
      <c r="I48" s="142"/>
      <c r="J48" s="142"/>
      <c r="K48" s="142"/>
      <c r="L48" s="142"/>
      <c r="M48" s="142"/>
      <c r="N48" s="142"/>
      <c r="O48" s="142"/>
      <c r="P48" s="142"/>
    </row>
    <row r="49" spans="2:16" ht="15.6" customHeight="1" x14ac:dyDescent="0.25">
      <c r="B49" s="191"/>
      <c r="C49" s="197"/>
      <c r="D49" s="198"/>
      <c r="E49" s="181"/>
      <c r="F49" s="142"/>
      <c r="P49" s="142"/>
    </row>
    <row r="50" spans="2:16" ht="15.6" customHeight="1" x14ac:dyDescent="0.25">
      <c r="B50" s="190"/>
      <c r="C50" s="1499" t="s">
        <v>54</v>
      </c>
      <c r="D50" s="1499"/>
      <c r="E50" s="181"/>
      <c r="F50" s="142"/>
      <c r="G50" s="142"/>
      <c r="H50" s="142"/>
      <c r="I50" s="142"/>
      <c r="J50" s="142"/>
      <c r="K50" s="142"/>
      <c r="L50" s="142"/>
      <c r="M50" s="142"/>
      <c r="N50" s="142"/>
      <c r="O50" s="142"/>
      <c r="P50" s="142"/>
    </row>
    <row r="51" spans="2:16" ht="15.6" customHeight="1" x14ac:dyDescent="0.25">
      <c r="B51" s="190"/>
      <c r="C51" s="197"/>
      <c r="D51" s="198"/>
      <c r="E51" s="181"/>
      <c r="F51" s="142"/>
      <c r="P51" s="142"/>
    </row>
    <row r="52" spans="2:16" ht="15.6" customHeight="1" x14ac:dyDescent="0.25">
      <c r="B52" s="190"/>
      <c r="C52" s="1498" t="s">
        <v>55</v>
      </c>
      <c r="D52" s="1498"/>
      <c r="E52" s="181"/>
    </row>
    <row r="53" spans="2:16" ht="15.6" customHeight="1" thickBot="1" x14ac:dyDescent="0.3">
      <c r="B53" s="163"/>
      <c r="C53" s="168"/>
      <c r="D53" s="168"/>
      <c r="E53" s="169"/>
    </row>
  </sheetData>
  <mergeCells count="30">
    <mergeCell ref="H16:I16"/>
    <mergeCell ref="I11:M11"/>
    <mergeCell ref="I12:M12"/>
    <mergeCell ref="C3:N5"/>
    <mergeCell ref="D11:G11"/>
    <mergeCell ref="D12:G12"/>
    <mergeCell ref="H9:I9"/>
    <mergeCell ref="I13:M13"/>
    <mergeCell ref="C26:D26"/>
    <mergeCell ref="H26:N26"/>
    <mergeCell ref="D18:G18"/>
    <mergeCell ref="D19:G19"/>
    <mergeCell ref="D20:G20"/>
    <mergeCell ref="D21:G21"/>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AC284"/>
  <sheetViews>
    <sheetView tabSelected="1" topLeftCell="A31" zoomScale="70" zoomScaleNormal="70" workbookViewId="0">
      <selection activeCell="M50" sqref="M50"/>
    </sheetView>
  </sheetViews>
  <sheetFormatPr defaultColWidth="8.81640625" defaultRowHeight="13.8" x14ac:dyDescent="0.25"/>
  <cols>
    <col min="1" max="1" width="2.1796875" style="257" customWidth="1"/>
    <col min="2" max="2" width="32" style="257" customWidth="1"/>
    <col min="3" max="3" width="57" style="257" customWidth="1"/>
    <col min="4" max="4" width="16.08984375" style="257" customWidth="1"/>
    <col min="5" max="5" width="8.81640625" style="257"/>
    <col min="6" max="6" width="14.453125" style="257" customWidth="1"/>
    <col min="7" max="12" width="8.81640625" style="257"/>
    <col min="13" max="13" width="10.453125" style="257" bestFit="1" customWidth="1"/>
    <col min="14" max="14" width="10.36328125" style="257" customWidth="1"/>
    <col min="15" max="17" width="8.81640625" style="257"/>
    <col min="18" max="21" width="11.36328125" style="257" bestFit="1" customWidth="1"/>
    <col min="22" max="23" width="8.81640625" style="257"/>
    <col min="24" max="24" width="12.1796875" style="257" bestFit="1" customWidth="1"/>
    <col min="25" max="16384" width="8.81640625" style="257"/>
  </cols>
  <sheetData>
    <row r="1" spans="2:29" ht="14.4" thickBot="1" x14ac:dyDescent="0.3"/>
    <row r="2" spans="2:29" ht="35.1" customHeight="1" thickBot="1" x14ac:dyDescent="0.3">
      <c r="B2" s="398" t="s">
        <v>57</v>
      </c>
      <c r="C2" s="62">
        <v>0</v>
      </c>
      <c r="D2" s="396" t="s">
        <v>2</v>
      </c>
      <c r="E2" s="395"/>
      <c r="G2" s="1197" t="s">
        <v>56</v>
      </c>
    </row>
    <row r="3" spans="2:29" ht="42" thickBot="1" x14ac:dyDescent="0.3">
      <c r="B3" s="397" t="s">
        <v>111</v>
      </c>
      <c r="C3" s="1215" t="s">
        <v>1015</v>
      </c>
      <c r="D3" s="391" t="s">
        <v>1016</v>
      </c>
      <c r="E3" s="392" t="s">
        <v>760</v>
      </c>
    </row>
    <row r="4" spans="2:29" ht="14.4" thickBot="1" x14ac:dyDescent="0.3"/>
    <row r="5" spans="2:29" ht="55.8" thickBot="1" x14ac:dyDescent="0.3">
      <c r="B5" s="210" t="s">
        <v>1017</v>
      </c>
      <c r="G5" s="1530" t="s">
        <v>1018</v>
      </c>
      <c r="H5" s="1592"/>
      <c r="I5" s="1592"/>
      <c r="J5" s="1592"/>
      <c r="K5" s="1592"/>
      <c r="L5" s="1592"/>
      <c r="M5" s="1592"/>
      <c r="N5" s="1592"/>
      <c r="O5" s="1592"/>
      <c r="P5" s="1592"/>
      <c r="Q5" s="1531"/>
      <c r="R5" s="1530" t="s">
        <v>1019</v>
      </c>
      <c r="S5" s="1592"/>
      <c r="T5" s="1592"/>
      <c r="U5" s="1592"/>
      <c r="V5" s="1592"/>
      <c r="W5" s="1592"/>
      <c r="X5" s="1592"/>
      <c r="Y5" s="1592"/>
      <c r="Z5" s="1592"/>
      <c r="AA5" s="1531"/>
    </row>
    <row r="6" spans="2:29" ht="42" thickBot="1" x14ac:dyDescent="0.3">
      <c r="B6" s="251" t="s">
        <v>1020</v>
      </c>
      <c r="C6" s="252" t="s">
        <v>1002</v>
      </c>
      <c r="D6" s="252" t="s">
        <v>1003</v>
      </c>
      <c r="E6" s="252" t="s">
        <v>117</v>
      </c>
      <c r="F6" s="253" t="s">
        <v>118</v>
      </c>
      <c r="G6" s="251" t="s">
        <v>119</v>
      </c>
      <c r="H6" s="252" t="s">
        <v>120</v>
      </c>
      <c r="I6" s="252" t="s">
        <v>121</v>
      </c>
      <c r="J6" s="252" t="s">
        <v>122</v>
      </c>
      <c r="K6" s="252" t="s">
        <v>123</v>
      </c>
      <c r="L6" s="252" t="s">
        <v>124</v>
      </c>
      <c r="M6" s="252" t="s">
        <v>125</v>
      </c>
      <c r="N6" s="252" t="s">
        <v>126</v>
      </c>
      <c r="O6" s="252" t="s">
        <v>127</v>
      </c>
      <c r="P6" s="252" t="s">
        <v>128</v>
      </c>
      <c r="Q6" s="253" t="s">
        <v>129</v>
      </c>
      <c r="R6" s="256" t="s">
        <v>1021</v>
      </c>
      <c r="S6" s="254" t="s">
        <v>1022</v>
      </c>
      <c r="T6" s="254" t="s">
        <v>1023</v>
      </c>
      <c r="U6" s="254" t="s">
        <v>1024</v>
      </c>
      <c r="V6" s="254" t="s">
        <v>1025</v>
      </c>
      <c r="W6" s="254" t="s">
        <v>1026</v>
      </c>
      <c r="X6" s="254" t="s">
        <v>1027</v>
      </c>
      <c r="Y6" s="254" t="s">
        <v>1028</v>
      </c>
      <c r="Z6" s="254" t="s">
        <v>1029</v>
      </c>
      <c r="AA6" s="255" t="s">
        <v>1030</v>
      </c>
    </row>
    <row r="7" spans="2:29" x14ac:dyDescent="0.25">
      <c r="B7" s="250" t="s">
        <v>1031</v>
      </c>
      <c r="C7" s="241" t="s">
        <v>1005</v>
      </c>
      <c r="D7" s="242" t="s">
        <v>1006</v>
      </c>
      <c r="E7" s="1444" t="s">
        <v>254</v>
      </c>
      <c r="F7" s="297">
        <v>3</v>
      </c>
      <c r="G7" s="1460">
        <v>0</v>
      </c>
      <c r="H7" s="1460">
        <v>0</v>
      </c>
      <c r="I7" s="1460">
        <v>0</v>
      </c>
      <c r="J7" s="1460">
        <v>0</v>
      </c>
      <c r="K7" s="1460">
        <v>0</v>
      </c>
      <c r="L7" s="1460">
        <v>0</v>
      </c>
      <c r="M7" s="1484">
        <f>((M65+M66+M67))*1000</f>
        <v>1345.707402518568</v>
      </c>
      <c r="N7" s="1484">
        <f t="shared" ref="N7:AA7" si="0">((N65+N66+N67))*1000</f>
        <v>1345.707402518568</v>
      </c>
      <c r="O7" s="1484">
        <f t="shared" si="0"/>
        <v>1345.707402518568</v>
      </c>
      <c r="P7" s="1484">
        <f t="shared" si="0"/>
        <v>1345.707402518568</v>
      </c>
      <c r="Q7" s="1484">
        <f t="shared" si="0"/>
        <v>1345.707402518568</v>
      </c>
      <c r="R7" s="1484">
        <f t="shared" si="0"/>
        <v>6728.5370125928412</v>
      </c>
      <c r="S7" s="1484">
        <f t="shared" si="0"/>
        <v>6728.5370125928412</v>
      </c>
      <c r="T7" s="1484">
        <f t="shared" si="0"/>
        <v>0</v>
      </c>
      <c r="U7" s="1484">
        <f t="shared" si="0"/>
        <v>0</v>
      </c>
      <c r="V7" s="1484">
        <f t="shared" si="0"/>
        <v>0</v>
      </c>
      <c r="W7" s="1484">
        <f t="shared" si="0"/>
        <v>0</v>
      </c>
      <c r="X7" s="1484">
        <f t="shared" si="0"/>
        <v>0</v>
      </c>
      <c r="Y7" s="1484">
        <f t="shared" si="0"/>
        <v>0</v>
      </c>
      <c r="Z7" s="1484">
        <f t="shared" si="0"/>
        <v>0</v>
      </c>
      <c r="AA7" s="1484">
        <f t="shared" si="0"/>
        <v>0</v>
      </c>
      <c r="AC7" s="1461">
        <v>1000</v>
      </c>
    </row>
    <row r="8" spans="2:29" x14ac:dyDescent="0.25">
      <c r="B8" s="244" t="s">
        <v>1032</v>
      </c>
      <c r="C8" s="47" t="s">
        <v>1008</v>
      </c>
      <c r="D8" s="53" t="s">
        <v>1006</v>
      </c>
      <c r="E8" s="298" t="s">
        <v>254</v>
      </c>
      <c r="F8" s="286">
        <v>3</v>
      </c>
      <c r="G8" s="1460">
        <v>0</v>
      </c>
      <c r="H8" s="1460">
        <v>0</v>
      </c>
      <c r="I8" s="1460">
        <v>0</v>
      </c>
      <c r="J8" s="1460">
        <v>0</v>
      </c>
      <c r="K8" s="1460">
        <v>0</v>
      </c>
      <c r="L8" s="1460">
        <v>0</v>
      </c>
      <c r="M8" s="1460">
        <v>0</v>
      </c>
      <c r="N8" s="1460">
        <v>0</v>
      </c>
      <c r="O8" s="1460">
        <v>0</v>
      </c>
      <c r="P8" s="1460">
        <v>0</v>
      </c>
      <c r="Q8" s="1460">
        <v>0</v>
      </c>
      <c r="R8" s="1460">
        <v>0</v>
      </c>
      <c r="S8" s="1460">
        <v>0</v>
      </c>
      <c r="T8" s="1460">
        <v>0</v>
      </c>
      <c r="U8" s="1460">
        <v>0</v>
      </c>
      <c r="V8" s="1460">
        <v>0</v>
      </c>
      <c r="W8" s="1460">
        <v>0</v>
      </c>
      <c r="X8" s="1460">
        <v>0</v>
      </c>
      <c r="Y8" s="1460">
        <v>0</v>
      </c>
      <c r="Z8" s="1460">
        <v>0</v>
      </c>
      <c r="AA8" s="1460">
        <v>0</v>
      </c>
    </row>
    <row r="9" spans="2:29" ht="14.4" thickBot="1" x14ac:dyDescent="0.3">
      <c r="B9" s="245" t="s">
        <v>1033</v>
      </c>
      <c r="C9" s="48" t="s">
        <v>1034</v>
      </c>
      <c r="D9" s="55" t="s">
        <v>1006</v>
      </c>
      <c r="E9" s="1445" t="s">
        <v>254</v>
      </c>
      <c r="F9" s="287">
        <v>3</v>
      </c>
      <c r="G9" s="1462">
        <f t="shared" ref="G9:L9" si="1">SUM(G7:G8)</f>
        <v>0</v>
      </c>
      <c r="H9" s="1462">
        <f t="shared" si="1"/>
        <v>0</v>
      </c>
      <c r="I9" s="1462">
        <f t="shared" si="1"/>
        <v>0</v>
      </c>
      <c r="J9" s="1462">
        <f t="shared" si="1"/>
        <v>0</v>
      </c>
      <c r="K9" s="1462">
        <f t="shared" si="1"/>
        <v>0</v>
      </c>
      <c r="L9" s="1462">
        <f t="shared" si="1"/>
        <v>0</v>
      </c>
      <c r="M9" s="1462">
        <f>(SUM(M7:M8))</f>
        <v>1345.707402518568</v>
      </c>
      <c r="N9" s="1462">
        <f t="shared" ref="N9:AA9" si="2">(SUM(N7:N8))</f>
        <v>1345.707402518568</v>
      </c>
      <c r="O9" s="1462">
        <f t="shared" si="2"/>
        <v>1345.707402518568</v>
      </c>
      <c r="P9" s="1462">
        <f t="shared" si="2"/>
        <v>1345.707402518568</v>
      </c>
      <c r="Q9" s="1462">
        <f t="shared" si="2"/>
        <v>1345.707402518568</v>
      </c>
      <c r="R9" s="1462">
        <f t="shared" si="2"/>
        <v>6728.5370125928412</v>
      </c>
      <c r="S9" s="1462">
        <f t="shared" si="2"/>
        <v>6728.5370125928412</v>
      </c>
      <c r="T9" s="1462">
        <f t="shared" si="2"/>
        <v>0</v>
      </c>
      <c r="U9" s="1462">
        <f t="shared" si="2"/>
        <v>0</v>
      </c>
      <c r="V9" s="1462">
        <f t="shared" si="2"/>
        <v>0</v>
      </c>
      <c r="W9" s="1462">
        <f t="shared" si="2"/>
        <v>0</v>
      </c>
      <c r="X9" s="1462">
        <f t="shared" si="2"/>
        <v>0</v>
      </c>
      <c r="Y9" s="1462">
        <f t="shared" si="2"/>
        <v>0</v>
      </c>
      <c r="Z9" s="1462">
        <f t="shared" si="2"/>
        <v>0</v>
      </c>
      <c r="AA9" s="1462">
        <f t="shared" si="2"/>
        <v>0</v>
      </c>
    </row>
    <row r="10" spans="2:29" ht="14.4" thickBot="1" x14ac:dyDescent="0.3">
      <c r="B10" s="246"/>
      <c r="C10" s="247"/>
      <c r="D10" s="57"/>
      <c r="E10" s="248"/>
      <c r="F10" s="249"/>
      <c r="G10" s="258"/>
      <c r="H10" s="258"/>
      <c r="I10" s="258"/>
      <c r="J10" s="258"/>
      <c r="K10" s="258"/>
      <c r="L10" s="258"/>
      <c r="M10" s="258"/>
      <c r="N10" s="258"/>
      <c r="O10" s="258"/>
      <c r="P10" s="258"/>
      <c r="Q10" s="258"/>
      <c r="R10" s="258"/>
      <c r="S10" s="258"/>
      <c r="T10" s="258"/>
      <c r="U10" s="258"/>
      <c r="V10" s="258"/>
      <c r="W10" s="258"/>
      <c r="X10" s="258"/>
      <c r="Y10" s="258"/>
      <c r="Z10" s="258"/>
      <c r="AA10" s="258"/>
    </row>
    <row r="11" spans="2:29" ht="69.599999999999994" thickBot="1" x14ac:dyDescent="0.3">
      <c r="B11" s="210" t="s">
        <v>1035</v>
      </c>
      <c r="G11" s="1530" t="s">
        <v>1018</v>
      </c>
      <c r="H11" s="1592"/>
      <c r="I11" s="1592"/>
      <c r="J11" s="1592"/>
      <c r="K11" s="1592"/>
      <c r="L11" s="1592"/>
      <c r="M11" s="1592"/>
      <c r="N11" s="1592"/>
      <c r="O11" s="1592"/>
      <c r="P11" s="1592"/>
      <c r="Q11" s="1531"/>
      <c r="R11" s="1530" t="s">
        <v>1019</v>
      </c>
      <c r="S11" s="1592"/>
      <c r="T11" s="1592"/>
      <c r="U11" s="1592"/>
      <c r="V11" s="1592"/>
      <c r="W11" s="1592"/>
      <c r="X11" s="1592"/>
      <c r="Y11" s="1592"/>
      <c r="Z11" s="1592"/>
      <c r="AA11" s="1531"/>
    </row>
    <row r="12" spans="2:29" ht="42" thickBot="1" x14ac:dyDescent="0.3">
      <c r="B12" s="251" t="s">
        <v>1020</v>
      </c>
      <c r="C12" s="252" t="s">
        <v>1002</v>
      </c>
      <c r="D12" s="252" t="s">
        <v>1003</v>
      </c>
      <c r="E12" s="252" t="s">
        <v>117</v>
      </c>
      <c r="F12" s="253" t="s">
        <v>118</v>
      </c>
      <c r="G12" s="251" t="s">
        <v>119</v>
      </c>
      <c r="H12" s="252" t="s">
        <v>120</v>
      </c>
      <c r="I12" s="252" t="s">
        <v>121</v>
      </c>
      <c r="J12" s="252" t="s">
        <v>122</v>
      </c>
      <c r="K12" s="252" t="s">
        <v>123</v>
      </c>
      <c r="L12" s="252" t="s">
        <v>124</v>
      </c>
      <c r="M12" s="252" t="s">
        <v>125</v>
      </c>
      <c r="N12" s="252" t="s">
        <v>126</v>
      </c>
      <c r="O12" s="252" t="s">
        <v>127</v>
      </c>
      <c r="P12" s="252" t="s">
        <v>128</v>
      </c>
      <c r="Q12" s="253" t="s">
        <v>129</v>
      </c>
      <c r="R12" s="256" t="s">
        <v>1021</v>
      </c>
      <c r="S12" s="254" t="s">
        <v>1022</v>
      </c>
      <c r="T12" s="254" t="s">
        <v>1023</v>
      </c>
      <c r="U12" s="254" t="s">
        <v>1024</v>
      </c>
      <c r="V12" s="254" t="s">
        <v>1025</v>
      </c>
      <c r="W12" s="254" t="s">
        <v>1026</v>
      </c>
      <c r="X12" s="254" t="s">
        <v>1027</v>
      </c>
      <c r="Y12" s="254" t="s">
        <v>1028</v>
      </c>
      <c r="Z12" s="254" t="s">
        <v>1029</v>
      </c>
      <c r="AA12" s="255" t="s">
        <v>1030</v>
      </c>
    </row>
    <row r="13" spans="2:29" x14ac:dyDescent="0.25">
      <c r="B13" s="243" t="s">
        <v>1036</v>
      </c>
      <c r="C13" s="47" t="s">
        <v>1037</v>
      </c>
      <c r="D13" s="53" t="s">
        <v>811</v>
      </c>
      <c r="E13" s="298" t="s">
        <v>254</v>
      </c>
      <c r="F13" s="286">
        <v>3</v>
      </c>
      <c r="G13" s="1463">
        <f>0</f>
        <v>0</v>
      </c>
      <c r="H13" s="1463">
        <f>0</f>
        <v>0</v>
      </c>
      <c r="I13" s="1463">
        <f>0</f>
        <v>0</v>
      </c>
      <c r="J13" s="1463">
        <f>0</f>
        <v>0</v>
      </c>
      <c r="K13" s="1463">
        <f>0</f>
        <v>0</v>
      </c>
      <c r="L13" s="1463">
        <f>0</f>
        <v>0</v>
      </c>
      <c r="M13" s="1463">
        <f>0</f>
        <v>0</v>
      </c>
      <c r="N13" s="1463">
        <f>0</f>
        <v>0</v>
      </c>
      <c r="O13" s="1463">
        <f>0</f>
        <v>0</v>
      </c>
      <c r="P13" s="1463">
        <f>0</f>
        <v>0</v>
      </c>
      <c r="Q13" s="1463">
        <f>0</f>
        <v>0</v>
      </c>
      <c r="R13" s="1463">
        <f>0</f>
        <v>0</v>
      </c>
      <c r="S13" s="1463">
        <f>0</f>
        <v>0</v>
      </c>
      <c r="T13" s="1463">
        <f>0</f>
        <v>0</v>
      </c>
      <c r="U13" s="1463">
        <f>0</f>
        <v>0</v>
      </c>
      <c r="V13" s="1463">
        <f>0</f>
        <v>0</v>
      </c>
      <c r="W13" s="1463">
        <f>0</f>
        <v>0</v>
      </c>
      <c r="X13" s="1463">
        <f>0</f>
        <v>0</v>
      </c>
      <c r="Y13" s="1463">
        <f>0</f>
        <v>0</v>
      </c>
      <c r="Z13" s="1463">
        <f>0</f>
        <v>0</v>
      </c>
      <c r="AA13" s="1463">
        <f>0</f>
        <v>0</v>
      </c>
      <c r="AC13" s="1461">
        <v>1000</v>
      </c>
    </row>
    <row r="14" spans="2:29" x14ac:dyDescent="0.25">
      <c r="B14" s="244" t="s">
        <v>1038</v>
      </c>
      <c r="C14" s="47" t="s">
        <v>1037</v>
      </c>
      <c r="D14" s="53" t="s">
        <v>806</v>
      </c>
      <c r="E14" s="298" t="s">
        <v>254</v>
      </c>
      <c r="F14" s="286">
        <v>3</v>
      </c>
      <c r="G14" s="1463">
        <f>0</f>
        <v>0</v>
      </c>
      <c r="H14" s="1463">
        <f>0</f>
        <v>0</v>
      </c>
      <c r="I14" s="1463">
        <f>0</f>
        <v>0</v>
      </c>
      <c r="J14" s="1463">
        <f>0</f>
        <v>0</v>
      </c>
      <c r="K14" s="1463">
        <f>0</f>
        <v>0</v>
      </c>
      <c r="L14" s="1463">
        <f>0</f>
        <v>0</v>
      </c>
      <c r="M14" s="1463">
        <f>0</f>
        <v>0</v>
      </c>
      <c r="N14" s="1463">
        <f>0</f>
        <v>0</v>
      </c>
      <c r="O14" s="1463">
        <f>0</f>
        <v>0</v>
      </c>
      <c r="P14" s="1463">
        <f>0</f>
        <v>0</v>
      </c>
      <c r="Q14" s="1463">
        <f>0</f>
        <v>0</v>
      </c>
      <c r="R14" s="1463">
        <f>0</f>
        <v>0</v>
      </c>
      <c r="S14" s="1463">
        <f>0</f>
        <v>0</v>
      </c>
      <c r="T14" s="1463">
        <f>0</f>
        <v>0</v>
      </c>
      <c r="U14" s="1463">
        <f>0</f>
        <v>0</v>
      </c>
      <c r="V14" s="1463">
        <f>0</f>
        <v>0</v>
      </c>
      <c r="W14" s="1463">
        <f>0</f>
        <v>0</v>
      </c>
      <c r="X14" s="1463">
        <f>0</f>
        <v>0</v>
      </c>
      <c r="Y14" s="1463">
        <f>0</f>
        <v>0</v>
      </c>
      <c r="Z14" s="1463">
        <f>0</f>
        <v>0</v>
      </c>
      <c r="AA14" s="1463">
        <f>0</f>
        <v>0</v>
      </c>
    </row>
    <row r="15" spans="2:29" x14ac:dyDescent="0.25">
      <c r="B15" s="244" t="s">
        <v>1039</v>
      </c>
      <c r="C15" s="47" t="s">
        <v>1037</v>
      </c>
      <c r="D15" s="53" t="s">
        <v>1006</v>
      </c>
      <c r="E15" s="298" t="s">
        <v>254</v>
      </c>
      <c r="F15" s="286">
        <v>3</v>
      </c>
      <c r="G15" s="1464">
        <f t="shared" ref="G15:L15" si="3">SUM(G13:G14)</f>
        <v>0</v>
      </c>
      <c r="H15" s="1464">
        <f t="shared" si="3"/>
        <v>0</v>
      </c>
      <c r="I15" s="1464">
        <f t="shared" si="3"/>
        <v>0</v>
      </c>
      <c r="J15" s="1464">
        <f t="shared" si="3"/>
        <v>0</v>
      </c>
      <c r="K15" s="1464">
        <f t="shared" si="3"/>
        <v>0</v>
      </c>
      <c r="L15" s="1464">
        <f t="shared" si="3"/>
        <v>0</v>
      </c>
      <c r="M15" s="1464">
        <f>(SUM(M13:M14))</f>
        <v>0</v>
      </c>
      <c r="N15" s="1464">
        <f t="shared" ref="N15:AA15" si="4">(SUM(N13:N14))</f>
        <v>0</v>
      </c>
      <c r="O15" s="1464">
        <f t="shared" si="4"/>
        <v>0</v>
      </c>
      <c r="P15" s="1464">
        <f t="shared" si="4"/>
        <v>0</v>
      </c>
      <c r="Q15" s="1464">
        <f t="shared" si="4"/>
        <v>0</v>
      </c>
      <c r="R15" s="1464">
        <f t="shared" si="4"/>
        <v>0</v>
      </c>
      <c r="S15" s="1464">
        <f t="shared" si="4"/>
        <v>0</v>
      </c>
      <c r="T15" s="1464">
        <f t="shared" si="4"/>
        <v>0</v>
      </c>
      <c r="U15" s="1464">
        <f t="shared" si="4"/>
        <v>0</v>
      </c>
      <c r="V15" s="1464">
        <f t="shared" si="4"/>
        <v>0</v>
      </c>
      <c r="W15" s="1464">
        <f t="shared" si="4"/>
        <v>0</v>
      </c>
      <c r="X15" s="1464">
        <f t="shared" si="4"/>
        <v>0</v>
      </c>
      <c r="Y15" s="1464">
        <f t="shared" si="4"/>
        <v>0</v>
      </c>
      <c r="Z15" s="1464">
        <f t="shared" si="4"/>
        <v>0</v>
      </c>
      <c r="AA15" s="1464">
        <f t="shared" si="4"/>
        <v>0</v>
      </c>
    </row>
    <row r="16" spans="2:29" x14ac:dyDescent="0.25">
      <c r="B16" s="243" t="s">
        <v>1040</v>
      </c>
      <c r="C16" s="47" t="s">
        <v>1041</v>
      </c>
      <c r="D16" s="53" t="s">
        <v>811</v>
      </c>
      <c r="E16" s="298" t="s">
        <v>254</v>
      </c>
      <c r="F16" s="286">
        <v>3</v>
      </c>
      <c r="G16" s="1463">
        <f>0</f>
        <v>0</v>
      </c>
      <c r="H16" s="1463">
        <f>0</f>
        <v>0</v>
      </c>
      <c r="I16" s="1463">
        <f>0</f>
        <v>0</v>
      </c>
      <c r="J16" s="1463">
        <f>0</f>
        <v>0</v>
      </c>
      <c r="K16" s="1463">
        <f>0</f>
        <v>0</v>
      </c>
      <c r="L16" s="1463">
        <f>0</f>
        <v>0</v>
      </c>
      <c r="M16" s="1485">
        <v>77.048940000000002</v>
      </c>
      <c r="N16" s="1485">
        <v>75.430499999999995</v>
      </c>
      <c r="O16" s="1485">
        <v>75.888959999999997</v>
      </c>
      <c r="P16" s="1485">
        <v>76.34742</v>
      </c>
      <c r="Q16" s="1485">
        <v>76.576650000000001</v>
      </c>
      <c r="R16" s="1485">
        <v>5388.983534</v>
      </c>
      <c r="S16" s="1485">
        <v>5201.9921599999998</v>
      </c>
      <c r="T16" s="1485">
        <v>5011.0860199999997</v>
      </c>
      <c r="U16" s="1485">
        <v>5011.0860199999997</v>
      </c>
      <c r="V16" s="1463">
        <f>0</f>
        <v>0</v>
      </c>
      <c r="W16" s="1463">
        <f>0</f>
        <v>0</v>
      </c>
      <c r="X16" s="1463">
        <f>0</f>
        <v>0</v>
      </c>
      <c r="Y16" s="1463">
        <f>0</f>
        <v>0</v>
      </c>
      <c r="Z16" s="1463">
        <f>0</f>
        <v>0</v>
      </c>
      <c r="AA16" s="1463">
        <f>0</f>
        <v>0</v>
      </c>
    </row>
    <row r="17" spans="2:29" x14ac:dyDescent="0.25">
      <c r="B17" s="244" t="s">
        <v>1042</v>
      </c>
      <c r="C17" s="47" t="s">
        <v>1041</v>
      </c>
      <c r="D17" s="53" t="s">
        <v>806</v>
      </c>
      <c r="E17" s="298" t="s">
        <v>254</v>
      </c>
      <c r="F17" s="286">
        <v>3</v>
      </c>
      <c r="G17" s="1463">
        <f>0</f>
        <v>0</v>
      </c>
      <c r="H17" s="1463">
        <f>0</f>
        <v>0</v>
      </c>
      <c r="I17" s="1463">
        <f>0</f>
        <v>0</v>
      </c>
      <c r="J17" s="1463">
        <f>0</f>
        <v>0</v>
      </c>
      <c r="K17" s="1463">
        <f>0</f>
        <v>0</v>
      </c>
      <c r="L17" s="1463">
        <f>0</f>
        <v>0</v>
      </c>
      <c r="M17" s="1485">
        <v>157.3506222222222</v>
      </c>
      <c r="N17" s="1485">
        <v>157.73086666666663</v>
      </c>
      <c r="O17" s="1485">
        <v>158.61975555555557</v>
      </c>
      <c r="P17" s="1485">
        <v>159.50864444444446</v>
      </c>
      <c r="Q17" s="1485">
        <v>159.95308888888889</v>
      </c>
      <c r="R17" s="1485">
        <v>1183.0893955555553</v>
      </c>
      <c r="S17" s="1485">
        <v>782.91853333333336</v>
      </c>
      <c r="T17" s="1485">
        <v>389.1851999999999</v>
      </c>
      <c r="U17" s="1485">
        <v>399.48519999999991</v>
      </c>
      <c r="V17" s="1463">
        <f>0</f>
        <v>0</v>
      </c>
      <c r="W17" s="1463">
        <f>0</f>
        <v>0</v>
      </c>
      <c r="X17" s="1463">
        <f>0</f>
        <v>0</v>
      </c>
      <c r="Y17" s="1463">
        <f>0</f>
        <v>0</v>
      </c>
      <c r="Z17" s="1463">
        <f>0</f>
        <v>0</v>
      </c>
      <c r="AA17" s="1463">
        <f>0</f>
        <v>0</v>
      </c>
    </row>
    <row r="18" spans="2:29" x14ac:dyDescent="0.25">
      <c r="B18" s="244" t="s">
        <v>1043</v>
      </c>
      <c r="C18" s="47" t="s">
        <v>1041</v>
      </c>
      <c r="D18" s="53" t="s">
        <v>1006</v>
      </c>
      <c r="E18" s="298" t="s">
        <v>254</v>
      </c>
      <c r="F18" s="286">
        <v>3</v>
      </c>
      <c r="G18" s="1464">
        <f t="shared" ref="G18:K18" si="5">SUM(G16:G17)</f>
        <v>0</v>
      </c>
      <c r="H18" s="1464">
        <f t="shared" si="5"/>
        <v>0</v>
      </c>
      <c r="I18" s="1464">
        <f t="shared" si="5"/>
        <v>0</v>
      </c>
      <c r="J18" s="1464">
        <f t="shared" si="5"/>
        <v>0</v>
      </c>
      <c r="K18" s="1464">
        <f t="shared" si="5"/>
        <v>0</v>
      </c>
      <c r="L18" s="1464">
        <f t="shared" ref="L18:AA18" si="6">SUM(L16:L17)</f>
        <v>0</v>
      </c>
      <c r="M18" s="1464">
        <f t="shared" si="6"/>
        <v>234.39956222222219</v>
      </c>
      <c r="N18" s="1464">
        <f t="shared" si="6"/>
        <v>233.16136666666662</v>
      </c>
      <c r="O18" s="1464">
        <f t="shared" si="6"/>
        <v>234.50871555555557</v>
      </c>
      <c r="P18" s="1464">
        <f t="shared" si="6"/>
        <v>235.85606444444446</v>
      </c>
      <c r="Q18" s="1464">
        <f t="shared" si="6"/>
        <v>236.52973888888889</v>
      </c>
      <c r="R18" s="1464">
        <f t="shared" si="6"/>
        <v>6572.0729295555557</v>
      </c>
      <c r="S18" s="1464">
        <f t="shared" si="6"/>
        <v>5984.9106933333333</v>
      </c>
      <c r="T18" s="1464">
        <f t="shared" si="6"/>
        <v>5400.2712199999996</v>
      </c>
      <c r="U18" s="1464">
        <f t="shared" si="6"/>
        <v>5410.5712199999998</v>
      </c>
      <c r="V18" s="1464">
        <f t="shared" si="6"/>
        <v>0</v>
      </c>
      <c r="W18" s="1464">
        <f t="shared" si="6"/>
        <v>0</v>
      </c>
      <c r="X18" s="1464">
        <f t="shared" si="6"/>
        <v>0</v>
      </c>
      <c r="Y18" s="1464">
        <f t="shared" si="6"/>
        <v>0</v>
      </c>
      <c r="Z18" s="1464">
        <f t="shared" si="6"/>
        <v>0</v>
      </c>
      <c r="AA18" s="1464">
        <f t="shared" si="6"/>
        <v>0</v>
      </c>
    </row>
    <row r="19" spans="2:29" x14ac:dyDescent="0.25">
      <c r="B19" s="243" t="s">
        <v>1044</v>
      </c>
      <c r="C19" s="47" t="s">
        <v>1045</v>
      </c>
      <c r="D19" s="53" t="s">
        <v>811</v>
      </c>
      <c r="E19" s="298" t="s">
        <v>254</v>
      </c>
      <c r="F19" s="286">
        <v>3</v>
      </c>
      <c r="G19" s="1463">
        <f>0</f>
        <v>0</v>
      </c>
      <c r="H19" s="1463">
        <f>0</f>
        <v>0</v>
      </c>
      <c r="I19" s="1463">
        <f>0</f>
        <v>0</v>
      </c>
      <c r="J19" s="1463">
        <f>0</f>
        <v>0</v>
      </c>
      <c r="K19" s="1463">
        <f>0</f>
        <v>0</v>
      </c>
      <c r="L19" s="1463">
        <f>0</f>
        <v>0</v>
      </c>
      <c r="M19" s="1485">
        <v>3312.433866400926</v>
      </c>
      <c r="N19" s="1485">
        <v>6499.1708130889219</v>
      </c>
      <c r="O19" s="1485">
        <v>4339.7149421085196</v>
      </c>
      <c r="P19" s="1485">
        <v>4521.8857477667143</v>
      </c>
      <c r="Q19" s="1485">
        <v>10409.23321449546</v>
      </c>
      <c r="R19" s="1485">
        <v>53878.251248640256</v>
      </c>
      <c r="S19" s="1485">
        <v>52222.571164573339</v>
      </c>
      <c r="T19" s="1485">
        <v>71261.97559278307</v>
      </c>
      <c r="U19" s="1485">
        <v>96829.618665920643</v>
      </c>
      <c r="V19" s="1463">
        <f>0</f>
        <v>0</v>
      </c>
      <c r="W19" s="1463">
        <f>0</f>
        <v>0</v>
      </c>
      <c r="X19" s="1463">
        <f>0</f>
        <v>0</v>
      </c>
      <c r="Y19" s="1463">
        <f>0</f>
        <v>0</v>
      </c>
      <c r="Z19" s="1463">
        <f>0</f>
        <v>0</v>
      </c>
      <c r="AA19" s="1463">
        <f>0</f>
        <v>0</v>
      </c>
    </row>
    <row r="20" spans="2:29" x14ac:dyDescent="0.25">
      <c r="B20" s="244" t="s">
        <v>1046</v>
      </c>
      <c r="C20" s="47" t="s">
        <v>1045</v>
      </c>
      <c r="D20" s="53" t="s">
        <v>806</v>
      </c>
      <c r="E20" s="298" t="s">
        <v>254</v>
      </c>
      <c r="F20" s="286">
        <v>3</v>
      </c>
      <c r="G20" s="1463">
        <f>0</f>
        <v>0</v>
      </c>
      <c r="H20" s="1463">
        <f>0</f>
        <v>0</v>
      </c>
      <c r="I20" s="1463">
        <f>0</f>
        <v>0</v>
      </c>
      <c r="J20" s="1463">
        <f>0</f>
        <v>0</v>
      </c>
      <c r="K20" s="1463">
        <f>0</f>
        <v>0</v>
      </c>
      <c r="L20" s="1463">
        <f>0</f>
        <v>0</v>
      </c>
      <c r="M20" s="1485">
        <v>0</v>
      </c>
      <c r="N20" s="1485">
        <v>0</v>
      </c>
      <c r="O20" s="1485">
        <v>0</v>
      </c>
      <c r="P20" s="1485">
        <v>0</v>
      </c>
      <c r="Q20" s="1485">
        <v>0</v>
      </c>
      <c r="R20" s="1485">
        <v>0</v>
      </c>
      <c r="S20" s="1485">
        <v>0</v>
      </c>
      <c r="T20" s="1485">
        <v>0</v>
      </c>
      <c r="U20" s="1485">
        <v>0</v>
      </c>
      <c r="V20" s="1463">
        <f>0</f>
        <v>0</v>
      </c>
      <c r="W20" s="1463">
        <f>0</f>
        <v>0</v>
      </c>
      <c r="X20" s="1463">
        <f>0</f>
        <v>0</v>
      </c>
      <c r="Y20" s="1463">
        <f>0</f>
        <v>0</v>
      </c>
      <c r="Z20" s="1463">
        <f>0</f>
        <v>0</v>
      </c>
      <c r="AA20" s="1463">
        <f>0</f>
        <v>0</v>
      </c>
    </row>
    <row r="21" spans="2:29" x14ac:dyDescent="0.25">
      <c r="B21" s="244" t="s">
        <v>1047</v>
      </c>
      <c r="C21" s="47" t="s">
        <v>1045</v>
      </c>
      <c r="D21" s="53" t="s">
        <v>1006</v>
      </c>
      <c r="E21" s="298" t="s">
        <v>254</v>
      </c>
      <c r="F21" s="286">
        <v>3</v>
      </c>
      <c r="G21" s="1464">
        <f t="shared" ref="G21:AA21" si="7">SUM(G19:G20)</f>
        <v>0</v>
      </c>
      <c r="H21" s="1464">
        <f t="shared" si="7"/>
        <v>0</v>
      </c>
      <c r="I21" s="1464">
        <f t="shared" si="7"/>
        <v>0</v>
      </c>
      <c r="J21" s="1464">
        <f t="shared" si="7"/>
        <v>0</v>
      </c>
      <c r="K21" s="1464">
        <f t="shared" si="7"/>
        <v>0</v>
      </c>
      <c r="L21" s="1464">
        <f t="shared" si="7"/>
        <v>0</v>
      </c>
      <c r="M21" s="1464">
        <f t="shared" si="7"/>
        <v>3312.433866400926</v>
      </c>
      <c r="N21" s="1464">
        <f t="shared" si="7"/>
        <v>6499.1708130889219</v>
      </c>
      <c r="O21" s="1464">
        <f t="shared" si="7"/>
        <v>4339.7149421085196</v>
      </c>
      <c r="P21" s="1464">
        <f t="shared" si="7"/>
        <v>4521.8857477667143</v>
      </c>
      <c r="Q21" s="1464">
        <f t="shared" si="7"/>
        <v>10409.23321449546</v>
      </c>
      <c r="R21" s="1464">
        <f t="shared" si="7"/>
        <v>53878.251248640256</v>
      </c>
      <c r="S21" s="1464">
        <f t="shared" si="7"/>
        <v>52222.571164573339</v>
      </c>
      <c r="T21" s="1464">
        <f t="shared" si="7"/>
        <v>71261.97559278307</v>
      </c>
      <c r="U21" s="1464">
        <f t="shared" si="7"/>
        <v>96829.618665920643</v>
      </c>
      <c r="V21" s="1464">
        <f t="shared" si="7"/>
        <v>0</v>
      </c>
      <c r="W21" s="1464">
        <f t="shared" si="7"/>
        <v>0</v>
      </c>
      <c r="X21" s="1464">
        <f t="shared" si="7"/>
        <v>0</v>
      </c>
      <c r="Y21" s="1464">
        <f t="shared" si="7"/>
        <v>0</v>
      </c>
      <c r="Z21" s="1464">
        <f t="shared" si="7"/>
        <v>0</v>
      </c>
      <c r="AA21" s="1464">
        <f t="shared" si="7"/>
        <v>0</v>
      </c>
    </row>
    <row r="22" spans="2:29" x14ac:dyDescent="0.25">
      <c r="B22" s="243" t="s">
        <v>1048</v>
      </c>
      <c r="C22" s="47" t="s">
        <v>1049</v>
      </c>
      <c r="D22" s="53" t="s">
        <v>811</v>
      </c>
      <c r="E22" s="298" t="s">
        <v>254</v>
      </c>
      <c r="F22" s="286">
        <v>3</v>
      </c>
      <c r="G22" s="1463">
        <f>0</f>
        <v>0</v>
      </c>
      <c r="H22" s="1463">
        <f>0</f>
        <v>0</v>
      </c>
      <c r="I22" s="1463">
        <f>0</f>
        <v>0</v>
      </c>
      <c r="J22" s="1463">
        <f>0</f>
        <v>0</v>
      </c>
      <c r="K22" s="1463">
        <f>0</f>
        <v>0</v>
      </c>
      <c r="L22" s="1463">
        <f>0</f>
        <v>0</v>
      </c>
      <c r="M22" s="1463">
        <f>0</f>
        <v>0</v>
      </c>
      <c r="N22" s="1463">
        <f>0</f>
        <v>0</v>
      </c>
      <c r="O22" s="1463">
        <f>0</f>
        <v>0</v>
      </c>
      <c r="P22" s="1463">
        <f>0</f>
        <v>0</v>
      </c>
      <c r="Q22" s="1463">
        <f>0</f>
        <v>0</v>
      </c>
      <c r="R22" s="1463">
        <f>0</f>
        <v>0</v>
      </c>
      <c r="S22" s="1463">
        <f>0</f>
        <v>0</v>
      </c>
      <c r="T22" s="1463">
        <f>0</f>
        <v>0</v>
      </c>
      <c r="U22" s="1463">
        <f>0</f>
        <v>0</v>
      </c>
      <c r="V22" s="1463">
        <f>0</f>
        <v>0</v>
      </c>
      <c r="W22" s="1463">
        <f>0</f>
        <v>0</v>
      </c>
      <c r="X22" s="1463">
        <f>0</f>
        <v>0</v>
      </c>
      <c r="Y22" s="1463">
        <f>0</f>
        <v>0</v>
      </c>
      <c r="Z22" s="1463">
        <f>0</f>
        <v>0</v>
      </c>
      <c r="AA22" s="1463">
        <f>0</f>
        <v>0</v>
      </c>
    </row>
    <row r="23" spans="2:29" x14ac:dyDescent="0.25">
      <c r="B23" s="244" t="s">
        <v>1050</v>
      </c>
      <c r="C23" s="47" t="s">
        <v>1049</v>
      </c>
      <c r="D23" s="53" t="s">
        <v>806</v>
      </c>
      <c r="E23" s="298" t="s">
        <v>254</v>
      </c>
      <c r="F23" s="286">
        <v>3</v>
      </c>
      <c r="G23" s="1463">
        <f>0</f>
        <v>0</v>
      </c>
      <c r="H23" s="1463">
        <f>0</f>
        <v>0</v>
      </c>
      <c r="I23" s="1463">
        <f>0</f>
        <v>0</v>
      </c>
      <c r="J23" s="1463">
        <f>0</f>
        <v>0</v>
      </c>
      <c r="K23" s="1463">
        <f>0</f>
        <v>0</v>
      </c>
      <c r="L23" s="1463">
        <f>0</f>
        <v>0</v>
      </c>
      <c r="M23" s="1463">
        <f>0</f>
        <v>0</v>
      </c>
      <c r="N23" s="1463">
        <f>0</f>
        <v>0</v>
      </c>
      <c r="O23" s="1463">
        <f>0</f>
        <v>0</v>
      </c>
      <c r="P23" s="1463">
        <f>0</f>
        <v>0</v>
      </c>
      <c r="Q23" s="1463">
        <f>0</f>
        <v>0</v>
      </c>
      <c r="R23" s="1463">
        <f>0</f>
        <v>0</v>
      </c>
      <c r="S23" s="1463">
        <f>0</f>
        <v>0</v>
      </c>
      <c r="T23" s="1463">
        <f>0</f>
        <v>0</v>
      </c>
      <c r="U23" s="1463">
        <f>0</f>
        <v>0</v>
      </c>
      <c r="V23" s="1463">
        <f>0</f>
        <v>0</v>
      </c>
      <c r="W23" s="1463">
        <f>0</f>
        <v>0</v>
      </c>
      <c r="X23" s="1463">
        <f>0</f>
        <v>0</v>
      </c>
      <c r="Y23" s="1463">
        <f>0</f>
        <v>0</v>
      </c>
      <c r="Z23" s="1463">
        <f>0</f>
        <v>0</v>
      </c>
      <c r="AA23" s="1463">
        <f>0</f>
        <v>0</v>
      </c>
    </row>
    <row r="24" spans="2:29" x14ac:dyDescent="0.25">
      <c r="B24" s="244" t="s">
        <v>1051</v>
      </c>
      <c r="C24" s="47" t="s">
        <v>1049</v>
      </c>
      <c r="D24" s="53" t="s">
        <v>1006</v>
      </c>
      <c r="E24" s="298" t="s">
        <v>254</v>
      </c>
      <c r="F24" s="286">
        <v>3</v>
      </c>
      <c r="G24" s="1464">
        <f t="shared" ref="G24:AA24" si="8">SUM(G22:G23)</f>
        <v>0</v>
      </c>
      <c r="H24" s="1464">
        <f t="shared" si="8"/>
        <v>0</v>
      </c>
      <c r="I24" s="1464">
        <f t="shared" si="8"/>
        <v>0</v>
      </c>
      <c r="J24" s="1464">
        <f t="shared" si="8"/>
        <v>0</v>
      </c>
      <c r="K24" s="1464">
        <f t="shared" si="8"/>
        <v>0</v>
      </c>
      <c r="L24" s="1464">
        <f t="shared" si="8"/>
        <v>0</v>
      </c>
      <c r="M24" s="1464">
        <f t="shared" si="8"/>
        <v>0</v>
      </c>
      <c r="N24" s="1464">
        <f t="shared" si="8"/>
        <v>0</v>
      </c>
      <c r="O24" s="1464">
        <f t="shared" si="8"/>
        <v>0</v>
      </c>
      <c r="P24" s="1464">
        <f t="shared" si="8"/>
        <v>0</v>
      </c>
      <c r="Q24" s="1464">
        <f t="shared" si="8"/>
        <v>0</v>
      </c>
      <c r="R24" s="1464">
        <f t="shared" si="8"/>
        <v>0</v>
      </c>
      <c r="S24" s="1464">
        <f t="shared" si="8"/>
        <v>0</v>
      </c>
      <c r="T24" s="1464">
        <f t="shared" si="8"/>
        <v>0</v>
      </c>
      <c r="U24" s="1464">
        <f t="shared" si="8"/>
        <v>0</v>
      </c>
      <c r="V24" s="1464">
        <f t="shared" si="8"/>
        <v>0</v>
      </c>
      <c r="W24" s="1464">
        <f t="shared" si="8"/>
        <v>0</v>
      </c>
      <c r="X24" s="1464">
        <f t="shared" si="8"/>
        <v>0</v>
      </c>
      <c r="Y24" s="1464">
        <f t="shared" si="8"/>
        <v>0</v>
      </c>
      <c r="Z24" s="1464">
        <f t="shared" si="8"/>
        <v>0</v>
      </c>
      <c r="AA24" s="1464">
        <f t="shared" si="8"/>
        <v>0</v>
      </c>
    </row>
    <row r="25" spans="2:29" x14ac:dyDescent="0.25">
      <c r="B25" s="243" t="s">
        <v>1052</v>
      </c>
      <c r="C25" s="47" t="s">
        <v>1053</v>
      </c>
      <c r="D25" s="53" t="s">
        <v>811</v>
      </c>
      <c r="E25" s="298" t="s">
        <v>254</v>
      </c>
      <c r="F25" s="286">
        <v>3</v>
      </c>
      <c r="G25" s="1463">
        <f>0</f>
        <v>0</v>
      </c>
      <c r="H25" s="1463">
        <f>0</f>
        <v>0</v>
      </c>
      <c r="I25" s="1463">
        <f>0</f>
        <v>0</v>
      </c>
      <c r="J25" s="1463">
        <f>0</f>
        <v>0</v>
      </c>
      <c r="K25" s="1463">
        <f>0</f>
        <v>0</v>
      </c>
      <c r="L25" s="1463">
        <f>0</f>
        <v>0</v>
      </c>
      <c r="M25" s="1463">
        <f>0</f>
        <v>0</v>
      </c>
      <c r="N25" s="1463">
        <f>0</f>
        <v>0</v>
      </c>
      <c r="O25" s="1463">
        <f>0</f>
        <v>0</v>
      </c>
      <c r="P25" s="1463">
        <f>0</f>
        <v>0</v>
      </c>
      <c r="Q25" s="1463">
        <f>0</f>
        <v>0</v>
      </c>
      <c r="R25" s="1463">
        <f>0</f>
        <v>0</v>
      </c>
      <c r="S25" s="1463">
        <f>0</f>
        <v>0</v>
      </c>
      <c r="T25" s="1463">
        <f>0</f>
        <v>0</v>
      </c>
      <c r="U25" s="1463">
        <f>0</f>
        <v>0</v>
      </c>
      <c r="V25" s="1463">
        <f>0</f>
        <v>0</v>
      </c>
      <c r="W25" s="1463">
        <f>0</f>
        <v>0</v>
      </c>
      <c r="X25" s="1463">
        <f>0</f>
        <v>0</v>
      </c>
      <c r="Y25" s="1463">
        <f>0</f>
        <v>0</v>
      </c>
      <c r="Z25" s="1463">
        <f>0</f>
        <v>0</v>
      </c>
      <c r="AA25" s="1463">
        <f>0</f>
        <v>0</v>
      </c>
    </row>
    <row r="26" spans="2:29" x14ac:dyDescent="0.25">
      <c r="B26" s="244" t="s">
        <v>1054</v>
      </c>
      <c r="C26" s="47" t="s">
        <v>1053</v>
      </c>
      <c r="D26" s="53" t="s">
        <v>806</v>
      </c>
      <c r="E26" s="298" t="s">
        <v>254</v>
      </c>
      <c r="F26" s="286">
        <v>3</v>
      </c>
      <c r="G26" s="1463">
        <f>0</f>
        <v>0</v>
      </c>
      <c r="H26" s="1463">
        <f>0</f>
        <v>0</v>
      </c>
      <c r="I26" s="1463">
        <f>0</f>
        <v>0</v>
      </c>
      <c r="J26" s="1463">
        <f>0</f>
        <v>0</v>
      </c>
      <c r="K26" s="1463">
        <f>0</f>
        <v>0</v>
      </c>
      <c r="L26" s="1463">
        <f>0</f>
        <v>0</v>
      </c>
      <c r="M26" s="1463">
        <f>0</f>
        <v>0</v>
      </c>
      <c r="N26" s="1463">
        <f>0</f>
        <v>0</v>
      </c>
      <c r="O26" s="1463">
        <f>0</f>
        <v>0</v>
      </c>
      <c r="P26" s="1463">
        <f>0</f>
        <v>0</v>
      </c>
      <c r="Q26" s="1463">
        <f>0</f>
        <v>0</v>
      </c>
      <c r="R26" s="1463">
        <f>0</f>
        <v>0</v>
      </c>
      <c r="S26" s="1463">
        <f>0</f>
        <v>0</v>
      </c>
      <c r="T26" s="1463">
        <f>0</f>
        <v>0</v>
      </c>
      <c r="U26" s="1463">
        <f>0</f>
        <v>0</v>
      </c>
      <c r="V26" s="1463">
        <f>0</f>
        <v>0</v>
      </c>
      <c r="W26" s="1463">
        <f>0</f>
        <v>0</v>
      </c>
      <c r="X26" s="1463">
        <f>0</f>
        <v>0</v>
      </c>
      <c r="Y26" s="1463">
        <f>0</f>
        <v>0</v>
      </c>
      <c r="Z26" s="1463">
        <f>0</f>
        <v>0</v>
      </c>
      <c r="AA26" s="1463">
        <f>0</f>
        <v>0</v>
      </c>
    </row>
    <row r="27" spans="2:29" x14ac:dyDescent="0.25">
      <c r="B27" s="244" t="s">
        <v>1055</v>
      </c>
      <c r="C27" s="47" t="s">
        <v>1053</v>
      </c>
      <c r="D27" s="53" t="s">
        <v>1006</v>
      </c>
      <c r="E27" s="298" t="s">
        <v>254</v>
      </c>
      <c r="F27" s="286">
        <v>3</v>
      </c>
      <c r="G27" s="1464">
        <f t="shared" ref="G27:AA27" si="9">SUM(G25:G26)</f>
        <v>0</v>
      </c>
      <c r="H27" s="1464">
        <f t="shared" si="9"/>
        <v>0</v>
      </c>
      <c r="I27" s="1464">
        <f t="shared" si="9"/>
        <v>0</v>
      </c>
      <c r="J27" s="1464">
        <f t="shared" si="9"/>
        <v>0</v>
      </c>
      <c r="K27" s="1464">
        <f t="shared" si="9"/>
        <v>0</v>
      </c>
      <c r="L27" s="1464">
        <f t="shared" si="9"/>
        <v>0</v>
      </c>
      <c r="M27" s="1464">
        <f t="shared" si="9"/>
        <v>0</v>
      </c>
      <c r="N27" s="1464">
        <f t="shared" si="9"/>
        <v>0</v>
      </c>
      <c r="O27" s="1464">
        <f t="shared" si="9"/>
        <v>0</v>
      </c>
      <c r="P27" s="1464">
        <f t="shared" si="9"/>
        <v>0</v>
      </c>
      <c r="Q27" s="1464">
        <f t="shared" si="9"/>
        <v>0</v>
      </c>
      <c r="R27" s="1464">
        <f t="shared" si="9"/>
        <v>0</v>
      </c>
      <c r="S27" s="1464">
        <f t="shared" si="9"/>
        <v>0</v>
      </c>
      <c r="T27" s="1464">
        <f t="shared" si="9"/>
        <v>0</v>
      </c>
      <c r="U27" s="1464">
        <f t="shared" si="9"/>
        <v>0</v>
      </c>
      <c r="V27" s="1464">
        <f t="shared" si="9"/>
        <v>0</v>
      </c>
      <c r="W27" s="1464">
        <f t="shared" si="9"/>
        <v>0</v>
      </c>
      <c r="X27" s="1464">
        <f t="shared" si="9"/>
        <v>0</v>
      </c>
      <c r="Y27" s="1464">
        <f t="shared" si="9"/>
        <v>0</v>
      </c>
      <c r="Z27" s="1464">
        <f t="shared" si="9"/>
        <v>0</v>
      </c>
      <c r="AA27" s="1465">
        <f t="shared" si="9"/>
        <v>0</v>
      </c>
    </row>
    <row r="28" spans="2:29" ht="14.4" thickBot="1" x14ac:dyDescent="0.3">
      <c r="B28" s="245" t="s">
        <v>1056</v>
      </c>
      <c r="C28" s="48" t="s">
        <v>1057</v>
      </c>
      <c r="D28" s="55" t="s">
        <v>1006</v>
      </c>
      <c r="E28" s="1445" t="s">
        <v>254</v>
      </c>
      <c r="F28" s="287">
        <v>3</v>
      </c>
      <c r="G28" s="1462">
        <f t="shared" ref="G28:AA28" si="10">SUM(G27,G24,G21,G18,G15)</f>
        <v>0</v>
      </c>
      <c r="H28" s="1462">
        <f t="shared" si="10"/>
        <v>0</v>
      </c>
      <c r="I28" s="1462">
        <f t="shared" si="10"/>
        <v>0</v>
      </c>
      <c r="J28" s="1462">
        <f t="shared" si="10"/>
        <v>0</v>
      </c>
      <c r="K28" s="1462">
        <f t="shared" si="10"/>
        <v>0</v>
      </c>
      <c r="L28" s="1462">
        <f t="shared" si="10"/>
        <v>0</v>
      </c>
      <c r="M28" s="1462">
        <f t="shared" si="10"/>
        <v>3546.8334286231484</v>
      </c>
      <c r="N28" s="1462">
        <f t="shared" si="10"/>
        <v>6732.3321797555882</v>
      </c>
      <c r="O28" s="1462">
        <f t="shared" si="10"/>
        <v>4574.2236576640753</v>
      </c>
      <c r="P28" s="1462">
        <f t="shared" si="10"/>
        <v>4757.7418122111585</v>
      </c>
      <c r="Q28" s="1462">
        <f t="shared" si="10"/>
        <v>10645.762953384348</v>
      </c>
      <c r="R28" s="1462">
        <f t="shared" si="10"/>
        <v>60450.324178195813</v>
      </c>
      <c r="S28" s="1462">
        <f t="shared" si="10"/>
        <v>58207.48185790667</v>
      </c>
      <c r="T28" s="1462">
        <f t="shared" si="10"/>
        <v>76662.246812783065</v>
      </c>
      <c r="U28" s="1462">
        <f t="shared" si="10"/>
        <v>102240.18988592064</v>
      </c>
      <c r="V28" s="1462">
        <f t="shared" si="10"/>
        <v>0</v>
      </c>
      <c r="W28" s="1462">
        <f t="shared" si="10"/>
        <v>0</v>
      </c>
      <c r="X28" s="1462">
        <f t="shared" si="10"/>
        <v>0</v>
      </c>
      <c r="Y28" s="1462">
        <f t="shared" si="10"/>
        <v>0</v>
      </c>
      <c r="Z28" s="1462">
        <f t="shared" si="10"/>
        <v>0</v>
      </c>
      <c r="AA28" s="1466">
        <f t="shared" si="10"/>
        <v>0</v>
      </c>
    </row>
    <row r="29" spans="2:29" ht="14.4" thickBot="1" x14ac:dyDescent="0.3">
      <c r="B29" s="246"/>
      <c r="C29" s="247"/>
      <c r="D29" s="57"/>
      <c r="E29" s="248"/>
      <c r="F29" s="249"/>
      <c r="G29" s="258"/>
      <c r="H29" s="258"/>
      <c r="I29" s="258"/>
      <c r="J29" s="258"/>
      <c r="K29" s="258"/>
      <c r="L29" s="258"/>
      <c r="M29" s="258"/>
      <c r="N29" s="258"/>
      <c r="O29" s="258"/>
      <c r="P29" s="258"/>
      <c r="Q29" s="258"/>
      <c r="R29" s="258"/>
      <c r="S29" s="258"/>
      <c r="T29" s="258"/>
      <c r="U29" s="258"/>
      <c r="V29" s="258"/>
      <c r="W29" s="258"/>
      <c r="X29" s="258"/>
      <c r="Y29" s="258"/>
      <c r="Z29" s="258"/>
      <c r="AA29" s="258"/>
    </row>
    <row r="30" spans="2:29" ht="55.8" thickBot="1" x14ac:dyDescent="0.3">
      <c r="B30" s="210" t="s">
        <v>1058</v>
      </c>
      <c r="G30" s="1530" t="s">
        <v>1018</v>
      </c>
      <c r="H30" s="1592"/>
      <c r="I30" s="1592"/>
      <c r="J30" s="1592"/>
      <c r="K30" s="1592"/>
      <c r="L30" s="1592"/>
      <c r="M30" s="1592"/>
      <c r="N30" s="1592"/>
      <c r="O30" s="1592"/>
      <c r="P30" s="1592"/>
      <c r="Q30" s="1531"/>
      <c r="R30" s="1530" t="s">
        <v>1019</v>
      </c>
      <c r="S30" s="1592"/>
      <c r="T30" s="1592"/>
      <c r="U30" s="1592"/>
      <c r="V30" s="1592"/>
      <c r="W30" s="1592"/>
      <c r="X30" s="1592"/>
      <c r="Y30" s="1592"/>
      <c r="Z30" s="1592"/>
      <c r="AA30" s="1531"/>
    </row>
    <row r="31" spans="2:29" ht="42" thickBot="1" x14ac:dyDescent="0.3">
      <c r="B31" s="1134" t="s">
        <v>1020</v>
      </c>
      <c r="C31" s="1135" t="s">
        <v>1002</v>
      </c>
      <c r="D31" s="1135" t="s">
        <v>1003</v>
      </c>
      <c r="E31" s="1135" t="s">
        <v>117</v>
      </c>
      <c r="F31" s="1136" t="s">
        <v>118</v>
      </c>
      <c r="G31" s="251" t="s">
        <v>119</v>
      </c>
      <c r="H31" s="252" t="s">
        <v>120</v>
      </c>
      <c r="I31" s="252" t="s">
        <v>121</v>
      </c>
      <c r="J31" s="252" t="s">
        <v>122</v>
      </c>
      <c r="K31" s="252" t="s">
        <v>123</v>
      </c>
      <c r="L31" s="252" t="s">
        <v>124</v>
      </c>
      <c r="M31" s="252" t="s">
        <v>125</v>
      </c>
      <c r="N31" s="252" t="s">
        <v>126</v>
      </c>
      <c r="O31" s="252" t="s">
        <v>127</v>
      </c>
      <c r="P31" s="252" t="s">
        <v>128</v>
      </c>
      <c r="Q31" s="253" t="s">
        <v>129</v>
      </c>
      <c r="R31" s="256" t="s">
        <v>1021</v>
      </c>
      <c r="S31" s="254" t="s">
        <v>1022</v>
      </c>
      <c r="T31" s="254" t="s">
        <v>1023</v>
      </c>
      <c r="U31" s="254" t="s">
        <v>1024</v>
      </c>
      <c r="V31" s="254" t="s">
        <v>1025</v>
      </c>
      <c r="W31" s="254" t="s">
        <v>1026</v>
      </c>
      <c r="X31" s="254" t="s">
        <v>1027</v>
      </c>
      <c r="Y31" s="254" t="s">
        <v>1028</v>
      </c>
      <c r="Z31" s="254" t="s">
        <v>1029</v>
      </c>
      <c r="AA31" s="255" t="s">
        <v>1030</v>
      </c>
    </row>
    <row r="32" spans="2:29" x14ac:dyDescent="0.25">
      <c r="B32" s="1129" t="s">
        <v>1059</v>
      </c>
      <c r="C32" s="1130" t="s">
        <v>1060</v>
      </c>
      <c r="D32" s="1131" t="s">
        <v>811</v>
      </c>
      <c r="E32" s="1137" t="s">
        <v>1061</v>
      </c>
      <c r="F32" s="1133">
        <v>3</v>
      </c>
      <c r="G32" s="1463">
        <v>0</v>
      </c>
      <c r="H32" s="1463">
        <v>0</v>
      </c>
      <c r="I32" s="1463">
        <v>0</v>
      </c>
      <c r="J32" s="1463">
        <v>0</v>
      </c>
      <c r="K32" s="1463">
        <v>0</v>
      </c>
      <c r="L32" s="1463">
        <v>0</v>
      </c>
      <c r="M32" s="1486">
        <v>2.8124329213599184</v>
      </c>
      <c r="N32" s="1486">
        <v>2.6886448706014385</v>
      </c>
      <c r="O32" s="1486">
        <v>2.570305298771661</v>
      </c>
      <c r="P32" s="1486">
        <v>2.4571743933649004</v>
      </c>
      <c r="Q32" s="1486">
        <v>2.3490228971218521</v>
      </c>
      <c r="R32" s="1486">
        <v>10.28230816651393</v>
      </c>
      <c r="S32" s="1486">
        <v>8.2100719313191934</v>
      </c>
      <c r="T32" s="1486">
        <v>6.5554620641454759</v>
      </c>
      <c r="U32" s="1486">
        <v>5.234312589944035</v>
      </c>
      <c r="V32" s="1486">
        <v>4.1794198518969443</v>
      </c>
      <c r="W32" s="1486">
        <v>2.0916356667906526</v>
      </c>
      <c r="X32" s="1486">
        <v>0</v>
      </c>
      <c r="Y32" s="1486">
        <v>0</v>
      </c>
      <c r="Z32" s="1486">
        <v>0</v>
      </c>
      <c r="AA32" s="1486">
        <v>0</v>
      </c>
      <c r="AC32" s="1461">
        <v>1000000</v>
      </c>
    </row>
    <row r="33" spans="2:27" x14ac:dyDescent="0.25">
      <c r="B33" s="244" t="s">
        <v>1062</v>
      </c>
      <c r="C33" s="47" t="s">
        <v>1063</v>
      </c>
      <c r="D33" s="53" t="s">
        <v>811</v>
      </c>
      <c r="E33" s="298" t="s">
        <v>1061</v>
      </c>
      <c r="F33" s="286">
        <v>3</v>
      </c>
      <c r="G33" s="1463">
        <v>0</v>
      </c>
      <c r="H33" s="1463">
        <v>0</v>
      </c>
      <c r="I33" s="1463">
        <v>0</v>
      </c>
      <c r="J33" s="1463">
        <v>0</v>
      </c>
      <c r="K33" s="1463">
        <v>0</v>
      </c>
      <c r="L33" s="1463">
        <v>0</v>
      </c>
      <c r="M33" s="1463">
        <v>0</v>
      </c>
      <c r="N33" s="1463">
        <v>0</v>
      </c>
      <c r="O33" s="1463">
        <v>0</v>
      </c>
      <c r="P33" s="1463">
        <v>0</v>
      </c>
      <c r="Q33" s="1463">
        <v>0</v>
      </c>
      <c r="R33" s="1463">
        <v>0</v>
      </c>
      <c r="S33" s="1463">
        <v>0</v>
      </c>
      <c r="T33" s="1463">
        <v>0</v>
      </c>
      <c r="U33" s="1463">
        <v>0</v>
      </c>
      <c r="V33" s="1463">
        <v>0</v>
      </c>
      <c r="W33" s="1463">
        <v>0</v>
      </c>
      <c r="X33" s="1463">
        <v>0</v>
      </c>
      <c r="Y33" s="1463">
        <v>0</v>
      </c>
      <c r="Z33" s="1463">
        <v>0</v>
      </c>
      <c r="AA33" s="1463">
        <v>0</v>
      </c>
    </row>
    <row r="34" spans="2:27" x14ac:dyDescent="0.25">
      <c r="B34" s="244" t="s">
        <v>1064</v>
      </c>
      <c r="C34" s="47" t="s">
        <v>1065</v>
      </c>
      <c r="D34" s="53" t="s">
        <v>811</v>
      </c>
      <c r="E34" s="298" t="s">
        <v>1061</v>
      </c>
      <c r="F34" s="286">
        <v>3</v>
      </c>
      <c r="G34" s="1463">
        <v>0</v>
      </c>
      <c r="H34" s="1463">
        <v>0</v>
      </c>
      <c r="I34" s="1463">
        <v>0</v>
      </c>
      <c r="J34" s="1463">
        <v>0</v>
      </c>
      <c r="K34" s="1463">
        <v>0</v>
      </c>
      <c r="L34" s="1463">
        <v>0</v>
      </c>
      <c r="M34" s="1463">
        <v>0</v>
      </c>
      <c r="N34" s="1463">
        <v>0</v>
      </c>
      <c r="O34" s="1463">
        <v>0</v>
      </c>
      <c r="P34" s="1463">
        <v>0</v>
      </c>
      <c r="Q34" s="1463">
        <v>0</v>
      </c>
      <c r="R34" s="1463">
        <v>0</v>
      </c>
      <c r="S34" s="1463">
        <v>0</v>
      </c>
      <c r="T34" s="1463">
        <v>0</v>
      </c>
      <c r="U34" s="1463">
        <v>0</v>
      </c>
      <c r="V34" s="1463">
        <v>0</v>
      </c>
      <c r="W34" s="1463">
        <v>0</v>
      </c>
      <c r="X34" s="1463">
        <v>0</v>
      </c>
      <c r="Y34" s="1463">
        <v>0</v>
      </c>
      <c r="Z34" s="1463">
        <v>0</v>
      </c>
      <c r="AA34" s="1463">
        <v>0</v>
      </c>
    </row>
    <row r="35" spans="2:27" x14ac:dyDescent="0.25">
      <c r="B35" s="244" t="s">
        <v>1066</v>
      </c>
      <c r="C35" s="47" t="s">
        <v>1067</v>
      </c>
      <c r="D35" s="53" t="s">
        <v>811</v>
      </c>
      <c r="E35" s="298" t="s">
        <v>1061</v>
      </c>
      <c r="F35" s="286">
        <v>3</v>
      </c>
      <c r="G35" s="1463">
        <v>0</v>
      </c>
      <c r="H35" s="1463">
        <v>0</v>
      </c>
      <c r="I35" s="1463">
        <v>0</v>
      </c>
      <c r="J35" s="1463">
        <v>0</v>
      </c>
      <c r="K35" s="1463">
        <v>0</v>
      </c>
      <c r="L35" s="1463">
        <v>0</v>
      </c>
      <c r="M35" s="1486">
        <v>2.8124329213599184</v>
      </c>
      <c r="N35" s="1486">
        <v>2.6886448706014385</v>
      </c>
      <c r="O35" s="1486">
        <v>2.570305298771661</v>
      </c>
      <c r="P35" s="1486">
        <v>2.4571743933649004</v>
      </c>
      <c r="Q35" s="1486">
        <v>2.3490228971218521</v>
      </c>
      <c r="R35" s="1486">
        <v>10.28230816651393</v>
      </c>
      <c r="S35" s="1486">
        <v>8.2100719313191934</v>
      </c>
      <c r="T35" s="1486">
        <v>6.5554620641454759</v>
      </c>
      <c r="U35" s="1486">
        <v>5.234312589944035</v>
      </c>
      <c r="V35" s="1486">
        <v>4.1794198518969443</v>
      </c>
      <c r="W35" s="1486">
        <v>2.0916356667906526</v>
      </c>
      <c r="X35" s="1486">
        <v>0</v>
      </c>
      <c r="Y35" s="1486">
        <v>0</v>
      </c>
      <c r="Z35" s="1486">
        <v>0</v>
      </c>
      <c r="AA35" s="1486">
        <v>0</v>
      </c>
    </row>
    <row r="36" spans="2:27" x14ac:dyDescent="0.25">
      <c r="B36" s="244" t="s">
        <v>1068</v>
      </c>
      <c r="C36" s="47" t="s">
        <v>1060</v>
      </c>
      <c r="D36" s="53" t="s">
        <v>806</v>
      </c>
      <c r="E36" s="298" t="s">
        <v>1061</v>
      </c>
      <c r="F36" s="286">
        <v>3</v>
      </c>
      <c r="G36" s="1463">
        <v>0</v>
      </c>
      <c r="H36" s="1463">
        <v>0</v>
      </c>
      <c r="I36" s="1463">
        <v>0</v>
      </c>
      <c r="J36" s="1463">
        <v>0</v>
      </c>
      <c r="K36" s="1463">
        <v>0</v>
      </c>
      <c r="L36" s="1463">
        <v>0</v>
      </c>
      <c r="M36" s="1486">
        <v>0</v>
      </c>
      <c r="N36" s="1486">
        <v>0</v>
      </c>
      <c r="O36" s="1486">
        <v>0</v>
      </c>
      <c r="P36" s="1486">
        <v>0</v>
      </c>
      <c r="Q36" s="1486">
        <v>0</v>
      </c>
      <c r="R36" s="1486">
        <v>0</v>
      </c>
      <c r="S36" s="1486">
        <v>0</v>
      </c>
      <c r="T36" s="1486">
        <v>0</v>
      </c>
      <c r="U36" s="1486">
        <v>0</v>
      </c>
      <c r="V36" s="1486">
        <v>0</v>
      </c>
      <c r="W36" s="1486">
        <v>0</v>
      </c>
      <c r="X36" s="1486">
        <v>0</v>
      </c>
      <c r="Y36" s="1486">
        <v>0</v>
      </c>
      <c r="Z36" s="1486">
        <v>0</v>
      </c>
      <c r="AA36" s="1486">
        <v>0</v>
      </c>
    </row>
    <row r="37" spans="2:27" x14ac:dyDescent="0.25">
      <c r="B37" s="244" t="s">
        <v>1069</v>
      </c>
      <c r="C37" s="47" t="s">
        <v>1063</v>
      </c>
      <c r="D37" s="53" t="s">
        <v>806</v>
      </c>
      <c r="E37" s="298" t="s">
        <v>1061</v>
      </c>
      <c r="F37" s="286">
        <v>3</v>
      </c>
      <c r="G37" s="1463">
        <v>0</v>
      </c>
      <c r="H37" s="1463">
        <v>0</v>
      </c>
      <c r="I37" s="1463">
        <v>0</v>
      </c>
      <c r="J37" s="1463">
        <v>0</v>
      </c>
      <c r="K37" s="1463">
        <v>0</v>
      </c>
      <c r="L37" s="1463">
        <v>0</v>
      </c>
      <c r="M37" s="1463">
        <v>0</v>
      </c>
      <c r="N37" s="1463">
        <v>0</v>
      </c>
      <c r="O37" s="1463">
        <v>0</v>
      </c>
      <c r="P37" s="1463">
        <v>0</v>
      </c>
      <c r="Q37" s="1463">
        <v>0</v>
      </c>
      <c r="R37" s="1463">
        <v>0</v>
      </c>
      <c r="S37" s="1463">
        <v>0</v>
      </c>
      <c r="T37" s="1463">
        <v>0</v>
      </c>
      <c r="U37" s="1463">
        <v>0</v>
      </c>
      <c r="V37" s="1463">
        <v>0</v>
      </c>
      <c r="W37" s="1463">
        <v>0</v>
      </c>
      <c r="X37" s="1463">
        <v>0</v>
      </c>
      <c r="Y37" s="1463">
        <v>0</v>
      </c>
      <c r="Z37" s="1463">
        <v>0</v>
      </c>
      <c r="AA37" s="1463">
        <v>0</v>
      </c>
    </row>
    <row r="38" spans="2:27" x14ac:dyDescent="0.25">
      <c r="B38" s="244" t="s">
        <v>1070</v>
      </c>
      <c r="C38" s="47" t="s">
        <v>1065</v>
      </c>
      <c r="D38" s="53" t="s">
        <v>806</v>
      </c>
      <c r="E38" s="298" t="s">
        <v>1061</v>
      </c>
      <c r="F38" s="286">
        <v>3</v>
      </c>
      <c r="G38" s="1463">
        <v>0</v>
      </c>
      <c r="H38" s="1463">
        <v>0</v>
      </c>
      <c r="I38" s="1463">
        <v>0</v>
      </c>
      <c r="J38" s="1463">
        <v>0</v>
      </c>
      <c r="K38" s="1463">
        <v>0</v>
      </c>
      <c r="L38" s="1463">
        <v>0</v>
      </c>
      <c r="M38" s="1463">
        <v>0</v>
      </c>
      <c r="N38" s="1463">
        <v>0</v>
      </c>
      <c r="O38" s="1463">
        <v>0</v>
      </c>
      <c r="P38" s="1463">
        <v>0</v>
      </c>
      <c r="Q38" s="1463">
        <v>0</v>
      </c>
      <c r="R38" s="1463">
        <v>0</v>
      </c>
      <c r="S38" s="1463">
        <v>0</v>
      </c>
      <c r="T38" s="1463">
        <v>0</v>
      </c>
      <c r="U38" s="1463">
        <v>0</v>
      </c>
      <c r="V38" s="1463">
        <v>0</v>
      </c>
      <c r="W38" s="1463">
        <v>0</v>
      </c>
      <c r="X38" s="1463">
        <v>0</v>
      </c>
      <c r="Y38" s="1463">
        <v>0</v>
      </c>
      <c r="Z38" s="1463">
        <v>0</v>
      </c>
      <c r="AA38" s="1463">
        <v>0</v>
      </c>
    </row>
    <row r="39" spans="2:27" x14ac:dyDescent="0.25">
      <c r="B39" s="244" t="s">
        <v>1071</v>
      </c>
      <c r="C39" s="47" t="s">
        <v>1067</v>
      </c>
      <c r="D39" s="53" t="s">
        <v>806</v>
      </c>
      <c r="E39" s="298" t="s">
        <v>1061</v>
      </c>
      <c r="F39" s="286">
        <v>3</v>
      </c>
      <c r="G39" s="1463">
        <v>0</v>
      </c>
      <c r="H39" s="1463">
        <v>0</v>
      </c>
      <c r="I39" s="1463">
        <v>0</v>
      </c>
      <c r="J39" s="1463">
        <v>0</v>
      </c>
      <c r="K39" s="1463">
        <v>0</v>
      </c>
      <c r="L39" s="1463">
        <v>0</v>
      </c>
      <c r="M39" s="1486">
        <v>0</v>
      </c>
      <c r="N39" s="1486">
        <v>0</v>
      </c>
      <c r="O39" s="1486">
        <v>0</v>
      </c>
      <c r="P39" s="1486">
        <v>0</v>
      </c>
      <c r="Q39" s="1486">
        <v>0</v>
      </c>
      <c r="R39" s="1486">
        <v>0</v>
      </c>
      <c r="S39" s="1486">
        <v>0</v>
      </c>
      <c r="T39" s="1486">
        <v>0</v>
      </c>
      <c r="U39" s="1486">
        <v>0</v>
      </c>
      <c r="V39" s="1486">
        <v>0</v>
      </c>
      <c r="W39" s="1486">
        <v>0</v>
      </c>
      <c r="X39" s="1486">
        <v>0</v>
      </c>
      <c r="Y39" s="1486">
        <v>0</v>
      </c>
      <c r="Z39" s="1486">
        <v>0</v>
      </c>
      <c r="AA39" s="1486">
        <v>0</v>
      </c>
    </row>
    <row r="40" spans="2:27" x14ac:dyDescent="0.25">
      <c r="B40" s="244" t="s">
        <v>1072</v>
      </c>
      <c r="C40" s="47" t="s">
        <v>1060</v>
      </c>
      <c r="D40" s="53" t="s">
        <v>1006</v>
      </c>
      <c r="E40" s="298" t="s">
        <v>1061</v>
      </c>
      <c r="F40" s="286">
        <v>3</v>
      </c>
      <c r="G40" s="1464">
        <v>0</v>
      </c>
      <c r="H40" s="1464">
        <v>0</v>
      </c>
      <c r="I40" s="1464">
        <v>0</v>
      </c>
      <c r="J40" s="1464">
        <v>0</v>
      </c>
      <c r="K40" s="1464">
        <v>0</v>
      </c>
      <c r="L40" s="1464">
        <v>0</v>
      </c>
      <c r="M40" s="1464">
        <v>2.8124329213599184</v>
      </c>
      <c r="N40" s="1464">
        <v>2.6886448706014385</v>
      </c>
      <c r="O40" s="1464">
        <v>2.570305298771661</v>
      </c>
      <c r="P40" s="1464">
        <v>2.4571743933649004</v>
      </c>
      <c r="Q40" s="1464">
        <v>2.3490228971218521</v>
      </c>
      <c r="R40" s="1464">
        <v>10.28230816651393</v>
      </c>
      <c r="S40" s="1464">
        <v>8.2100719313191934</v>
      </c>
      <c r="T40" s="1464">
        <v>6.5554620641454759</v>
      </c>
      <c r="U40" s="1464">
        <v>5.234312589944035</v>
      </c>
      <c r="V40" s="1464">
        <v>4.1794198518969443</v>
      </c>
      <c r="W40" s="1464">
        <v>2.0916356667906526</v>
      </c>
      <c r="X40" s="1464">
        <v>0</v>
      </c>
      <c r="Y40" s="1464">
        <v>0</v>
      </c>
      <c r="Z40" s="1464">
        <v>0</v>
      </c>
      <c r="AA40" s="1464">
        <v>0</v>
      </c>
    </row>
    <row r="41" spans="2:27" x14ac:dyDescent="0.25">
      <c r="B41" s="244" t="s">
        <v>1073</v>
      </c>
      <c r="C41" s="47" t="s">
        <v>1074</v>
      </c>
      <c r="D41" s="53" t="s">
        <v>811</v>
      </c>
      <c r="E41" s="298" t="s">
        <v>1061</v>
      </c>
      <c r="F41" s="286">
        <v>3</v>
      </c>
      <c r="G41" s="1463">
        <v>0</v>
      </c>
      <c r="H41" s="1463">
        <v>0</v>
      </c>
      <c r="I41" s="1463">
        <v>0</v>
      </c>
      <c r="J41" s="1463">
        <v>0</v>
      </c>
      <c r="K41" s="1463">
        <v>0</v>
      </c>
      <c r="L41" s="1463">
        <v>0</v>
      </c>
      <c r="M41" s="1486">
        <v>0.38540989891565647</v>
      </c>
      <c r="N41" s="1486">
        <v>0.38540989891565647</v>
      </c>
      <c r="O41" s="1486">
        <v>0.38540989891565647</v>
      </c>
      <c r="P41" s="1486">
        <v>0.38540989891565647</v>
      </c>
      <c r="Q41" s="1486">
        <v>0.38540989891565647</v>
      </c>
      <c r="R41" s="1486">
        <v>1.9270494945782823</v>
      </c>
      <c r="S41" s="1486">
        <v>1.9270494945782823</v>
      </c>
      <c r="T41" s="1486">
        <v>0</v>
      </c>
      <c r="U41" s="1486">
        <v>0</v>
      </c>
      <c r="V41" s="1486">
        <v>0</v>
      </c>
      <c r="W41" s="1486">
        <v>0</v>
      </c>
      <c r="X41" s="1486">
        <v>0</v>
      </c>
      <c r="Y41" s="1486">
        <v>0</v>
      </c>
      <c r="Z41" s="1486">
        <v>0</v>
      </c>
      <c r="AA41" s="1486">
        <v>0</v>
      </c>
    </row>
    <row r="42" spans="2:27" x14ac:dyDescent="0.25">
      <c r="B42" s="244" t="s">
        <v>1075</v>
      </c>
      <c r="C42" s="47" t="s">
        <v>1076</v>
      </c>
      <c r="D42" s="53" t="s">
        <v>811</v>
      </c>
      <c r="E42" s="298" t="s">
        <v>1061</v>
      </c>
      <c r="F42" s="286">
        <v>3</v>
      </c>
      <c r="G42" s="1463">
        <v>0</v>
      </c>
      <c r="H42" s="1463">
        <v>0</v>
      </c>
      <c r="I42" s="1463">
        <v>0</v>
      </c>
      <c r="J42" s="1463">
        <v>0</v>
      </c>
      <c r="K42" s="1463">
        <v>0</v>
      </c>
      <c r="L42" s="1463">
        <v>0</v>
      </c>
      <c r="M42" s="1463">
        <v>0</v>
      </c>
      <c r="N42" s="1463">
        <v>0</v>
      </c>
      <c r="O42" s="1463">
        <v>0</v>
      </c>
      <c r="P42" s="1463">
        <v>0</v>
      </c>
      <c r="Q42" s="1463">
        <v>0</v>
      </c>
      <c r="R42" s="1463">
        <v>0</v>
      </c>
      <c r="S42" s="1463">
        <v>0</v>
      </c>
      <c r="T42" s="1463">
        <v>0</v>
      </c>
      <c r="U42" s="1463">
        <v>0</v>
      </c>
      <c r="V42" s="1463">
        <v>0</v>
      </c>
      <c r="W42" s="1463">
        <v>0</v>
      </c>
      <c r="X42" s="1463">
        <v>0</v>
      </c>
      <c r="Y42" s="1463">
        <v>0</v>
      </c>
      <c r="Z42" s="1463">
        <v>0</v>
      </c>
      <c r="AA42" s="1463">
        <v>0</v>
      </c>
    </row>
    <row r="43" spans="2:27" x14ac:dyDescent="0.25">
      <c r="B43" s="244" t="s">
        <v>1077</v>
      </c>
      <c r="C43" s="47" t="s">
        <v>1078</v>
      </c>
      <c r="D43" s="53" t="s">
        <v>811</v>
      </c>
      <c r="E43" s="298" t="s">
        <v>1061</v>
      </c>
      <c r="F43" s="286">
        <v>3</v>
      </c>
      <c r="G43" s="1463">
        <v>0</v>
      </c>
      <c r="H43" s="1463">
        <v>0</v>
      </c>
      <c r="I43" s="1463">
        <v>0</v>
      </c>
      <c r="J43" s="1463">
        <v>0</v>
      </c>
      <c r="K43" s="1463">
        <v>0</v>
      </c>
      <c r="L43" s="1463">
        <v>0</v>
      </c>
      <c r="M43" s="1463">
        <v>0</v>
      </c>
      <c r="N43" s="1463">
        <v>0</v>
      </c>
      <c r="O43" s="1463">
        <v>0</v>
      </c>
      <c r="P43" s="1463">
        <v>0</v>
      </c>
      <c r="Q43" s="1463">
        <v>0</v>
      </c>
      <c r="R43" s="1463">
        <v>0</v>
      </c>
      <c r="S43" s="1463">
        <v>0</v>
      </c>
      <c r="T43" s="1463">
        <v>0</v>
      </c>
      <c r="U43" s="1463">
        <v>0</v>
      </c>
      <c r="V43" s="1463">
        <v>0</v>
      </c>
      <c r="W43" s="1463">
        <v>0</v>
      </c>
      <c r="X43" s="1463">
        <v>0</v>
      </c>
      <c r="Y43" s="1463">
        <v>0</v>
      </c>
      <c r="Z43" s="1463">
        <v>0</v>
      </c>
      <c r="AA43" s="1463">
        <v>0</v>
      </c>
    </row>
    <row r="44" spans="2:27" x14ac:dyDescent="0.25">
      <c r="B44" s="244" t="s">
        <v>1079</v>
      </c>
      <c r="C44" s="47" t="s">
        <v>1080</v>
      </c>
      <c r="D44" s="53" t="s">
        <v>811</v>
      </c>
      <c r="E44" s="298" t="s">
        <v>1061</v>
      </c>
      <c r="F44" s="286">
        <v>3</v>
      </c>
      <c r="G44" s="1463">
        <v>0</v>
      </c>
      <c r="H44" s="1463">
        <v>0</v>
      </c>
      <c r="I44" s="1463">
        <v>0</v>
      </c>
      <c r="J44" s="1463">
        <v>0</v>
      </c>
      <c r="K44" s="1463">
        <v>0</v>
      </c>
      <c r="L44" s="1463">
        <v>0</v>
      </c>
      <c r="M44" s="1486">
        <v>0.38540989891565647</v>
      </c>
      <c r="N44" s="1486">
        <v>0.38540989891565647</v>
      </c>
      <c r="O44" s="1486">
        <v>0.38540989891565647</v>
      </c>
      <c r="P44" s="1486">
        <v>0.38540989891565647</v>
      </c>
      <c r="Q44" s="1486">
        <v>0.38540989891565647</v>
      </c>
      <c r="R44" s="1486">
        <v>1.9270494945782823</v>
      </c>
      <c r="S44" s="1486">
        <v>1.9270494945782823</v>
      </c>
      <c r="T44" s="1486">
        <v>0</v>
      </c>
      <c r="U44" s="1486">
        <v>0</v>
      </c>
      <c r="V44" s="1486">
        <v>0</v>
      </c>
      <c r="W44" s="1486">
        <v>0</v>
      </c>
      <c r="X44" s="1486">
        <v>0</v>
      </c>
      <c r="Y44" s="1486">
        <v>0</v>
      </c>
      <c r="Z44" s="1486">
        <v>0</v>
      </c>
      <c r="AA44" s="1486">
        <v>0</v>
      </c>
    </row>
    <row r="45" spans="2:27" x14ac:dyDescent="0.25">
      <c r="B45" s="244" t="s">
        <v>1081</v>
      </c>
      <c r="C45" s="47" t="s">
        <v>1074</v>
      </c>
      <c r="D45" s="53" t="s">
        <v>806</v>
      </c>
      <c r="E45" s="298" t="s">
        <v>1061</v>
      </c>
      <c r="F45" s="286">
        <v>3</v>
      </c>
      <c r="G45" s="1463">
        <v>0</v>
      </c>
      <c r="H45" s="1463">
        <v>0</v>
      </c>
      <c r="I45" s="1463">
        <v>0</v>
      </c>
      <c r="J45" s="1463">
        <v>0</v>
      </c>
      <c r="K45" s="1463">
        <v>0</v>
      </c>
      <c r="L45" s="1463">
        <v>0</v>
      </c>
      <c r="M45" s="1486">
        <v>0</v>
      </c>
      <c r="N45" s="1486">
        <v>0</v>
      </c>
      <c r="O45" s="1486">
        <v>0</v>
      </c>
      <c r="P45" s="1486">
        <v>0</v>
      </c>
      <c r="Q45" s="1486">
        <v>0</v>
      </c>
      <c r="R45" s="1486">
        <v>0</v>
      </c>
      <c r="S45" s="1486">
        <v>0</v>
      </c>
      <c r="T45" s="1486">
        <v>0</v>
      </c>
      <c r="U45" s="1486">
        <v>0</v>
      </c>
      <c r="V45" s="1486">
        <v>0</v>
      </c>
      <c r="W45" s="1486">
        <v>0</v>
      </c>
      <c r="X45" s="1486">
        <v>0</v>
      </c>
      <c r="Y45" s="1486">
        <v>0</v>
      </c>
      <c r="Z45" s="1486">
        <v>0</v>
      </c>
      <c r="AA45" s="1486">
        <v>0</v>
      </c>
    </row>
    <row r="46" spans="2:27" x14ac:dyDescent="0.25">
      <c r="B46" s="244" t="s">
        <v>1082</v>
      </c>
      <c r="C46" s="47" t="s">
        <v>1076</v>
      </c>
      <c r="D46" s="53" t="s">
        <v>806</v>
      </c>
      <c r="E46" s="298" t="s">
        <v>1061</v>
      </c>
      <c r="F46" s="286">
        <v>3</v>
      </c>
      <c r="G46" s="1463">
        <v>0</v>
      </c>
      <c r="H46" s="1463">
        <v>0</v>
      </c>
      <c r="I46" s="1463">
        <v>0</v>
      </c>
      <c r="J46" s="1463">
        <v>0</v>
      </c>
      <c r="K46" s="1463">
        <v>0</v>
      </c>
      <c r="L46" s="1463">
        <v>0</v>
      </c>
      <c r="M46" s="1463">
        <v>0</v>
      </c>
      <c r="N46" s="1463">
        <v>0</v>
      </c>
      <c r="O46" s="1463">
        <v>0</v>
      </c>
      <c r="P46" s="1463">
        <v>0</v>
      </c>
      <c r="Q46" s="1463">
        <v>0</v>
      </c>
      <c r="R46" s="1463">
        <v>0</v>
      </c>
      <c r="S46" s="1463">
        <v>0</v>
      </c>
      <c r="T46" s="1463">
        <v>0</v>
      </c>
      <c r="U46" s="1463">
        <v>0</v>
      </c>
      <c r="V46" s="1463">
        <v>0</v>
      </c>
      <c r="W46" s="1463">
        <v>0</v>
      </c>
      <c r="X46" s="1463">
        <v>0</v>
      </c>
      <c r="Y46" s="1463">
        <v>0</v>
      </c>
      <c r="Z46" s="1463">
        <v>0</v>
      </c>
      <c r="AA46" s="1463">
        <v>0</v>
      </c>
    </row>
    <row r="47" spans="2:27" x14ac:dyDescent="0.25">
      <c r="B47" s="244" t="s">
        <v>1083</v>
      </c>
      <c r="C47" s="47" t="s">
        <v>1084</v>
      </c>
      <c r="D47" s="53" t="s">
        <v>806</v>
      </c>
      <c r="E47" s="298" t="s">
        <v>1061</v>
      </c>
      <c r="F47" s="286">
        <v>3</v>
      </c>
      <c r="G47" s="1463">
        <v>0</v>
      </c>
      <c r="H47" s="1463">
        <v>0</v>
      </c>
      <c r="I47" s="1463">
        <v>0</v>
      </c>
      <c r="J47" s="1463">
        <v>0</v>
      </c>
      <c r="K47" s="1463">
        <v>0</v>
      </c>
      <c r="L47" s="1463">
        <v>0</v>
      </c>
      <c r="M47" s="1463">
        <v>0</v>
      </c>
      <c r="N47" s="1463">
        <v>0</v>
      </c>
      <c r="O47" s="1463">
        <v>0</v>
      </c>
      <c r="P47" s="1463">
        <v>0</v>
      </c>
      <c r="Q47" s="1463">
        <v>0</v>
      </c>
      <c r="R47" s="1463">
        <v>0</v>
      </c>
      <c r="S47" s="1463">
        <v>0</v>
      </c>
      <c r="T47" s="1463">
        <v>0</v>
      </c>
      <c r="U47" s="1463">
        <v>0</v>
      </c>
      <c r="V47" s="1463">
        <v>0</v>
      </c>
      <c r="W47" s="1463">
        <v>0</v>
      </c>
      <c r="X47" s="1463">
        <v>0</v>
      </c>
      <c r="Y47" s="1463">
        <v>0</v>
      </c>
      <c r="Z47" s="1463">
        <v>0</v>
      </c>
      <c r="AA47" s="1463">
        <v>0</v>
      </c>
    </row>
    <row r="48" spans="2:27" x14ac:dyDescent="0.25">
      <c r="B48" s="244" t="s">
        <v>1085</v>
      </c>
      <c r="C48" s="47" t="s">
        <v>1080</v>
      </c>
      <c r="D48" s="53" t="s">
        <v>806</v>
      </c>
      <c r="E48" s="298" t="s">
        <v>1061</v>
      </c>
      <c r="F48" s="286">
        <v>3</v>
      </c>
      <c r="G48" s="1463">
        <v>0</v>
      </c>
      <c r="H48" s="1463">
        <v>0</v>
      </c>
      <c r="I48" s="1463">
        <v>0</v>
      </c>
      <c r="J48" s="1463">
        <v>0</v>
      </c>
      <c r="K48" s="1463">
        <v>0</v>
      </c>
      <c r="L48" s="1463">
        <v>0</v>
      </c>
      <c r="M48" s="1486">
        <v>0</v>
      </c>
      <c r="N48" s="1486">
        <v>0</v>
      </c>
      <c r="O48" s="1486">
        <v>0</v>
      </c>
      <c r="P48" s="1486">
        <v>0</v>
      </c>
      <c r="Q48" s="1486">
        <v>0</v>
      </c>
      <c r="R48" s="1486">
        <v>0</v>
      </c>
      <c r="S48" s="1486">
        <v>0</v>
      </c>
      <c r="T48" s="1486">
        <v>0</v>
      </c>
      <c r="U48" s="1486">
        <v>0</v>
      </c>
      <c r="V48" s="1486">
        <v>0</v>
      </c>
      <c r="W48" s="1486">
        <v>0</v>
      </c>
      <c r="X48" s="1486">
        <v>0</v>
      </c>
      <c r="Y48" s="1486">
        <v>0</v>
      </c>
      <c r="Z48" s="1486">
        <v>0</v>
      </c>
      <c r="AA48" s="1486">
        <v>0</v>
      </c>
    </row>
    <row r="49" spans="2:27" x14ac:dyDescent="0.25">
      <c r="B49" s="244" t="s">
        <v>1086</v>
      </c>
      <c r="C49" s="47" t="s">
        <v>1074</v>
      </c>
      <c r="D49" s="53" t="s">
        <v>1006</v>
      </c>
      <c r="E49" s="298" t="s">
        <v>1061</v>
      </c>
      <c r="F49" s="286">
        <v>3</v>
      </c>
      <c r="G49" s="1464">
        <v>0</v>
      </c>
      <c r="H49" s="1464">
        <v>0</v>
      </c>
      <c r="I49" s="1464">
        <v>0</v>
      </c>
      <c r="J49" s="1464">
        <v>0</v>
      </c>
      <c r="K49" s="1464">
        <v>0</v>
      </c>
      <c r="L49" s="1464">
        <v>0</v>
      </c>
      <c r="M49" s="1464">
        <v>0.38540989891565647</v>
      </c>
      <c r="N49" s="1464">
        <v>0.38540989891565647</v>
      </c>
      <c r="O49" s="1464">
        <v>0.38540989891565647</v>
      </c>
      <c r="P49" s="1464">
        <v>0.38540989891565647</v>
      </c>
      <c r="Q49" s="1464">
        <v>0.38540989891565647</v>
      </c>
      <c r="R49" s="1464">
        <v>1.9270494945782823</v>
      </c>
      <c r="S49" s="1464">
        <v>1.9270494945782823</v>
      </c>
      <c r="T49" s="1464">
        <v>0</v>
      </c>
      <c r="U49" s="1464">
        <v>0</v>
      </c>
      <c r="V49" s="1464">
        <v>0</v>
      </c>
      <c r="W49" s="1464">
        <v>0</v>
      </c>
      <c r="X49" s="1464">
        <v>0</v>
      </c>
      <c r="Y49" s="1464">
        <v>0</v>
      </c>
      <c r="Z49" s="1464">
        <v>0</v>
      </c>
      <c r="AA49" s="1464">
        <v>0</v>
      </c>
    </row>
    <row r="50" spans="2:27" x14ac:dyDescent="0.25">
      <c r="B50" s="244" t="s">
        <v>1087</v>
      </c>
      <c r="C50" s="47" t="s">
        <v>1088</v>
      </c>
      <c r="D50" s="53" t="s">
        <v>811</v>
      </c>
      <c r="E50" s="298" t="s">
        <v>1061</v>
      </c>
      <c r="F50" s="286">
        <v>3</v>
      </c>
      <c r="G50" s="1463">
        <v>0</v>
      </c>
      <c r="H50" s="1463">
        <v>0</v>
      </c>
      <c r="I50" s="1463">
        <v>0</v>
      </c>
      <c r="J50" s="1463">
        <v>0</v>
      </c>
      <c r="K50" s="1463">
        <v>0</v>
      </c>
      <c r="L50" s="1463">
        <v>0</v>
      </c>
      <c r="M50" s="1487">
        <v>0.23370568881682324</v>
      </c>
      <c r="N50" s="1487">
        <v>0.23370568881682324</v>
      </c>
      <c r="O50" s="1487">
        <v>0.23370568881682324</v>
      </c>
      <c r="P50" s="1487">
        <v>0.23370568881682324</v>
      </c>
      <c r="Q50" s="1487">
        <v>0.23370568881682324</v>
      </c>
      <c r="R50" s="1487">
        <v>1.1685284440841162</v>
      </c>
      <c r="S50" s="1487">
        <v>1.1685284440841162</v>
      </c>
      <c r="T50" s="1487">
        <v>0</v>
      </c>
      <c r="U50" s="1487">
        <v>0</v>
      </c>
      <c r="V50" s="1487">
        <v>0</v>
      </c>
      <c r="W50" s="1487">
        <v>0</v>
      </c>
      <c r="X50" s="1487">
        <v>0</v>
      </c>
      <c r="Y50" s="1487">
        <v>0</v>
      </c>
      <c r="Z50" s="1487">
        <v>0</v>
      </c>
      <c r="AA50" s="1487">
        <v>0</v>
      </c>
    </row>
    <row r="51" spans="2:27" x14ac:dyDescent="0.25">
      <c r="B51" s="244" t="s">
        <v>1089</v>
      </c>
      <c r="C51" s="47" t="s">
        <v>1090</v>
      </c>
      <c r="D51" s="53" t="s">
        <v>811</v>
      </c>
      <c r="E51" s="298" t="s">
        <v>1061</v>
      </c>
      <c r="F51" s="286">
        <v>3</v>
      </c>
      <c r="G51" s="1463">
        <v>0</v>
      </c>
      <c r="H51" s="1463">
        <v>0</v>
      </c>
      <c r="I51" s="1463">
        <v>0</v>
      </c>
      <c r="J51" s="1463">
        <v>0</v>
      </c>
      <c r="K51" s="1463">
        <v>0</v>
      </c>
      <c r="L51" s="1463">
        <v>0</v>
      </c>
      <c r="M51" s="1463">
        <v>0</v>
      </c>
      <c r="N51" s="1463">
        <v>0</v>
      </c>
      <c r="O51" s="1463">
        <v>0</v>
      </c>
      <c r="P51" s="1463">
        <v>0</v>
      </c>
      <c r="Q51" s="1463">
        <v>0</v>
      </c>
      <c r="R51" s="1463">
        <v>0</v>
      </c>
      <c r="S51" s="1463">
        <v>0</v>
      </c>
      <c r="T51" s="1463">
        <v>0</v>
      </c>
      <c r="U51" s="1463">
        <v>0</v>
      </c>
      <c r="V51" s="1463">
        <v>0</v>
      </c>
      <c r="W51" s="1463">
        <v>0</v>
      </c>
      <c r="X51" s="1463">
        <v>0</v>
      </c>
      <c r="Y51" s="1463">
        <v>0</v>
      </c>
      <c r="Z51" s="1463">
        <v>0</v>
      </c>
      <c r="AA51" s="1463">
        <v>0</v>
      </c>
    </row>
    <row r="52" spans="2:27" x14ac:dyDescent="0.25">
      <c r="B52" s="244" t="s">
        <v>1091</v>
      </c>
      <c r="C52" s="47" t="s">
        <v>1092</v>
      </c>
      <c r="D52" s="53" t="s">
        <v>811</v>
      </c>
      <c r="E52" s="298" t="s">
        <v>1061</v>
      </c>
      <c r="F52" s="286">
        <v>3</v>
      </c>
      <c r="G52" s="1463">
        <v>0</v>
      </c>
      <c r="H52" s="1463">
        <v>0</v>
      </c>
      <c r="I52" s="1463">
        <v>0</v>
      </c>
      <c r="J52" s="1463">
        <v>0</v>
      </c>
      <c r="K52" s="1463">
        <v>0</v>
      </c>
      <c r="L52" s="1463">
        <v>0</v>
      </c>
      <c r="M52" s="1463">
        <v>0</v>
      </c>
      <c r="N52" s="1463">
        <v>0</v>
      </c>
      <c r="O52" s="1463">
        <v>0</v>
      </c>
      <c r="P52" s="1463">
        <v>0</v>
      </c>
      <c r="Q52" s="1463">
        <v>0</v>
      </c>
      <c r="R52" s="1463">
        <v>0</v>
      </c>
      <c r="S52" s="1463">
        <v>0</v>
      </c>
      <c r="T52" s="1463">
        <v>0</v>
      </c>
      <c r="U52" s="1463">
        <v>0</v>
      </c>
      <c r="V52" s="1463">
        <v>0</v>
      </c>
      <c r="W52" s="1463">
        <v>0</v>
      </c>
      <c r="X52" s="1463">
        <v>0</v>
      </c>
      <c r="Y52" s="1463">
        <v>0</v>
      </c>
      <c r="Z52" s="1463">
        <v>0</v>
      </c>
      <c r="AA52" s="1463">
        <v>0</v>
      </c>
    </row>
    <row r="53" spans="2:27" x14ac:dyDescent="0.25">
      <c r="B53" s="244" t="s">
        <v>1093</v>
      </c>
      <c r="C53" s="47" t="s">
        <v>1094</v>
      </c>
      <c r="D53" s="53" t="s">
        <v>811</v>
      </c>
      <c r="E53" s="298" t="s">
        <v>1061</v>
      </c>
      <c r="F53" s="286">
        <v>3</v>
      </c>
      <c r="G53" s="1463">
        <v>0</v>
      </c>
      <c r="H53" s="1463">
        <v>0</v>
      </c>
      <c r="I53" s="1463">
        <v>0</v>
      </c>
      <c r="J53" s="1463">
        <v>0</v>
      </c>
      <c r="K53" s="1463">
        <v>0</v>
      </c>
      <c r="L53" s="1463">
        <v>0</v>
      </c>
      <c r="M53" s="1486">
        <v>0.23370568881682324</v>
      </c>
      <c r="N53" s="1486">
        <v>0.23370568881682324</v>
      </c>
      <c r="O53" s="1486">
        <v>0.23370568881682324</v>
      </c>
      <c r="P53" s="1486">
        <v>0.23370568881682324</v>
      </c>
      <c r="Q53" s="1486">
        <v>0.23370568881682324</v>
      </c>
      <c r="R53" s="1486">
        <v>1.1685284440841162</v>
      </c>
      <c r="S53" s="1486">
        <v>1.1685284440841162</v>
      </c>
      <c r="T53" s="1486">
        <v>0</v>
      </c>
      <c r="U53" s="1486">
        <v>0</v>
      </c>
      <c r="V53" s="1486">
        <v>0</v>
      </c>
      <c r="W53" s="1486">
        <v>0</v>
      </c>
      <c r="X53" s="1486">
        <v>0</v>
      </c>
      <c r="Y53" s="1486">
        <v>0</v>
      </c>
      <c r="Z53" s="1486">
        <v>0</v>
      </c>
      <c r="AA53" s="1486">
        <v>0</v>
      </c>
    </row>
    <row r="54" spans="2:27" x14ac:dyDescent="0.25">
      <c r="B54" s="244" t="s">
        <v>1095</v>
      </c>
      <c r="C54" s="47" t="s">
        <v>1088</v>
      </c>
      <c r="D54" s="53" t="s">
        <v>806</v>
      </c>
      <c r="E54" s="298" t="s">
        <v>1061</v>
      </c>
      <c r="F54" s="286">
        <v>3</v>
      </c>
      <c r="G54" s="1463">
        <v>0</v>
      </c>
      <c r="H54" s="1463">
        <v>0</v>
      </c>
      <c r="I54" s="1463">
        <v>0</v>
      </c>
      <c r="J54" s="1463">
        <v>0</v>
      </c>
      <c r="K54" s="1463">
        <v>0</v>
      </c>
      <c r="L54" s="1463">
        <v>0</v>
      </c>
      <c r="M54" s="1487">
        <v>5.6769E-2</v>
      </c>
      <c r="N54" s="1487">
        <v>6.3537999999999997E-2</v>
      </c>
      <c r="O54" s="1487">
        <v>7.0306999999999994E-2</v>
      </c>
      <c r="P54" s="1487">
        <v>7.7076000000000006E-2</v>
      </c>
      <c r="Q54" s="1487">
        <v>8.3845000000000003E-2</v>
      </c>
      <c r="R54" s="1487">
        <v>0.52076</v>
      </c>
      <c r="S54" s="1487">
        <v>0.68998499999999996</v>
      </c>
      <c r="T54" s="1487">
        <v>1.9262034440841165</v>
      </c>
      <c r="U54" s="1487">
        <v>1.9262034440841165</v>
      </c>
      <c r="V54" s="1487">
        <v>1.9262034440841165</v>
      </c>
      <c r="W54" s="1487">
        <v>1.9262034440841165</v>
      </c>
      <c r="X54" s="1487">
        <v>1.9262034440841165</v>
      </c>
      <c r="Y54" s="1487">
        <v>1.9262034440841165</v>
      </c>
      <c r="Z54" s="1487">
        <v>1.9262034440841165</v>
      </c>
      <c r="AA54" s="1487">
        <v>1.9262034440841165</v>
      </c>
    </row>
    <row r="55" spans="2:27" x14ac:dyDescent="0.25">
      <c r="B55" s="244" t="s">
        <v>1096</v>
      </c>
      <c r="C55" s="47" t="s">
        <v>1090</v>
      </c>
      <c r="D55" s="53" t="s">
        <v>806</v>
      </c>
      <c r="E55" s="298" t="s">
        <v>1061</v>
      </c>
      <c r="F55" s="286">
        <v>3</v>
      </c>
      <c r="G55" s="1463">
        <v>0</v>
      </c>
      <c r="H55" s="1463">
        <v>0</v>
      </c>
      <c r="I55" s="1463">
        <v>0</v>
      </c>
      <c r="J55" s="1463">
        <v>0</v>
      </c>
      <c r="K55" s="1463">
        <v>0</v>
      </c>
      <c r="L55" s="1463">
        <v>0</v>
      </c>
      <c r="M55" s="1463">
        <v>0</v>
      </c>
      <c r="N55" s="1463">
        <v>0</v>
      </c>
      <c r="O55" s="1463">
        <v>0</v>
      </c>
      <c r="P55" s="1463">
        <v>0</v>
      </c>
      <c r="Q55" s="1463">
        <v>0</v>
      </c>
      <c r="R55" s="1463">
        <v>0</v>
      </c>
      <c r="S55" s="1463">
        <v>0</v>
      </c>
      <c r="T55" s="1463">
        <v>0</v>
      </c>
      <c r="U55" s="1463">
        <v>0</v>
      </c>
      <c r="V55" s="1463">
        <v>0</v>
      </c>
      <c r="W55" s="1463">
        <v>0</v>
      </c>
      <c r="X55" s="1463">
        <v>0</v>
      </c>
      <c r="Y55" s="1463">
        <v>0</v>
      </c>
      <c r="Z55" s="1463">
        <v>0</v>
      </c>
      <c r="AA55" s="1463">
        <v>0</v>
      </c>
    </row>
    <row r="56" spans="2:27" x14ac:dyDescent="0.25">
      <c r="B56" s="244" t="s">
        <v>1097</v>
      </c>
      <c r="C56" s="47" t="s">
        <v>1092</v>
      </c>
      <c r="D56" s="53" t="s">
        <v>806</v>
      </c>
      <c r="E56" s="298" t="s">
        <v>1061</v>
      </c>
      <c r="F56" s="286">
        <v>3</v>
      </c>
      <c r="G56" s="1463">
        <v>0</v>
      </c>
      <c r="H56" s="1463">
        <v>0</v>
      </c>
      <c r="I56" s="1463">
        <v>0</v>
      </c>
      <c r="J56" s="1463">
        <v>0</v>
      </c>
      <c r="K56" s="1463">
        <v>0</v>
      </c>
      <c r="L56" s="1463">
        <v>0</v>
      </c>
      <c r="M56" s="1463">
        <v>0</v>
      </c>
      <c r="N56" s="1463">
        <v>0</v>
      </c>
      <c r="O56" s="1463">
        <v>0</v>
      </c>
      <c r="P56" s="1463">
        <v>0</v>
      </c>
      <c r="Q56" s="1463">
        <v>0</v>
      </c>
      <c r="R56" s="1463">
        <v>0</v>
      </c>
      <c r="S56" s="1463">
        <v>0</v>
      </c>
      <c r="T56" s="1463">
        <v>0</v>
      </c>
      <c r="U56" s="1463">
        <v>0</v>
      </c>
      <c r="V56" s="1463">
        <v>0</v>
      </c>
      <c r="W56" s="1463">
        <v>0</v>
      </c>
      <c r="X56" s="1463">
        <v>0</v>
      </c>
      <c r="Y56" s="1463">
        <v>0</v>
      </c>
      <c r="Z56" s="1463">
        <v>0</v>
      </c>
      <c r="AA56" s="1463">
        <v>0</v>
      </c>
    </row>
    <row r="57" spans="2:27" x14ac:dyDescent="0.25">
      <c r="B57" s="244" t="s">
        <v>1098</v>
      </c>
      <c r="C57" s="47" t="s">
        <v>1094</v>
      </c>
      <c r="D57" s="53" t="s">
        <v>806</v>
      </c>
      <c r="E57" s="298" t="s">
        <v>1061</v>
      </c>
      <c r="F57" s="286">
        <v>3</v>
      </c>
      <c r="G57" s="1463">
        <v>0</v>
      </c>
      <c r="H57" s="1463">
        <v>0</v>
      </c>
      <c r="I57" s="1463">
        <v>0</v>
      </c>
      <c r="J57" s="1463">
        <v>0</v>
      </c>
      <c r="K57" s="1463">
        <v>0</v>
      </c>
      <c r="L57" s="1463">
        <v>0</v>
      </c>
      <c r="M57" s="1486">
        <v>5.6769E-2</v>
      </c>
      <c r="N57" s="1486">
        <v>6.3537999999999997E-2</v>
      </c>
      <c r="O57" s="1486">
        <v>7.0306999999999994E-2</v>
      </c>
      <c r="P57" s="1486">
        <v>7.7076000000000006E-2</v>
      </c>
      <c r="Q57" s="1486">
        <v>8.3845000000000003E-2</v>
      </c>
      <c r="R57" s="1486">
        <v>0.52076</v>
      </c>
      <c r="S57" s="1486">
        <v>0.68998499999999996</v>
      </c>
      <c r="T57" s="1486">
        <v>1.9262034440841165</v>
      </c>
      <c r="U57" s="1486">
        <v>1.9262034440841165</v>
      </c>
      <c r="V57" s="1486">
        <v>1.9262034440841165</v>
      </c>
      <c r="W57" s="1486">
        <v>1.9262034440841165</v>
      </c>
      <c r="X57" s="1486">
        <v>1.9262034440841165</v>
      </c>
      <c r="Y57" s="1486">
        <v>1.9262034440841165</v>
      </c>
      <c r="Z57" s="1486">
        <v>1.9262034440841165</v>
      </c>
      <c r="AA57" s="1486">
        <v>1.9262034440841165</v>
      </c>
    </row>
    <row r="58" spans="2:27" x14ac:dyDescent="0.25">
      <c r="B58" s="244" t="s">
        <v>1099</v>
      </c>
      <c r="C58" s="47" t="s">
        <v>1090</v>
      </c>
      <c r="D58" s="53" t="s">
        <v>1006</v>
      </c>
      <c r="E58" s="298" t="s">
        <v>1061</v>
      </c>
      <c r="F58" s="286">
        <v>3</v>
      </c>
      <c r="G58" s="1464">
        <v>0</v>
      </c>
      <c r="H58" s="1464">
        <v>0</v>
      </c>
      <c r="I58" s="1464">
        <v>0</v>
      </c>
      <c r="J58" s="1464">
        <v>0</v>
      </c>
      <c r="K58" s="1464">
        <v>0</v>
      </c>
      <c r="L58" s="1464">
        <v>0</v>
      </c>
      <c r="M58" s="1464">
        <v>0.52418037763364644</v>
      </c>
      <c r="N58" s="1464">
        <v>0.53094937763364647</v>
      </c>
      <c r="O58" s="1464">
        <v>0.53771837763364649</v>
      </c>
      <c r="P58" s="1464">
        <v>0.54448737763364652</v>
      </c>
      <c r="Q58" s="1464">
        <v>0.55125637763364654</v>
      </c>
      <c r="R58" s="1464">
        <v>2.8578168881682324</v>
      </c>
      <c r="S58" s="1464">
        <v>3.0270418881682324</v>
      </c>
      <c r="T58" s="1464">
        <v>1.9262034440841165</v>
      </c>
      <c r="U58" s="1464">
        <v>1.9262034440841165</v>
      </c>
      <c r="V58" s="1464">
        <v>1.9262034440841165</v>
      </c>
      <c r="W58" s="1464">
        <v>1.9262034440841165</v>
      </c>
      <c r="X58" s="1464">
        <v>1.9262034440841165</v>
      </c>
      <c r="Y58" s="1464">
        <v>1.9262034440841165</v>
      </c>
      <c r="Z58" s="1464">
        <v>1.9262034440841165</v>
      </c>
      <c r="AA58" s="1465">
        <v>1.9262034440841165</v>
      </c>
    </row>
    <row r="59" spans="2:27" x14ac:dyDescent="0.25">
      <c r="B59" s="244" t="s">
        <v>1100</v>
      </c>
      <c r="C59" s="47" t="s">
        <v>1101</v>
      </c>
      <c r="D59" s="53" t="s">
        <v>811</v>
      </c>
      <c r="E59" s="298" t="s">
        <v>1061</v>
      </c>
      <c r="F59" s="286">
        <v>3</v>
      </c>
      <c r="G59" s="1463">
        <v>0</v>
      </c>
      <c r="H59" s="1463">
        <v>0</v>
      </c>
      <c r="I59" s="1463">
        <v>0</v>
      </c>
      <c r="J59" s="1463">
        <v>0</v>
      </c>
      <c r="K59" s="1463">
        <v>0</v>
      </c>
      <c r="L59" s="1463">
        <v>0</v>
      </c>
      <c r="M59" s="1463">
        <v>0</v>
      </c>
      <c r="N59" s="1463">
        <v>0</v>
      </c>
      <c r="O59" s="1463">
        <v>0</v>
      </c>
      <c r="P59" s="1463">
        <v>0</v>
      </c>
      <c r="Q59" s="1463">
        <v>0</v>
      </c>
      <c r="R59" s="1463">
        <v>0</v>
      </c>
      <c r="S59" s="1463">
        <v>0</v>
      </c>
      <c r="T59" s="1463">
        <v>0</v>
      </c>
      <c r="U59" s="1463">
        <v>0</v>
      </c>
      <c r="V59" s="1463">
        <v>0</v>
      </c>
      <c r="W59" s="1463">
        <v>0</v>
      </c>
      <c r="X59" s="1463">
        <v>0</v>
      </c>
      <c r="Y59" s="1463">
        <v>0</v>
      </c>
      <c r="Z59" s="1463">
        <v>0</v>
      </c>
      <c r="AA59" s="1463">
        <v>0</v>
      </c>
    </row>
    <row r="60" spans="2:27" x14ac:dyDescent="0.25">
      <c r="B60" s="244" t="s">
        <v>1102</v>
      </c>
      <c r="C60" s="47" t="s">
        <v>1103</v>
      </c>
      <c r="D60" s="53" t="s">
        <v>811</v>
      </c>
      <c r="E60" s="298" t="s">
        <v>1061</v>
      </c>
      <c r="F60" s="286">
        <v>3</v>
      </c>
      <c r="G60" s="1463">
        <v>0</v>
      </c>
      <c r="H60" s="1463">
        <v>0</v>
      </c>
      <c r="I60" s="1463">
        <v>0</v>
      </c>
      <c r="J60" s="1463">
        <v>0</v>
      </c>
      <c r="K60" s="1463">
        <v>0</v>
      </c>
      <c r="L60" s="1463">
        <v>0</v>
      </c>
      <c r="M60" s="1486">
        <v>1.345707402518568</v>
      </c>
      <c r="N60" s="1486">
        <v>1.345707402518568</v>
      </c>
      <c r="O60" s="1486">
        <v>1.345707402518568</v>
      </c>
      <c r="P60" s="1486">
        <v>1.345707402518568</v>
      </c>
      <c r="Q60" s="1486">
        <v>1.345707402518568</v>
      </c>
      <c r="R60" s="1486">
        <v>6.7285370125928408</v>
      </c>
      <c r="S60" s="1486">
        <v>6.7285370125928408</v>
      </c>
      <c r="T60" s="1486">
        <v>0</v>
      </c>
      <c r="U60" s="1486">
        <v>0</v>
      </c>
      <c r="V60" s="1486">
        <v>0</v>
      </c>
      <c r="W60" s="1486">
        <v>0</v>
      </c>
      <c r="X60" s="1486">
        <v>0</v>
      </c>
      <c r="Y60" s="1486">
        <v>0</v>
      </c>
      <c r="Z60" s="1486">
        <v>0</v>
      </c>
      <c r="AA60" s="1486">
        <v>0</v>
      </c>
    </row>
    <row r="61" spans="2:27" x14ac:dyDescent="0.25">
      <c r="B61" s="244" t="s">
        <v>1104</v>
      </c>
      <c r="C61" s="47" t="s">
        <v>1105</v>
      </c>
      <c r="D61" s="53" t="s">
        <v>811</v>
      </c>
      <c r="E61" s="298" t="s">
        <v>1061</v>
      </c>
      <c r="F61" s="286">
        <v>3</v>
      </c>
      <c r="G61" s="1463">
        <v>0</v>
      </c>
      <c r="H61" s="1463">
        <v>0</v>
      </c>
      <c r="I61" s="1463">
        <v>0</v>
      </c>
      <c r="J61" s="1463">
        <v>0</v>
      </c>
      <c r="K61" s="1463">
        <v>0</v>
      </c>
      <c r="L61" s="1463">
        <v>0</v>
      </c>
      <c r="M61" s="1463">
        <v>0</v>
      </c>
      <c r="N61" s="1463">
        <v>0</v>
      </c>
      <c r="O61" s="1463">
        <v>0</v>
      </c>
      <c r="P61" s="1463">
        <v>0</v>
      </c>
      <c r="Q61" s="1463">
        <v>0</v>
      </c>
      <c r="R61" s="1463">
        <v>0</v>
      </c>
      <c r="S61" s="1463">
        <v>0</v>
      </c>
      <c r="T61" s="1463">
        <v>0</v>
      </c>
      <c r="U61" s="1463">
        <v>0</v>
      </c>
      <c r="V61" s="1463">
        <v>0</v>
      </c>
      <c r="W61" s="1463">
        <v>0</v>
      </c>
      <c r="X61" s="1463">
        <v>0</v>
      </c>
      <c r="Y61" s="1463">
        <v>0</v>
      </c>
      <c r="Z61" s="1463">
        <v>0</v>
      </c>
      <c r="AA61" s="1463">
        <v>0</v>
      </c>
    </row>
    <row r="62" spans="2:27" x14ac:dyDescent="0.25">
      <c r="B62" s="244" t="s">
        <v>1106</v>
      </c>
      <c r="C62" s="47" t="s">
        <v>1101</v>
      </c>
      <c r="D62" s="53" t="s">
        <v>806</v>
      </c>
      <c r="E62" s="298" t="s">
        <v>1061</v>
      </c>
      <c r="F62" s="286">
        <v>3</v>
      </c>
      <c r="G62" s="1463">
        <v>0</v>
      </c>
      <c r="H62" s="1463">
        <v>0</v>
      </c>
      <c r="I62" s="1463">
        <v>0</v>
      </c>
      <c r="J62" s="1463">
        <v>0</v>
      </c>
      <c r="K62" s="1463">
        <v>0</v>
      </c>
      <c r="L62" s="1463">
        <v>0</v>
      </c>
      <c r="M62" s="1463">
        <v>0</v>
      </c>
      <c r="N62" s="1463">
        <v>0</v>
      </c>
      <c r="O62" s="1463">
        <v>0</v>
      </c>
      <c r="P62" s="1463">
        <v>0</v>
      </c>
      <c r="Q62" s="1463">
        <v>0</v>
      </c>
      <c r="R62" s="1463">
        <v>0</v>
      </c>
      <c r="S62" s="1463">
        <v>0</v>
      </c>
      <c r="T62" s="1463">
        <v>0</v>
      </c>
      <c r="U62" s="1463">
        <v>0</v>
      </c>
      <c r="V62" s="1463">
        <v>0</v>
      </c>
      <c r="W62" s="1463">
        <v>0</v>
      </c>
      <c r="X62" s="1463">
        <v>0</v>
      </c>
      <c r="Y62" s="1463">
        <v>0</v>
      </c>
      <c r="Z62" s="1463">
        <v>0</v>
      </c>
      <c r="AA62" s="1463">
        <v>0</v>
      </c>
    </row>
    <row r="63" spans="2:27" x14ac:dyDescent="0.25">
      <c r="B63" s="244" t="s">
        <v>1107</v>
      </c>
      <c r="C63" s="47" t="s">
        <v>1103</v>
      </c>
      <c r="D63" s="53" t="s">
        <v>806</v>
      </c>
      <c r="E63" s="298" t="s">
        <v>1061</v>
      </c>
      <c r="F63" s="286">
        <v>3</v>
      </c>
      <c r="G63" s="1463">
        <v>0</v>
      </c>
      <c r="H63" s="1463">
        <v>0</v>
      </c>
      <c r="I63" s="1463">
        <v>0</v>
      </c>
      <c r="J63" s="1463">
        <v>0</v>
      </c>
      <c r="K63" s="1463">
        <v>0</v>
      </c>
      <c r="L63" s="1463">
        <v>0</v>
      </c>
      <c r="M63" s="1486">
        <v>0</v>
      </c>
      <c r="N63" s="1486">
        <v>0</v>
      </c>
      <c r="O63" s="1486">
        <v>0</v>
      </c>
      <c r="P63" s="1486">
        <v>0</v>
      </c>
      <c r="Q63" s="1486">
        <v>0</v>
      </c>
      <c r="R63" s="1486">
        <v>0</v>
      </c>
      <c r="S63" s="1486">
        <v>0</v>
      </c>
      <c r="T63" s="1486">
        <v>0</v>
      </c>
      <c r="U63" s="1486">
        <v>0</v>
      </c>
      <c r="V63" s="1486">
        <v>0</v>
      </c>
      <c r="W63" s="1486">
        <v>0</v>
      </c>
      <c r="X63" s="1486">
        <v>0</v>
      </c>
      <c r="Y63" s="1486">
        <v>0</v>
      </c>
      <c r="Z63" s="1486">
        <v>0</v>
      </c>
      <c r="AA63" s="1486">
        <v>0</v>
      </c>
    </row>
    <row r="64" spans="2:27" x14ac:dyDescent="0.25">
      <c r="B64" s="244" t="s">
        <v>1108</v>
      </c>
      <c r="C64" s="47" t="s">
        <v>1105</v>
      </c>
      <c r="D64" s="53" t="s">
        <v>806</v>
      </c>
      <c r="E64" s="298" t="s">
        <v>1061</v>
      </c>
      <c r="F64" s="286">
        <v>3</v>
      </c>
      <c r="G64" s="1463">
        <v>0</v>
      </c>
      <c r="H64" s="1463">
        <v>0</v>
      </c>
      <c r="I64" s="1463">
        <v>0</v>
      </c>
      <c r="J64" s="1463">
        <v>0</v>
      </c>
      <c r="K64" s="1463">
        <v>0</v>
      </c>
      <c r="L64" s="1463">
        <v>0</v>
      </c>
      <c r="M64" s="1463">
        <v>0</v>
      </c>
      <c r="N64" s="1463">
        <v>0</v>
      </c>
      <c r="O64" s="1463">
        <v>0</v>
      </c>
      <c r="P64" s="1463">
        <v>0</v>
      </c>
      <c r="Q64" s="1463">
        <v>0</v>
      </c>
      <c r="R64" s="1463">
        <v>0</v>
      </c>
      <c r="S64" s="1463">
        <v>0</v>
      </c>
      <c r="T64" s="1463">
        <v>0</v>
      </c>
      <c r="U64" s="1463">
        <v>0</v>
      </c>
      <c r="V64" s="1463">
        <v>0</v>
      </c>
      <c r="W64" s="1463">
        <v>0</v>
      </c>
      <c r="X64" s="1463">
        <v>0</v>
      </c>
      <c r="Y64" s="1463">
        <v>0</v>
      </c>
      <c r="Z64" s="1463">
        <v>0</v>
      </c>
      <c r="AA64" s="1463">
        <v>0</v>
      </c>
    </row>
    <row r="65" spans="2:27" x14ac:dyDescent="0.25">
      <c r="B65" s="244" t="s">
        <v>1109</v>
      </c>
      <c r="C65" s="47" t="s">
        <v>1101</v>
      </c>
      <c r="D65" s="53" t="s">
        <v>1006</v>
      </c>
      <c r="E65" s="298" t="s">
        <v>1061</v>
      </c>
      <c r="F65" s="286">
        <v>3</v>
      </c>
      <c r="G65" s="1464">
        <v>0</v>
      </c>
      <c r="H65" s="1464">
        <v>0</v>
      </c>
      <c r="I65" s="1464">
        <v>0</v>
      </c>
      <c r="J65" s="1464">
        <v>0</v>
      </c>
      <c r="K65" s="1464">
        <v>0</v>
      </c>
      <c r="L65" s="1464">
        <v>0</v>
      </c>
      <c r="M65" s="1464">
        <v>0</v>
      </c>
      <c r="N65" s="1464">
        <v>0</v>
      </c>
      <c r="O65" s="1464">
        <v>0</v>
      </c>
      <c r="P65" s="1464">
        <v>0</v>
      </c>
      <c r="Q65" s="1464">
        <v>0</v>
      </c>
      <c r="R65" s="1464">
        <v>0</v>
      </c>
      <c r="S65" s="1464">
        <v>0</v>
      </c>
      <c r="T65" s="1464">
        <v>0</v>
      </c>
      <c r="U65" s="1464">
        <v>0</v>
      </c>
      <c r="V65" s="1464">
        <v>0</v>
      </c>
      <c r="W65" s="1464">
        <v>0</v>
      </c>
      <c r="X65" s="1464">
        <v>0</v>
      </c>
      <c r="Y65" s="1464">
        <v>0</v>
      </c>
      <c r="Z65" s="1464">
        <v>0</v>
      </c>
      <c r="AA65" s="1465">
        <v>0</v>
      </c>
    </row>
    <row r="66" spans="2:27" x14ac:dyDescent="0.25">
      <c r="B66" s="244" t="s">
        <v>1110</v>
      </c>
      <c r="C66" s="47" t="s">
        <v>1103</v>
      </c>
      <c r="D66" s="53" t="s">
        <v>1006</v>
      </c>
      <c r="E66" s="298" t="s">
        <v>1061</v>
      </c>
      <c r="F66" s="286">
        <v>3</v>
      </c>
      <c r="G66" s="1464">
        <v>0</v>
      </c>
      <c r="H66" s="1464">
        <v>0</v>
      </c>
      <c r="I66" s="1464">
        <v>0</v>
      </c>
      <c r="J66" s="1464">
        <v>0</v>
      </c>
      <c r="K66" s="1464">
        <v>0</v>
      </c>
      <c r="L66" s="1464">
        <v>0</v>
      </c>
      <c r="M66" s="1464">
        <v>1.345707402518568</v>
      </c>
      <c r="N66" s="1464">
        <v>1.345707402518568</v>
      </c>
      <c r="O66" s="1464">
        <v>1.345707402518568</v>
      </c>
      <c r="P66" s="1464">
        <v>1.345707402518568</v>
      </c>
      <c r="Q66" s="1464">
        <v>1.345707402518568</v>
      </c>
      <c r="R66" s="1464">
        <v>6.7285370125928408</v>
      </c>
      <c r="S66" s="1464">
        <v>6.7285370125928408</v>
      </c>
      <c r="T66" s="1464">
        <v>0</v>
      </c>
      <c r="U66" s="1464">
        <v>0</v>
      </c>
      <c r="V66" s="1464">
        <v>0</v>
      </c>
      <c r="W66" s="1464">
        <v>0</v>
      </c>
      <c r="X66" s="1464">
        <v>0</v>
      </c>
      <c r="Y66" s="1464">
        <v>0</v>
      </c>
      <c r="Z66" s="1464">
        <v>0</v>
      </c>
      <c r="AA66" s="1465">
        <v>0</v>
      </c>
    </row>
    <row r="67" spans="2:27" x14ac:dyDescent="0.25">
      <c r="B67" s="244" t="s">
        <v>1111</v>
      </c>
      <c r="C67" s="47" t="s">
        <v>1105</v>
      </c>
      <c r="D67" s="53" t="s">
        <v>1006</v>
      </c>
      <c r="E67" s="298" t="s">
        <v>1061</v>
      </c>
      <c r="F67" s="286">
        <v>3</v>
      </c>
      <c r="G67" s="1464">
        <v>0</v>
      </c>
      <c r="H67" s="1464">
        <v>0</v>
      </c>
      <c r="I67" s="1464">
        <v>0</v>
      </c>
      <c r="J67" s="1464">
        <v>0</v>
      </c>
      <c r="K67" s="1464">
        <v>0</v>
      </c>
      <c r="L67" s="1464">
        <v>0</v>
      </c>
      <c r="M67" s="1464">
        <v>0</v>
      </c>
      <c r="N67" s="1464">
        <v>0</v>
      </c>
      <c r="O67" s="1464">
        <v>0</v>
      </c>
      <c r="P67" s="1464">
        <v>0</v>
      </c>
      <c r="Q67" s="1464">
        <v>0</v>
      </c>
      <c r="R67" s="1464">
        <v>0</v>
      </c>
      <c r="S67" s="1464">
        <v>0</v>
      </c>
      <c r="T67" s="1464">
        <v>0</v>
      </c>
      <c r="U67" s="1464">
        <v>0</v>
      </c>
      <c r="V67" s="1464">
        <v>0</v>
      </c>
      <c r="W67" s="1464">
        <v>0</v>
      </c>
      <c r="X67" s="1464">
        <v>0</v>
      </c>
      <c r="Y67" s="1464">
        <v>0</v>
      </c>
      <c r="Z67" s="1464">
        <v>0</v>
      </c>
      <c r="AA67" s="1465">
        <v>0</v>
      </c>
    </row>
    <row r="68" spans="2:27" x14ac:dyDescent="0.25">
      <c r="B68" s="244" t="s">
        <v>1112</v>
      </c>
      <c r="C68" s="47" t="s">
        <v>1113</v>
      </c>
      <c r="D68" s="53" t="s">
        <v>1006</v>
      </c>
      <c r="E68" s="298" t="s">
        <v>1061</v>
      </c>
      <c r="F68" s="286">
        <v>3</v>
      </c>
      <c r="G68" s="1462">
        <v>0</v>
      </c>
      <c r="H68" s="1462">
        <v>0</v>
      </c>
      <c r="I68" s="1462">
        <v>0</v>
      </c>
      <c r="J68" s="1462">
        <v>0</v>
      </c>
      <c r="K68" s="1462">
        <v>0</v>
      </c>
      <c r="L68" s="1462">
        <v>0</v>
      </c>
      <c r="M68" s="1462">
        <v>5.0677306004277893</v>
      </c>
      <c r="N68" s="1462">
        <v>4.9507115496693093</v>
      </c>
      <c r="O68" s="1462">
        <v>4.8391409778395316</v>
      </c>
      <c r="P68" s="1462">
        <v>4.7327790724327716</v>
      </c>
      <c r="Q68" s="1462">
        <v>4.6313965761897231</v>
      </c>
      <c r="R68" s="1462">
        <v>21.795711561853285</v>
      </c>
      <c r="S68" s="1462">
        <v>19.892700326658549</v>
      </c>
      <c r="T68" s="1462">
        <v>8.4816655082295931</v>
      </c>
      <c r="U68" s="1462">
        <v>7.1605160340281513</v>
      </c>
      <c r="V68" s="1462">
        <v>6.1056232959810606</v>
      </c>
      <c r="W68" s="1462">
        <v>4.0178391108747693</v>
      </c>
      <c r="X68" s="1462">
        <v>1.9262034440841165</v>
      </c>
      <c r="Y68" s="1462">
        <v>1.9262034440841165</v>
      </c>
      <c r="Z68" s="1462">
        <v>1.9262034440841165</v>
      </c>
      <c r="AA68" s="1462">
        <v>1.9262034440841165</v>
      </c>
    </row>
    <row r="69" spans="2:27" ht="14.4" thickBot="1" x14ac:dyDescent="0.3">
      <c r="B69" s="246"/>
      <c r="C69" s="247"/>
      <c r="D69" s="57"/>
      <c r="E69" s="248"/>
      <c r="F69" s="249"/>
      <c r="G69" s="258"/>
      <c r="H69" s="258"/>
      <c r="I69" s="258"/>
      <c r="J69" s="258"/>
      <c r="K69" s="258"/>
      <c r="L69" s="258"/>
      <c r="M69" s="258"/>
      <c r="N69" s="258"/>
      <c r="O69" s="258"/>
      <c r="P69" s="258"/>
      <c r="Q69" s="258"/>
      <c r="R69" s="258"/>
      <c r="S69" s="258"/>
      <c r="T69" s="258"/>
      <c r="U69" s="258"/>
      <c r="V69" s="258"/>
      <c r="W69" s="258"/>
      <c r="X69" s="258"/>
      <c r="Y69" s="258"/>
      <c r="Z69" s="258"/>
      <c r="AA69" s="258"/>
    </row>
    <row r="70" spans="2:27" ht="55.8" thickBot="1" x14ac:dyDescent="0.3">
      <c r="B70" s="210" t="s">
        <v>1114</v>
      </c>
      <c r="G70" s="1530" t="s">
        <v>1018</v>
      </c>
      <c r="H70" s="1592"/>
      <c r="I70" s="1592"/>
      <c r="J70" s="1592"/>
      <c r="K70" s="1592"/>
      <c r="L70" s="1592"/>
      <c r="M70" s="1592"/>
      <c r="N70" s="1592"/>
      <c r="O70" s="1592"/>
      <c r="P70" s="1592"/>
      <c r="Q70" s="1531"/>
      <c r="R70" s="1530" t="s">
        <v>1019</v>
      </c>
      <c r="S70" s="1592"/>
      <c r="T70" s="1592"/>
      <c r="U70" s="1592"/>
      <c r="V70" s="1592"/>
      <c r="W70" s="1592"/>
      <c r="X70" s="1592"/>
      <c r="Y70" s="1592"/>
      <c r="Z70" s="1592"/>
      <c r="AA70" s="1531"/>
    </row>
    <row r="71" spans="2:27" ht="42" thickBot="1" x14ac:dyDescent="0.3">
      <c r="B71" s="251" t="s">
        <v>1020</v>
      </c>
      <c r="C71" s="252" t="s">
        <v>1002</v>
      </c>
      <c r="D71" s="252" t="s">
        <v>1003</v>
      </c>
      <c r="E71" s="252" t="s">
        <v>117</v>
      </c>
      <c r="F71" s="253" t="s">
        <v>118</v>
      </c>
      <c r="G71" s="251" t="s">
        <v>119</v>
      </c>
      <c r="H71" s="252" t="s">
        <v>120</v>
      </c>
      <c r="I71" s="252" t="s">
        <v>121</v>
      </c>
      <c r="J71" s="252" t="s">
        <v>122</v>
      </c>
      <c r="K71" s="252" t="s">
        <v>123</v>
      </c>
      <c r="L71" s="252" t="s">
        <v>124</v>
      </c>
      <c r="M71" s="252" t="s">
        <v>125</v>
      </c>
      <c r="N71" s="252" t="s">
        <v>126</v>
      </c>
      <c r="O71" s="252" t="s">
        <v>127</v>
      </c>
      <c r="P71" s="252" t="s">
        <v>128</v>
      </c>
      <c r="Q71" s="253" t="s">
        <v>129</v>
      </c>
      <c r="R71" s="256" t="s">
        <v>1021</v>
      </c>
      <c r="S71" s="254" t="s">
        <v>1022</v>
      </c>
      <c r="T71" s="254" t="s">
        <v>1023</v>
      </c>
      <c r="U71" s="254" t="s">
        <v>1024</v>
      </c>
      <c r="V71" s="254" t="s">
        <v>1025</v>
      </c>
      <c r="W71" s="254" t="s">
        <v>1026</v>
      </c>
      <c r="X71" s="254" t="s">
        <v>1027</v>
      </c>
      <c r="Y71" s="254" t="s">
        <v>1028</v>
      </c>
      <c r="Z71" s="254" t="s">
        <v>1029</v>
      </c>
      <c r="AA71" s="255" t="s">
        <v>1030</v>
      </c>
    </row>
    <row r="72" spans="2:27" x14ac:dyDescent="0.25">
      <c r="B72" s="244" t="s">
        <v>1115</v>
      </c>
      <c r="C72" s="47" t="s">
        <v>1116</v>
      </c>
      <c r="D72" s="53" t="s">
        <v>811</v>
      </c>
      <c r="E72" s="298" t="s">
        <v>254</v>
      </c>
      <c r="F72" s="286">
        <v>3</v>
      </c>
      <c r="G72" s="1464">
        <f t="shared" ref="G72:L72" si="11">SUM(G13,G16,G19,G22,G25,G32,G41,G50)</f>
        <v>0</v>
      </c>
      <c r="H72" s="1464">
        <f t="shared" si="11"/>
        <v>0</v>
      </c>
      <c r="I72" s="1464">
        <f t="shared" si="11"/>
        <v>0</v>
      </c>
      <c r="J72" s="1464">
        <f t="shared" si="11"/>
        <v>0</v>
      </c>
      <c r="K72" s="1464">
        <f t="shared" si="11"/>
        <v>0</v>
      </c>
      <c r="L72" s="1464">
        <f t="shared" si="11"/>
        <v>0</v>
      </c>
      <c r="M72" s="1464">
        <f>SUM(M13,M16,M19,M22,M25,(M32*1000),(M41*1000),(M50*1000))</f>
        <v>6821.0313154933247</v>
      </c>
      <c r="N72" s="1464">
        <f t="shared" ref="N72:AA72" si="12">SUM(N13,N16,N19,N22,N25,(N32*1000),(N41*1000),(N50*1000))</f>
        <v>9882.3617714228403</v>
      </c>
      <c r="O72" s="1464">
        <f t="shared" si="12"/>
        <v>7605.0247886126608</v>
      </c>
      <c r="P72" s="1464">
        <f t="shared" si="12"/>
        <v>7674.5231488640948</v>
      </c>
      <c r="Q72" s="1464">
        <f t="shared" si="12"/>
        <v>13453.948349349792</v>
      </c>
      <c r="R72" s="1464">
        <f t="shared" si="12"/>
        <v>72645.120887816593</v>
      </c>
      <c r="S72" s="1464">
        <f t="shared" si="12"/>
        <v>68730.213194554934</v>
      </c>
      <c r="T72" s="1464">
        <f t="shared" si="12"/>
        <v>82828.523676928555</v>
      </c>
      <c r="U72" s="1464">
        <f t="shared" si="12"/>
        <v>107075.01727586468</v>
      </c>
      <c r="V72" s="1464">
        <f t="shared" si="12"/>
        <v>4179.4198518969442</v>
      </c>
      <c r="W72" s="1464">
        <f t="shared" si="12"/>
        <v>2091.6356667906525</v>
      </c>
      <c r="X72" s="1464">
        <f t="shared" si="12"/>
        <v>0</v>
      </c>
      <c r="Y72" s="1464">
        <f t="shared" si="12"/>
        <v>0</v>
      </c>
      <c r="Z72" s="1464">
        <f t="shared" si="12"/>
        <v>0</v>
      </c>
      <c r="AA72" s="1464">
        <f t="shared" si="12"/>
        <v>0</v>
      </c>
    </row>
    <row r="73" spans="2:27" x14ac:dyDescent="0.25">
      <c r="B73" s="244" t="s">
        <v>1117</v>
      </c>
      <c r="C73" s="47" t="s">
        <v>1116</v>
      </c>
      <c r="D73" s="53" t="s">
        <v>806</v>
      </c>
      <c r="E73" s="298" t="s">
        <v>254</v>
      </c>
      <c r="F73" s="286">
        <v>3</v>
      </c>
      <c r="G73" s="1464">
        <f t="shared" ref="G73:L73" si="13">SUM(G14,G17,G20,G23,G26,G36,G45,G54)</f>
        <v>0</v>
      </c>
      <c r="H73" s="1464">
        <f t="shared" si="13"/>
        <v>0</v>
      </c>
      <c r="I73" s="1464">
        <f t="shared" si="13"/>
        <v>0</v>
      </c>
      <c r="J73" s="1464">
        <f t="shared" si="13"/>
        <v>0</v>
      </c>
      <c r="K73" s="1464">
        <f t="shared" si="13"/>
        <v>0</v>
      </c>
      <c r="L73" s="1464">
        <f t="shared" si="13"/>
        <v>0</v>
      </c>
      <c r="M73" s="1464">
        <f>SUM(M14,M17,M20,M23,M26,(M36*1000),(M45*1000),(M54*1000))</f>
        <v>214.1196222222222</v>
      </c>
      <c r="N73" s="1464">
        <f t="shared" ref="N73:AA73" si="14">SUM(N14,N17,N20,N23,N26,(N36*1000),(N45*1000),(N54*1000))</f>
        <v>221.26886666666661</v>
      </c>
      <c r="O73" s="1464">
        <f t="shared" si="14"/>
        <v>228.92675555555556</v>
      </c>
      <c r="P73" s="1464">
        <f t="shared" si="14"/>
        <v>236.58464444444445</v>
      </c>
      <c r="Q73" s="1464">
        <f t="shared" si="14"/>
        <v>243.79808888888888</v>
      </c>
      <c r="R73" s="1464">
        <f t="shared" si="14"/>
        <v>1703.8493955555552</v>
      </c>
      <c r="S73" s="1464">
        <f t="shared" si="14"/>
        <v>1472.9035333333334</v>
      </c>
      <c r="T73" s="1464">
        <f t="shared" si="14"/>
        <v>2315.3886440841161</v>
      </c>
      <c r="U73" s="1464">
        <f t="shared" si="14"/>
        <v>2325.6886440841163</v>
      </c>
      <c r="V73" s="1464">
        <f t="shared" si="14"/>
        <v>1926.2034440841164</v>
      </c>
      <c r="W73" s="1464">
        <f t="shared" si="14"/>
        <v>1926.2034440841164</v>
      </c>
      <c r="X73" s="1464">
        <f t="shared" si="14"/>
        <v>1926.2034440841164</v>
      </c>
      <c r="Y73" s="1464">
        <f t="shared" si="14"/>
        <v>1926.2034440841164</v>
      </c>
      <c r="Z73" s="1464">
        <f t="shared" si="14"/>
        <v>1926.2034440841164</v>
      </c>
      <c r="AA73" s="1464">
        <f t="shared" si="14"/>
        <v>1926.2034440841164</v>
      </c>
    </row>
    <row r="74" spans="2:27" ht="14.4" thickBot="1" x14ac:dyDescent="0.3">
      <c r="B74" s="245" t="s">
        <v>1118</v>
      </c>
      <c r="C74" s="48" t="s">
        <v>1116</v>
      </c>
      <c r="D74" s="55" t="s">
        <v>1006</v>
      </c>
      <c r="E74" s="1445" t="s">
        <v>254</v>
      </c>
      <c r="F74" s="287">
        <v>3</v>
      </c>
      <c r="G74" s="1462">
        <f t="shared" ref="G74:L74" si="15">SUM(G72:G73)</f>
        <v>0</v>
      </c>
      <c r="H74" s="1462">
        <f t="shared" si="15"/>
        <v>0</v>
      </c>
      <c r="I74" s="1462">
        <f t="shared" si="15"/>
        <v>0</v>
      </c>
      <c r="J74" s="1462">
        <f t="shared" si="15"/>
        <v>0</v>
      </c>
      <c r="K74" s="1462">
        <f t="shared" si="15"/>
        <v>0</v>
      </c>
      <c r="L74" s="1462">
        <f t="shared" si="15"/>
        <v>0</v>
      </c>
      <c r="M74" s="1462">
        <f t="shared" ref="M74:AA74" si="16">SUM(M72:M73)</f>
        <v>7035.1509377155471</v>
      </c>
      <c r="N74" s="1462">
        <f t="shared" si="16"/>
        <v>10103.630638089508</v>
      </c>
      <c r="O74" s="1462">
        <f t="shared" si="16"/>
        <v>7833.9515441682161</v>
      </c>
      <c r="P74" s="1462">
        <f t="shared" si="16"/>
        <v>7911.1077933085389</v>
      </c>
      <c r="Q74" s="1462">
        <f t="shared" si="16"/>
        <v>13697.746438238681</v>
      </c>
      <c r="R74" s="1462">
        <f t="shared" si="16"/>
        <v>74348.970283372153</v>
      </c>
      <c r="S74" s="1462">
        <f t="shared" si="16"/>
        <v>70203.116727888264</v>
      </c>
      <c r="T74" s="1462">
        <f t="shared" si="16"/>
        <v>85143.912321012671</v>
      </c>
      <c r="U74" s="1462">
        <f t="shared" si="16"/>
        <v>109400.7059199488</v>
      </c>
      <c r="V74" s="1462">
        <f t="shared" si="16"/>
        <v>6105.6232959810604</v>
      </c>
      <c r="W74" s="1462">
        <f t="shared" si="16"/>
        <v>4017.8391108747692</v>
      </c>
      <c r="X74" s="1462">
        <f t="shared" si="16"/>
        <v>1926.2034440841164</v>
      </c>
      <c r="Y74" s="1462">
        <f t="shared" si="16"/>
        <v>1926.2034440841164</v>
      </c>
      <c r="Z74" s="1462">
        <f t="shared" si="16"/>
        <v>1926.2034440841164</v>
      </c>
      <c r="AA74" s="1462">
        <f t="shared" si="16"/>
        <v>1926.2034440841164</v>
      </c>
    </row>
    <row r="75" spans="2:27" ht="14.4" thickBot="1" x14ac:dyDescent="0.3">
      <c r="B75" s="246"/>
      <c r="C75" s="247"/>
      <c r="D75" s="57"/>
      <c r="E75" s="248"/>
      <c r="F75" s="249"/>
      <c r="G75" s="258"/>
      <c r="H75" s="258"/>
      <c r="I75" s="258"/>
      <c r="J75" s="258"/>
      <c r="K75" s="258"/>
      <c r="L75" s="258"/>
      <c r="M75" s="258"/>
      <c r="N75" s="258"/>
      <c r="O75" s="258"/>
      <c r="P75" s="258"/>
      <c r="Q75" s="258"/>
      <c r="R75" s="258"/>
      <c r="S75" s="258"/>
      <c r="T75" s="258"/>
      <c r="U75" s="258"/>
      <c r="V75" s="258"/>
      <c r="W75" s="258"/>
      <c r="X75" s="258"/>
      <c r="Y75" s="258"/>
      <c r="Z75" s="258"/>
      <c r="AA75" s="258"/>
    </row>
    <row r="76" spans="2:27" ht="55.8" thickBot="1" x14ac:dyDescent="0.3">
      <c r="B76" s="210" t="s">
        <v>1119</v>
      </c>
      <c r="G76" s="1530" t="s">
        <v>1018</v>
      </c>
      <c r="H76" s="1592"/>
      <c r="I76" s="1592"/>
      <c r="J76" s="1592"/>
      <c r="K76" s="1592"/>
      <c r="L76" s="1592"/>
      <c r="M76" s="1592"/>
      <c r="N76" s="1592"/>
      <c r="O76" s="1592"/>
      <c r="P76" s="1592"/>
      <c r="Q76" s="1531"/>
      <c r="R76" s="1530" t="s">
        <v>1019</v>
      </c>
      <c r="S76" s="1592"/>
      <c r="T76" s="1592"/>
      <c r="U76" s="1592"/>
      <c r="V76" s="1592"/>
      <c r="W76" s="1592"/>
      <c r="X76" s="1592"/>
      <c r="Y76" s="1592"/>
      <c r="Z76" s="1592"/>
      <c r="AA76" s="1531"/>
    </row>
    <row r="77" spans="2:27" ht="42" thickBot="1" x14ac:dyDescent="0.3">
      <c r="B77" s="251" t="s">
        <v>1020</v>
      </c>
      <c r="C77" s="252" t="s">
        <v>1120</v>
      </c>
      <c r="D77" s="252" t="s">
        <v>1003</v>
      </c>
      <c r="E77" s="252" t="s">
        <v>117</v>
      </c>
      <c r="F77" s="253" t="s">
        <v>118</v>
      </c>
      <c r="G77" s="251" t="s">
        <v>119</v>
      </c>
      <c r="H77" s="252" t="s">
        <v>120</v>
      </c>
      <c r="I77" s="252" t="s">
        <v>121</v>
      </c>
      <c r="J77" s="252" t="s">
        <v>122</v>
      </c>
      <c r="K77" s="252" t="s">
        <v>123</v>
      </c>
      <c r="L77" s="252" t="s">
        <v>124</v>
      </c>
      <c r="M77" s="252" t="s">
        <v>125</v>
      </c>
      <c r="N77" s="252" t="s">
        <v>126</v>
      </c>
      <c r="O77" s="252" t="s">
        <v>127</v>
      </c>
      <c r="P77" s="252" t="s">
        <v>128</v>
      </c>
      <c r="Q77" s="253" t="s">
        <v>129</v>
      </c>
      <c r="R77" s="256" t="s">
        <v>1021</v>
      </c>
      <c r="S77" s="254" t="s">
        <v>1022</v>
      </c>
      <c r="T77" s="254" t="s">
        <v>1023</v>
      </c>
      <c r="U77" s="254" t="s">
        <v>1024</v>
      </c>
      <c r="V77" s="254" t="s">
        <v>1025</v>
      </c>
      <c r="W77" s="254" t="s">
        <v>1026</v>
      </c>
      <c r="X77" s="254" t="s">
        <v>1027</v>
      </c>
      <c r="Y77" s="254" t="s">
        <v>1028</v>
      </c>
      <c r="Z77" s="254" t="s">
        <v>1029</v>
      </c>
      <c r="AA77" s="255" t="s">
        <v>1030</v>
      </c>
    </row>
    <row r="78" spans="2:27" x14ac:dyDescent="0.25">
      <c r="B78" s="1129" t="s">
        <v>1121</v>
      </c>
      <c r="C78" s="1130" t="s">
        <v>1122</v>
      </c>
      <c r="D78" s="1131" t="s">
        <v>1123</v>
      </c>
      <c r="E78" s="1132" t="s">
        <v>146</v>
      </c>
      <c r="F78" s="1133">
        <v>2</v>
      </c>
      <c r="G78" s="1467">
        <v>0</v>
      </c>
      <c r="H78" s="1467">
        <v>0</v>
      </c>
      <c r="I78" s="1467">
        <v>0</v>
      </c>
      <c r="J78" s="1467">
        <v>0</v>
      </c>
      <c r="K78" s="1467">
        <v>0</v>
      </c>
      <c r="L78" s="1467">
        <v>0</v>
      </c>
      <c r="M78" s="1467">
        <v>0</v>
      </c>
      <c r="N78" s="1467">
        <v>0</v>
      </c>
      <c r="O78" s="1467">
        <v>0</v>
      </c>
      <c r="P78" s="1467">
        <v>0</v>
      </c>
      <c r="Q78" s="1467">
        <v>0</v>
      </c>
      <c r="R78" s="1467">
        <v>0</v>
      </c>
      <c r="S78" s="1467">
        <v>0</v>
      </c>
      <c r="T78" s="1467">
        <v>0</v>
      </c>
      <c r="U78" s="1467">
        <v>0</v>
      </c>
      <c r="V78" s="1467">
        <v>0</v>
      </c>
      <c r="W78" s="1467">
        <v>0</v>
      </c>
      <c r="X78" s="1467">
        <v>0</v>
      </c>
      <c r="Y78" s="1467">
        <v>0</v>
      </c>
      <c r="Z78" s="1467">
        <v>0</v>
      </c>
      <c r="AA78" s="1467">
        <v>0</v>
      </c>
    </row>
    <row r="79" spans="2:27" x14ac:dyDescent="0.25">
      <c r="B79" s="244" t="s">
        <v>1124</v>
      </c>
      <c r="C79" s="47" t="s">
        <v>1125</v>
      </c>
      <c r="D79" s="53" t="s">
        <v>1123</v>
      </c>
      <c r="E79" s="54" t="s">
        <v>146</v>
      </c>
      <c r="F79" s="286">
        <v>2</v>
      </c>
      <c r="G79" s="1467">
        <f>'5. Options Benefits'!L$7+'5. Options Benefits'!L$10+'5. Options Benefits'!L$11+'5. Options Benefits'!L$12+'5. Options Benefits'!L$14+'5. Options Benefits'!L$15+'5. Options Benefits'!L$16+'5. Options Benefits'!L$17+'5. Options Benefits'!L$18+'5. Options Benefits'!L$19+'5. Options Benefits'!L$20</f>
        <v>0</v>
      </c>
      <c r="H79" s="1467">
        <f>'5. Options Benefits'!M$7+'5. Options Benefits'!M$10+'5. Options Benefits'!M$11+'5. Options Benefits'!M$12+'5. Options Benefits'!M$14+'5. Options Benefits'!M$15+'5. Options Benefits'!M$16+'5. Options Benefits'!M$17+'5. Options Benefits'!M$18+'5. Options Benefits'!M$19+'5. Options Benefits'!M$20</f>
        <v>0</v>
      </c>
      <c r="I79" s="1467">
        <f>'5. Options Benefits'!N$7+'5. Options Benefits'!N$10+'5. Options Benefits'!N$11+'5. Options Benefits'!N$12+'5. Options Benefits'!N$14+'5. Options Benefits'!N$15+'5. Options Benefits'!N$16+'5. Options Benefits'!N$17+'5. Options Benefits'!N$18+'5. Options Benefits'!N$19+'5. Options Benefits'!N$20</f>
        <v>0</v>
      </c>
      <c r="J79" s="1467">
        <f>'5. Options Benefits'!O$7+'5. Options Benefits'!O$10+'5. Options Benefits'!O$11+'5. Options Benefits'!O$12+'5. Options Benefits'!O$14+'5. Options Benefits'!O$15+'5. Options Benefits'!O$16+'5. Options Benefits'!O$17+'5. Options Benefits'!O$18+'5. Options Benefits'!O$19+'5. Options Benefits'!O$20</f>
        <v>0</v>
      </c>
      <c r="K79" s="1467">
        <f>'5. Options Benefits'!P$7+'5. Options Benefits'!P$10+'5. Options Benefits'!P$11+'5. Options Benefits'!P$12+'5. Options Benefits'!P$14+'5. Options Benefits'!P$15+'5. Options Benefits'!P$16+'5. Options Benefits'!P$17+'5. Options Benefits'!P$18+'5. Options Benefits'!P$19+'5. Options Benefits'!P$20</f>
        <v>0</v>
      </c>
      <c r="L79" s="1488">
        <f>'5. Options Benefits'!Q$7+'5. Options Benefits'!Q$10+'5. Options Benefits'!Q$11+'5. Options Benefits'!Q$12+'5. Options Benefits'!Q$14+'5. Options Benefits'!Q$15+'5. Options Benefits'!Q$16+'5. Options Benefits'!Q$17</f>
        <v>0</v>
      </c>
      <c r="M79" s="1488">
        <f>'5. Options Benefits'!R$7+'5. Options Benefits'!R$10+'5. Options Benefits'!R$11+'5. Options Benefits'!R$12+'5. Options Benefits'!R$14+'5. Options Benefits'!R$15+'5. Options Benefits'!R$16+'5. Options Benefits'!R$17</f>
        <v>5.2531736453847407E-2</v>
      </c>
      <c r="N79" s="1488">
        <f>'5. Options Benefits'!S$7+'5. Options Benefits'!S$10+'5. Options Benefits'!S$11+'5. Options Benefits'!S$12+'5. Options Benefits'!S$14+'5. Options Benefits'!S$15+'5. Options Benefits'!S$16+'5. Options Benefits'!S$17</f>
        <v>0.929057269800319</v>
      </c>
      <c r="O79" s="1488">
        <f>'5. Options Benefits'!T$7+'5. Options Benefits'!T$10+'5. Options Benefits'!T$11+'5. Options Benefits'!T$12+'5. Options Benefits'!T$14+'5. Options Benefits'!T$15+'5. Options Benefits'!T$16+'5. Options Benefits'!T$17</f>
        <v>1.8136271114794573</v>
      </c>
      <c r="P79" s="1488">
        <f>'5. Options Benefits'!U$7+'5. Options Benefits'!U$10+'5. Options Benefits'!U$11+'5. Options Benefits'!U$12+'5. Options Benefits'!U$14+'5. Options Benefits'!U$15+'5. Options Benefits'!U$16+'5. Options Benefits'!U$17</f>
        <v>2.7087097933881736</v>
      </c>
      <c r="Q79" s="1488">
        <f>'5. Options Benefits'!V$7+'5. Options Benefits'!V$10+'5. Options Benefits'!V$11+'5. Options Benefits'!V$12+'5. Options Benefits'!V$14+'5. Options Benefits'!V$15+'5. Options Benefits'!V$16+'5. Options Benefits'!V$17</f>
        <v>3.6150330561187873</v>
      </c>
      <c r="R79" s="1489">
        <f>('5. Options Benefits'!$AA$7+'5. Options Benefits'!$AA$10+'5. Options Benefits'!$AA$11+'5. Options Benefits'!$AA$12+'5. Options Benefits'!$AA$14+'5. Options Benefits'!$AA$15+'5. Options Benefits'!$AA$16+'5. Options Benefits'!$AA$17)-TBL8e_Supply_Demand_Benefit3743[[#This Row],[2029-30]]</f>
        <v>12.956288280094004</v>
      </c>
      <c r="S79" s="1489">
        <f>('5. Options Benefits'!$AF$7+'5. Options Benefits'!$AF$10+'5. Options Benefits'!$AF$11+'5. Options Benefits'!$AF$12+'5. Options Benefits'!$AF$14+'5. Options Benefits'!$AF$15+'5. Options Benefits'!$AF$16+'5. Options Benefits'!$AF$17)-TBL8e_Supply_Demand_Benefit3743[[#This Row],[2030-31 
to 
2034-35]]</f>
        <v>7.6059009977740573</v>
      </c>
      <c r="T79" s="1489">
        <f>('5. Options Benefits'!$AK$7+'5. Options Benefits'!$AK$10+'5. Options Benefits'!$AK$11+'5. Options Benefits'!$AK$12+'5. Options Benefits'!$AK$14+'5. Options Benefits'!$AK$15+'5. Options Benefits'!$AK$16+'5. Options Benefits'!$AK$17)-TBL8e_Supply_Demand_Benefit3743[[#This Row],[2035-36 
to 
2039-40]]</f>
        <v>16.514921111210995</v>
      </c>
      <c r="U79" s="1489">
        <f>('5. Options Benefits'!$AP$7+'5. Options Benefits'!$AP$10+'5. Options Benefits'!$AP$11+'5. Options Benefits'!$AP$12+'5. Options Benefits'!$AP$14+'5. Options Benefits'!$AP$15+'5. Options Benefits'!$AP$16+'5. Options Benefits'!$AP$17)-TBL8e_Supply_Demand_Benefit3743[[#This Row],[2040-41 
to 
2044-45]]</f>
        <v>11.049564260719006</v>
      </c>
      <c r="V79" s="1489">
        <f>('5. Options Benefits'!$AU$7+'5. Options Benefits'!$AU$10+'5. Options Benefits'!$AU$11+'5. Options Benefits'!$AU$12+'5. Options Benefits'!$AU$14+'5. Options Benefits'!$AU$15+'5. Options Benefits'!$AU$16+'5. Options Benefits'!$AU$17)-TBL8e_Supply_Demand_Benefit3743[[#This Row],[2045-46 
to 
2049-50]]</f>
        <v>19.825142060413757</v>
      </c>
      <c r="W79" s="1489">
        <f>('5. Options Benefits'!$AZ$7+'5. Options Benefits'!$AZ$10+'5. Options Benefits'!$AZ$11+'5. Options Benefits'!$AZ$12+'5. Options Benefits'!$AZ$14+'5. Options Benefits'!$AZ$15+'5. Options Benefits'!$AZ$16+'5. Options Benefits'!$AZ$17)-TBL8e_Supply_Demand_Benefit3743[[#This Row],[2050-51 
to 
2054-55]]</f>
        <v>6.6298584197493184</v>
      </c>
      <c r="X79" s="1489">
        <f>TBL8e_Supply_Demand_Benefit3743[[#This Row],[2055-56 
to 
2059-60]]</f>
        <v>6.6298584197493184</v>
      </c>
      <c r="Y79" s="1489">
        <f>TBL8e_Supply_Demand_Benefit3743[[#This Row],[2060-61 
to 
2064-65]]</f>
        <v>6.6298584197493184</v>
      </c>
      <c r="Z79" s="1489">
        <f>TBL8e_Supply_Demand_Benefit3743[[#This Row],[2065-66 
to 
2069-70]]</f>
        <v>6.6298584197493184</v>
      </c>
      <c r="AA79" s="1489">
        <f>TBL8e_Supply_Demand_Benefit3743[[#This Row],[2070-71 
to 
2074-75]]</f>
        <v>6.6298584197493184</v>
      </c>
    </row>
    <row r="80" spans="2:27" x14ac:dyDescent="0.25">
      <c r="B80" s="244" t="s">
        <v>1126</v>
      </c>
      <c r="C80" s="47" t="s">
        <v>1045</v>
      </c>
      <c r="D80" s="53" t="s">
        <v>1123</v>
      </c>
      <c r="E80" s="54" t="s">
        <v>146</v>
      </c>
      <c r="F80" s="286">
        <v>2</v>
      </c>
      <c r="G80" s="1467">
        <f>'5. Options Benefits'!L$6</f>
        <v>0</v>
      </c>
      <c r="H80" s="1467">
        <f>'5. Options Benefits'!M$6</f>
        <v>0</v>
      </c>
      <c r="I80" s="1467">
        <f>'5. Options Benefits'!N$6</f>
        <v>0</v>
      </c>
      <c r="J80" s="1467">
        <f>'5. Options Benefits'!O$6</f>
        <v>0</v>
      </c>
      <c r="K80" s="1467">
        <f>'5. Options Benefits'!P$6</f>
        <v>0</v>
      </c>
      <c r="L80" s="1488">
        <f>'5. Options Benefits'!Q$6</f>
        <v>0</v>
      </c>
      <c r="M80" s="1488">
        <f>'5. Options Benefits'!R$6</f>
        <v>0.11816332519755564</v>
      </c>
      <c r="N80" s="1488">
        <f>'5. Options Benefits'!S$6</f>
        <v>0.76917863108668938</v>
      </c>
      <c r="O80" s="1488">
        <f>'5. Options Benefits'!T$6</f>
        <v>1.451219970315992</v>
      </c>
      <c r="P80" s="1488">
        <f>'5. Options Benefits'!U$6</f>
        <v>1.9302609665400456</v>
      </c>
      <c r="Q80" s="1488">
        <f>'5. Options Benefits'!V$6</f>
        <v>2.3732168856927491</v>
      </c>
      <c r="R80" s="1489">
        <f>(SUM('5. Options Benefits'!$AA$6))-TBL8e_Supply_Demand_Benefit3743[[#This Row],[2029-30]]</f>
        <v>3.4067459732242891</v>
      </c>
      <c r="S80" s="1489">
        <f>(SUM('5. Options Benefits'!$AF$6))-TBL8e_Supply_Demand_Benefit3743[[#This Row],[2030-31 
to 
2034-35]]</f>
        <v>4.2103002559754721</v>
      </c>
      <c r="T80" s="1489">
        <f>(SUM('5. Options Benefits'!$AK$6))-TBL8e_Supply_Demand_Benefit3743[[#This Row],[2035-36 
to 
2039-40]]</f>
        <v>4.4354378039241347</v>
      </c>
      <c r="U80" s="1489">
        <f>(SUM('5. Options Benefits'!$AP$6))-TBL8e_Supply_Demand_Benefit3743[[#This Row],[2040-41 
to 
2044-45]]</f>
        <v>5.4511805512911149</v>
      </c>
      <c r="V80" s="1489">
        <f>U80</f>
        <v>5.4511805512911149</v>
      </c>
      <c r="W80" s="1489">
        <f t="shared" ref="W80:AA80" si="17">V80</f>
        <v>5.4511805512911149</v>
      </c>
      <c r="X80" s="1489">
        <f t="shared" si="17"/>
        <v>5.4511805512911149</v>
      </c>
      <c r="Y80" s="1489">
        <f t="shared" si="17"/>
        <v>5.4511805512911149</v>
      </c>
      <c r="Z80" s="1489">
        <f t="shared" si="17"/>
        <v>5.4511805512911149</v>
      </c>
      <c r="AA80" s="1489">
        <f t="shared" si="17"/>
        <v>5.4511805512911149</v>
      </c>
    </row>
    <row r="81" spans="2:27" x14ac:dyDescent="0.25">
      <c r="B81" s="244" t="s">
        <v>1127</v>
      </c>
      <c r="C81" s="47" t="s">
        <v>1128</v>
      </c>
      <c r="D81" s="53" t="s">
        <v>1123</v>
      </c>
      <c r="E81" s="54" t="s">
        <v>146</v>
      </c>
      <c r="F81" s="286">
        <v>2</v>
      </c>
      <c r="G81" s="1467">
        <v>0</v>
      </c>
      <c r="H81" s="1467">
        <v>0</v>
      </c>
      <c r="I81" s="1467">
        <v>0</v>
      </c>
      <c r="J81" s="1467">
        <v>0</v>
      </c>
      <c r="K81" s="1467">
        <v>0</v>
      </c>
      <c r="L81" s="1467">
        <v>0</v>
      </c>
      <c r="M81" s="1467">
        <v>0</v>
      </c>
      <c r="N81" s="1467">
        <v>0</v>
      </c>
      <c r="O81" s="1467">
        <v>0</v>
      </c>
      <c r="P81" s="1467">
        <v>0</v>
      </c>
      <c r="Q81" s="1467">
        <v>0</v>
      </c>
      <c r="R81" s="1467">
        <v>0</v>
      </c>
      <c r="S81" s="1467">
        <v>0</v>
      </c>
      <c r="T81" s="1467">
        <v>0</v>
      </c>
      <c r="U81" s="1467">
        <v>0</v>
      </c>
      <c r="V81" s="1467">
        <v>0</v>
      </c>
      <c r="W81" s="1467">
        <v>0</v>
      </c>
      <c r="X81" s="1467">
        <v>0</v>
      </c>
      <c r="Y81" s="1467">
        <v>0</v>
      </c>
      <c r="Z81" s="1467">
        <v>0</v>
      </c>
      <c r="AA81" s="1467">
        <v>0</v>
      </c>
    </row>
    <row r="82" spans="2:27" x14ac:dyDescent="0.25">
      <c r="B82" s="244" t="s">
        <v>1129</v>
      </c>
      <c r="C82" s="47" t="s">
        <v>1130</v>
      </c>
      <c r="D82" s="53" t="s">
        <v>1123</v>
      </c>
      <c r="E82" s="54" t="s">
        <v>146</v>
      </c>
      <c r="F82" s="286">
        <v>2</v>
      </c>
      <c r="G82" s="1468">
        <f>SUM(G83:G89)</f>
        <v>0</v>
      </c>
      <c r="H82" s="1468">
        <f t="shared" ref="H82:Z82" si="18">SUM(H83:H89)</f>
        <v>0</v>
      </c>
      <c r="I82" s="1468">
        <f t="shared" si="18"/>
        <v>0</v>
      </c>
      <c r="J82" s="1468">
        <f t="shared" si="18"/>
        <v>0</v>
      </c>
      <c r="K82" s="1468">
        <f t="shared" si="18"/>
        <v>0</v>
      </c>
      <c r="L82" s="1468">
        <f t="shared" si="18"/>
        <v>0</v>
      </c>
      <c r="M82" s="1468">
        <f t="shared" si="18"/>
        <v>0.89738819585268481</v>
      </c>
      <c r="N82" s="1468">
        <f t="shared" si="18"/>
        <v>2.5976841394882149</v>
      </c>
      <c r="O82" s="1468">
        <f t="shared" si="18"/>
        <v>4.3886125127199982</v>
      </c>
      <c r="P82" s="1468">
        <f t="shared" si="18"/>
        <v>6.268248494162405</v>
      </c>
      <c r="Q82" s="1468">
        <f t="shared" si="18"/>
        <v>8.2406228788835296</v>
      </c>
      <c r="R82" s="1468">
        <f t="shared" si="18"/>
        <v>9.1010409570590269</v>
      </c>
      <c r="S82" s="1468">
        <f t="shared" si="18"/>
        <v>19.573040840017484</v>
      </c>
      <c r="T82" s="1468">
        <f t="shared" si="18"/>
        <v>14.891853612882818</v>
      </c>
      <c r="U82" s="1468">
        <f t="shared" si="18"/>
        <v>20.245698074887876</v>
      </c>
      <c r="V82" s="1468">
        <f t="shared" si="18"/>
        <v>9.7999780807734744</v>
      </c>
      <c r="W82" s="1468">
        <f t="shared" si="18"/>
        <v>13.540949883831189</v>
      </c>
      <c r="X82" s="1468">
        <f t="shared" si="18"/>
        <v>5.673554957364642</v>
      </c>
      <c r="Y82" s="1468">
        <f t="shared" si="18"/>
        <v>12.379311979831208</v>
      </c>
      <c r="Z82" s="1468">
        <f t="shared" si="18"/>
        <v>6.1557930449069254</v>
      </c>
      <c r="AA82" s="1468">
        <f>SUM(AA83:AA89)</f>
        <v>12.6359802752568</v>
      </c>
    </row>
    <row r="83" spans="2:27" x14ac:dyDescent="0.25">
      <c r="B83" s="244" t="s">
        <v>1131</v>
      </c>
      <c r="C83" s="47" t="s">
        <v>1132</v>
      </c>
      <c r="D83" s="53" t="s">
        <v>1123</v>
      </c>
      <c r="E83" s="54" t="s">
        <v>146</v>
      </c>
      <c r="F83" s="286">
        <v>2</v>
      </c>
      <c r="G83" s="1467">
        <v>0</v>
      </c>
      <c r="H83" s="1467">
        <v>0</v>
      </c>
      <c r="I83" s="1467">
        <v>0</v>
      </c>
      <c r="J83" s="1467">
        <v>0</v>
      </c>
      <c r="K83" s="1467">
        <v>0</v>
      </c>
      <c r="L83" s="1467">
        <v>0</v>
      </c>
      <c r="M83" s="1467">
        <v>0</v>
      </c>
      <c r="N83" s="1467">
        <v>0</v>
      </c>
      <c r="O83" s="1467">
        <v>0</v>
      </c>
      <c r="P83" s="1467">
        <v>0</v>
      </c>
      <c r="Q83" s="1467">
        <v>0</v>
      </c>
      <c r="R83" s="1467">
        <v>0</v>
      </c>
      <c r="S83" s="1467">
        <v>0</v>
      </c>
      <c r="T83" s="1467">
        <v>0</v>
      </c>
      <c r="U83" s="1467">
        <v>0</v>
      </c>
      <c r="V83" s="1467">
        <v>0</v>
      </c>
      <c r="W83" s="1467">
        <v>0</v>
      </c>
      <c r="X83" s="1467">
        <v>0</v>
      </c>
      <c r="Y83" s="1467">
        <v>0</v>
      </c>
      <c r="Z83" s="1467">
        <v>0</v>
      </c>
      <c r="AA83" s="1467">
        <v>0</v>
      </c>
    </row>
    <row r="84" spans="2:27" x14ac:dyDescent="0.25">
      <c r="B84" s="244" t="s">
        <v>1133</v>
      </c>
      <c r="C84" s="47" t="s">
        <v>1134</v>
      </c>
      <c r="D84" s="53" t="s">
        <v>1123</v>
      </c>
      <c r="E84" s="54" t="s">
        <v>146</v>
      </c>
      <c r="F84" s="286">
        <v>2</v>
      </c>
      <c r="G84" s="1467">
        <v>0</v>
      </c>
      <c r="H84" s="1467">
        <v>0</v>
      </c>
      <c r="I84" s="1467">
        <v>0</v>
      </c>
      <c r="J84" s="1467">
        <v>0</v>
      </c>
      <c r="K84" s="1467">
        <v>0</v>
      </c>
      <c r="L84" s="1467">
        <v>0</v>
      </c>
      <c r="M84" s="1467">
        <v>0</v>
      </c>
      <c r="N84" s="1467">
        <v>0</v>
      </c>
      <c r="O84" s="1467">
        <v>0</v>
      </c>
      <c r="P84" s="1467">
        <v>0</v>
      </c>
      <c r="Q84" s="1467">
        <v>0</v>
      </c>
      <c r="R84" s="1467">
        <v>0</v>
      </c>
      <c r="S84" s="1467">
        <v>0</v>
      </c>
      <c r="T84" s="1467">
        <v>0</v>
      </c>
      <c r="U84" s="1467">
        <v>0</v>
      </c>
      <c r="V84" s="1467">
        <v>0</v>
      </c>
      <c r="W84" s="1467">
        <v>0</v>
      </c>
      <c r="X84" s="1467">
        <v>0</v>
      </c>
      <c r="Y84" s="1467">
        <v>0</v>
      </c>
      <c r="Z84" s="1467">
        <v>0</v>
      </c>
      <c r="AA84" s="1467">
        <v>0</v>
      </c>
    </row>
    <row r="85" spans="2:27" x14ac:dyDescent="0.25">
      <c r="B85" s="244" t="s">
        <v>1135</v>
      </c>
      <c r="C85" s="47" t="s">
        <v>1136</v>
      </c>
      <c r="D85" s="53" t="s">
        <v>1123</v>
      </c>
      <c r="E85" s="54" t="s">
        <v>146</v>
      </c>
      <c r="F85" s="286">
        <v>2</v>
      </c>
      <c r="G85" s="1467">
        <f>'5. Options Benefits'!L$9</f>
        <v>0</v>
      </c>
      <c r="H85" s="1467">
        <f>'5. Options Benefits'!M$9</f>
        <v>0</v>
      </c>
      <c r="I85" s="1467">
        <f>'5. Options Benefits'!N$9</f>
        <v>0</v>
      </c>
      <c r="J85" s="1467">
        <f>'5. Options Benefits'!O$9</f>
        <v>0</v>
      </c>
      <c r="K85" s="1467">
        <f>'5. Options Benefits'!P$9</f>
        <v>0</v>
      </c>
      <c r="L85" s="1488">
        <f>'5. Options Benefits'!Q$9</f>
        <v>0</v>
      </c>
      <c r="M85" s="1488">
        <f>'5. Options Benefits'!R$9</f>
        <v>0.67590083483410013</v>
      </c>
      <c r="N85" s="1488">
        <f>'5. Options Benefits'!S$9</f>
        <v>2.0124677845200307</v>
      </c>
      <c r="O85" s="1488">
        <f>'5. Options Benefits'!T$9</f>
        <v>3.3191775102725867</v>
      </c>
      <c r="P85" s="1488">
        <f>'5. Options Benefits'!U$9</f>
        <v>4.596527597252889</v>
      </c>
      <c r="Q85" s="1488">
        <f>'5. Options Benefits'!V$9</f>
        <v>5.8460874475670472</v>
      </c>
      <c r="R85" s="1489">
        <f>('5. Options Benefits'!$AA$9)-TBL8e_Supply_Demand_Benefit3743[[#This Row],[2029-30]]</f>
        <v>3.7509289151626373</v>
      </c>
      <c r="S85" s="1489">
        <f>('5. Options Benefits'!$AF$9)-TBL8e_Supply_Demand_Benefit3743[[#This Row],[2030-31 
to 
2034-35]]</f>
        <v>8.9727299117876402</v>
      </c>
      <c r="T85" s="1489">
        <f>('5. Options Benefits'!$AK$9)-TBL8e_Supply_Demand_Benefit3743[[#This Row],[2035-36 
to 
2039-40]]</f>
        <v>3.4826907287001259</v>
      </c>
      <c r="U85" s="1489">
        <f>('5. Options Benefits'!$AP$9)-TBL8e_Supply_Demand_Benefit3743[[#This Row],[2040-41 
to 
2044-45]]</f>
        <v>9.5564946498037653</v>
      </c>
      <c r="V85" s="1489">
        <f>('5. Options Benefits'!$AU$9)-TBL8e_Supply_Demand_Benefit3743[[#This Row],[2045-46 
to 
2049-50]]</f>
        <v>4.0714100811989535</v>
      </c>
      <c r="W85" s="1489">
        <f>('5. Options Benefits'!$AZ$9)-TBL8e_Supply_Demand_Benefit3743[[#This Row],[2050-51 
to 
2054-55]]</f>
        <v>9.8560471924234001</v>
      </c>
      <c r="X85" s="1489">
        <f>('5. Options Benefits'!$BE$9)-TBL8e_Supply_Demand_Benefit3743[[#This Row],[2055-56 
to 
2059-60]]</f>
        <v>3.990660825926609</v>
      </c>
      <c r="Y85" s="1489">
        <f>('5. Options Benefits'!$BJ$9)-TBL8e_Supply_Demand_Benefit3743[[#This Row],[2060-61 
to 
2064-65]]</f>
        <v>9.8549652984514857</v>
      </c>
      <c r="Z85" s="1489">
        <f>('5. Options Benefits'!$BO$9)-TBL8e_Supply_Demand_Benefit3743[[#This Row],[2065-66 
to 
2069-70]]</f>
        <v>3.9901594262953619</v>
      </c>
      <c r="AA85" s="1490">
        <f>('5. Options Benefits'!$BT$9)-TBL8e_Supply_Demand_Benefit3743[[#This Row],[2070-71 
to 
2074-75]]</f>
        <v>9.8534054350966134</v>
      </c>
    </row>
    <row r="86" spans="2:27" ht="27.6" x14ac:dyDescent="0.25">
      <c r="B86" s="244" t="s">
        <v>1137</v>
      </c>
      <c r="C86" s="47" t="s">
        <v>1138</v>
      </c>
      <c r="D86" s="53" t="s">
        <v>1123</v>
      </c>
      <c r="E86" s="54" t="s">
        <v>146</v>
      </c>
      <c r="F86" s="286">
        <v>2</v>
      </c>
      <c r="G86" s="1467">
        <v>0</v>
      </c>
      <c r="H86" s="1467">
        <v>0</v>
      </c>
      <c r="I86" s="1467">
        <v>0</v>
      </c>
      <c r="J86" s="1467">
        <v>0</v>
      </c>
      <c r="K86" s="1467">
        <v>0</v>
      </c>
      <c r="L86" s="1467">
        <v>0</v>
      </c>
      <c r="M86" s="1467">
        <v>0</v>
      </c>
      <c r="N86" s="1467">
        <v>0</v>
      </c>
      <c r="O86" s="1467">
        <v>0</v>
      </c>
      <c r="P86" s="1467">
        <v>0</v>
      </c>
      <c r="Q86" s="1467">
        <v>0</v>
      </c>
      <c r="R86" s="1467">
        <v>0</v>
      </c>
      <c r="S86" s="1467">
        <v>0</v>
      </c>
      <c r="T86" s="1467">
        <v>0</v>
      </c>
      <c r="U86" s="1467">
        <v>0</v>
      </c>
      <c r="V86" s="1467">
        <v>0</v>
      </c>
      <c r="W86" s="1467">
        <v>0</v>
      </c>
      <c r="X86" s="1467">
        <v>0</v>
      </c>
      <c r="Y86" s="1467">
        <v>0</v>
      </c>
      <c r="Z86" s="1467">
        <v>0</v>
      </c>
      <c r="AA86" s="1467">
        <v>0</v>
      </c>
    </row>
    <row r="87" spans="2:27" ht="27.6" x14ac:dyDescent="0.25">
      <c r="B87" s="244" t="s">
        <v>1139</v>
      </c>
      <c r="C87" s="47" t="s">
        <v>1140</v>
      </c>
      <c r="D87" s="53" t="s">
        <v>1123</v>
      </c>
      <c r="E87" s="54" t="s">
        <v>146</v>
      </c>
      <c r="F87" s="286">
        <v>2</v>
      </c>
      <c r="G87" s="1467">
        <f>'5. Options Benefits'!L$8</f>
        <v>0</v>
      </c>
      <c r="H87" s="1467">
        <f>'5. Options Benefits'!M$8</f>
        <v>0</v>
      </c>
      <c r="I87" s="1467">
        <f>'5. Options Benefits'!N$8</f>
        <v>0</v>
      </c>
      <c r="J87" s="1467">
        <f>'5. Options Benefits'!O$8</f>
        <v>0</v>
      </c>
      <c r="K87" s="1467">
        <f>'5. Options Benefits'!P$8</f>
        <v>0</v>
      </c>
      <c r="L87" s="1488">
        <f>'5. Options Benefits'!Q$8</f>
        <v>0</v>
      </c>
      <c r="M87" s="1488">
        <f>'5. Options Benefits'!R$8</f>
        <v>0.13666656515766601</v>
      </c>
      <c r="N87" s="1488">
        <f>'5. Options Benefits'!S$8</f>
        <v>0.27007255081391845</v>
      </c>
      <c r="O87" s="1488">
        <f>'5. Options Benefits'!T$8</f>
        <v>0.40308625240248913</v>
      </c>
      <c r="P87" s="1488">
        <f>'5. Options Benefits'!U$8</f>
        <v>0.53409851183187318</v>
      </c>
      <c r="Q87" s="1488">
        <f>'5. Options Benefits'!V$8</f>
        <v>0.66618227039761269</v>
      </c>
      <c r="R87" s="1489">
        <f>('5. Options Benefits'!$AA$8)-TBL8e_Supply_Demand_Benefit3743[[#This Row],[2029-30]]</f>
        <v>0.62777166142440899</v>
      </c>
      <c r="S87" s="1489">
        <f>('5. Options Benefits'!$AF$8)-TBL8e_Supply_Demand_Benefit3743[[#This Row],[2030-31 
to 
2034-35]]</f>
        <v>1.26624937984344</v>
      </c>
      <c r="T87" s="1489">
        <f>('5. Options Benefits'!$AK$8)-TBL8e_Supply_Demand_Benefit3743[[#This Row],[2035-36 
to 
2039-40]]</f>
        <v>0.90994518703753924</v>
      </c>
      <c r="U87" s="1489">
        <f>('5. Options Benefits'!$AP$8)-TBL8e_Supply_Demand_Benefit3743[[#This Row],[2040-41 
to 
2044-45]]</f>
        <v>1.5323301116603059</v>
      </c>
      <c r="V87" s="1489">
        <f>('5. Options Benefits'!$AU$8)-TBL8e_Supply_Demand_Benefit3743[[#This Row],[2045-46 
to 
2049-50]]</f>
        <v>1.1764579120214167</v>
      </c>
      <c r="W87" s="1489">
        <f>('5. Options Benefits'!$AZ$8)-TBL8e_Supply_Demand_Benefit3743[[#This Row],[2050-51 
to 
2054-55]]</f>
        <v>1.7961708872777931</v>
      </c>
      <c r="X87" s="1489">
        <f>('5. Options Benefits'!$BE$8)-TBL8e_Supply_Demand_Benefit3743[[#This Row],[2055-56 
to 
2059-60]]</f>
        <v>1.4388472210960779</v>
      </c>
      <c r="Y87" s="1489">
        <f>('5. Options Benefits'!$BJ$8)-TBL8e_Supply_Demand_Benefit3743[[#This Row],[2060-61 
to 
2064-65]]</f>
        <v>2.0571266868269804</v>
      </c>
      <c r="Z87" s="1489">
        <f>('5. Options Benefits'!$BO$8)-TBL8e_Supply_Demand_Benefit3743[[#This Row],[2065-66 
to 
2069-70]]</f>
        <v>1.6984136240588219</v>
      </c>
      <c r="AA87" s="1490">
        <f>('5. Options Benefits'!$BT$8)-TBL8e_Supply_Demand_Benefit3743[[#This Row],[2070-71 
to 
2074-75]]</f>
        <v>2.3153548456074446</v>
      </c>
    </row>
    <row r="88" spans="2:27" ht="27.6" x14ac:dyDescent="0.25">
      <c r="B88" s="244" t="s">
        <v>1141</v>
      </c>
      <c r="C88" s="47" t="s">
        <v>1142</v>
      </c>
      <c r="D88" s="53" t="s">
        <v>1123</v>
      </c>
      <c r="E88" s="54" t="s">
        <v>146</v>
      </c>
      <c r="F88" s="286">
        <v>2</v>
      </c>
      <c r="G88" s="1467">
        <v>0</v>
      </c>
      <c r="H88" s="1467">
        <v>0</v>
      </c>
      <c r="I88" s="1467">
        <v>0</v>
      </c>
      <c r="J88" s="1467">
        <v>0</v>
      </c>
      <c r="K88" s="1467">
        <v>0</v>
      </c>
      <c r="L88" s="1467">
        <v>0</v>
      </c>
      <c r="M88" s="1467">
        <v>0</v>
      </c>
      <c r="N88" s="1467">
        <v>0</v>
      </c>
      <c r="O88" s="1467">
        <v>0</v>
      </c>
      <c r="P88" s="1467">
        <v>0</v>
      </c>
      <c r="Q88" s="1467">
        <v>0</v>
      </c>
      <c r="R88" s="1467">
        <v>0</v>
      </c>
      <c r="S88" s="1467">
        <v>0</v>
      </c>
      <c r="T88" s="1467">
        <v>0</v>
      </c>
      <c r="U88" s="1467">
        <v>0</v>
      </c>
      <c r="V88" s="1467">
        <v>0</v>
      </c>
      <c r="W88" s="1467">
        <v>0</v>
      </c>
      <c r="X88" s="1467">
        <v>0</v>
      </c>
      <c r="Y88" s="1467">
        <v>0</v>
      </c>
      <c r="Z88" s="1467">
        <v>0</v>
      </c>
      <c r="AA88" s="1467">
        <v>0</v>
      </c>
    </row>
    <row r="89" spans="2:27" ht="28.2" thickBot="1" x14ac:dyDescent="0.3">
      <c r="B89" s="245" t="s">
        <v>1143</v>
      </c>
      <c r="C89" s="48" t="s">
        <v>1144</v>
      </c>
      <c r="D89" s="55" t="s">
        <v>1123</v>
      </c>
      <c r="E89" s="56" t="s">
        <v>146</v>
      </c>
      <c r="F89" s="287">
        <v>2</v>
      </c>
      <c r="G89" s="1467">
        <f>'5. Options Benefits'!L$13</f>
        <v>0</v>
      </c>
      <c r="H89" s="1467">
        <f>'5. Options Benefits'!M$13</f>
        <v>0</v>
      </c>
      <c r="I89" s="1467">
        <f>'5. Options Benefits'!N$13</f>
        <v>0</v>
      </c>
      <c r="J89" s="1467">
        <f>'5. Options Benefits'!O$13</f>
        <v>0</v>
      </c>
      <c r="K89" s="1467">
        <f>'5. Options Benefits'!P$13</f>
        <v>0</v>
      </c>
      <c r="L89" s="1488">
        <f>'5. Options Benefits'!Q$13</f>
        <v>0</v>
      </c>
      <c r="M89" s="1488">
        <f>'5. Options Benefits'!R$13</f>
        <v>8.4820795860918591E-2</v>
      </c>
      <c r="N89" s="1488">
        <f>'5. Options Benefits'!S$13</f>
        <v>0.31514380415426557</v>
      </c>
      <c r="O89" s="1488">
        <f>'5. Options Benefits'!T$13</f>
        <v>0.66634875004492211</v>
      </c>
      <c r="P89" s="1488">
        <f>'5. Options Benefits'!U$13</f>
        <v>1.1376223850776428</v>
      </c>
      <c r="Q89" s="1488">
        <f>'5. Options Benefits'!V$13</f>
        <v>1.7283531609188691</v>
      </c>
      <c r="R89" s="1489">
        <f>('5. Options Benefits'!$AA$13)-TBL8e_Supply_Demand_Benefit3743[[#This Row],[2029-30]]</f>
        <v>4.7223403804719801</v>
      </c>
      <c r="S89" s="1489">
        <f>('5. Options Benefits'!$AF$13)-TBL8e_Supply_Demand_Benefit3743[[#This Row],[2030-31 
to 
2034-35]]</f>
        <v>9.3340615483864013</v>
      </c>
      <c r="T89" s="1489">
        <f>('5. Options Benefits'!$AK$13)-TBL8e_Supply_Demand_Benefit3743[[#This Row],[2035-36 
to 
2039-40]]</f>
        <v>10.499217697145152</v>
      </c>
      <c r="U89" s="1489">
        <f>('5. Options Benefits'!$AP$13)-TBL8e_Supply_Demand_Benefit3743[[#This Row],[2040-41 
to 
2044-45]]</f>
        <v>9.1568733134238052</v>
      </c>
      <c r="V89" s="1489">
        <f>('5. Options Benefits'!$AU$13)-TBL8e_Supply_Demand_Benefit3743[[#This Row],[2045-46 
to 
2049-50]]</f>
        <v>4.5521100875531051</v>
      </c>
      <c r="W89" s="1489">
        <f>('5. Options Benefits'!$AZ$13)-TBL8e_Supply_Demand_Benefit3743[[#This Row],[2050-51 
to 
2054-55]]</f>
        <v>1.8887318041299963</v>
      </c>
      <c r="X89" s="1489">
        <f>('5. Options Benefits'!$BE$13)-TBL8e_Supply_Demand_Benefit3743[[#This Row],[2055-56 
to 
2059-60]]</f>
        <v>0.24404691034195558</v>
      </c>
      <c r="Y89" s="1489">
        <f>('5. Options Benefits'!$BJ$13)-TBL8e_Supply_Demand_Benefit3743[[#This Row],[2060-61 
to 
2064-65]]</f>
        <v>0.46721999455274188</v>
      </c>
      <c r="Z89" s="1489">
        <f>TBL8e_Supply_Demand_Benefit3743[[#This Row],[2065-66 
to 
2069-70]]</f>
        <v>0.46721999455274188</v>
      </c>
      <c r="AA89" s="1489">
        <f>TBL8e_Supply_Demand_Benefit3743[[#This Row],[2070-71 
to 
2074-75]]</f>
        <v>0.46721999455274188</v>
      </c>
    </row>
    <row r="90" spans="2:27" ht="14.4" thickBot="1" x14ac:dyDescent="0.3">
      <c r="B90" s="246"/>
      <c r="C90" s="247"/>
      <c r="D90" s="57"/>
      <c r="E90" s="248"/>
      <c r="F90" s="249"/>
      <c r="G90" s="258"/>
      <c r="H90" s="258"/>
      <c r="I90" s="258"/>
      <c r="J90" s="258"/>
      <c r="K90" s="258"/>
      <c r="L90" s="258"/>
      <c r="M90" s="258"/>
      <c r="N90" s="258"/>
      <c r="O90" s="258"/>
      <c r="P90" s="258"/>
      <c r="Q90" s="258"/>
      <c r="R90" s="258"/>
      <c r="S90" s="258"/>
      <c r="T90" s="258"/>
      <c r="U90" s="258"/>
      <c r="V90" s="258"/>
      <c r="W90" s="258"/>
      <c r="X90" s="258"/>
      <c r="Y90" s="258"/>
      <c r="Z90" s="258"/>
      <c r="AA90" s="258"/>
    </row>
    <row r="91" spans="2:27" ht="55.8" thickBot="1" x14ac:dyDescent="0.3">
      <c r="B91" s="210" t="s">
        <v>1145</v>
      </c>
      <c r="G91" s="1530" t="s">
        <v>1018</v>
      </c>
      <c r="H91" s="1592"/>
      <c r="I91" s="1592"/>
      <c r="J91" s="1592"/>
      <c r="K91" s="1592"/>
      <c r="L91" s="1592"/>
      <c r="M91" s="1592"/>
      <c r="N91" s="1592"/>
      <c r="O91" s="1592"/>
      <c r="P91" s="1592"/>
      <c r="Q91" s="1531"/>
      <c r="R91" s="1530" t="s">
        <v>1019</v>
      </c>
      <c r="S91" s="1592"/>
      <c r="T91" s="1592"/>
      <c r="U91" s="1592"/>
      <c r="V91" s="1592"/>
      <c r="W91" s="1592"/>
      <c r="X91" s="1592"/>
      <c r="Y91" s="1592"/>
      <c r="Z91" s="1592"/>
      <c r="AA91" s="1531"/>
    </row>
    <row r="92" spans="2:27" ht="42" thickBot="1" x14ac:dyDescent="0.3">
      <c r="B92" s="251" t="s">
        <v>1020</v>
      </c>
      <c r="C92" s="252" t="s">
        <v>1002</v>
      </c>
      <c r="D92" s="252" t="s">
        <v>1003</v>
      </c>
      <c r="E92" s="252" t="s">
        <v>117</v>
      </c>
      <c r="F92" s="253" t="s">
        <v>118</v>
      </c>
      <c r="G92" s="251" t="s">
        <v>119</v>
      </c>
      <c r="H92" s="252" t="s">
        <v>120</v>
      </c>
      <c r="I92" s="252" t="s">
        <v>121</v>
      </c>
      <c r="J92" s="252" t="s">
        <v>122</v>
      </c>
      <c r="K92" s="252" t="s">
        <v>123</v>
      </c>
      <c r="L92" s="252" t="s">
        <v>124</v>
      </c>
      <c r="M92" s="252" t="s">
        <v>125</v>
      </c>
      <c r="N92" s="252" t="s">
        <v>126</v>
      </c>
      <c r="O92" s="252" t="s">
        <v>127</v>
      </c>
      <c r="P92" s="252" t="s">
        <v>128</v>
      </c>
      <c r="Q92" s="253" t="s">
        <v>129</v>
      </c>
      <c r="R92" s="256" t="s">
        <v>1021</v>
      </c>
      <c r="S92" s="254" t="s">
        <v>1022</v>
      </c>
      <c r="T92" s="254" t="s">
        <v>1023</v>
      </c>
      <c r="U92" s="254" t="s">
        <v>1024</v>
      </c>
      <c r="V92" s="254" t="s">
        <v>1025</v>
      </c>
      <c r="W92" s="254" t="s">
        <v>1026</v>
      </c>
      <c r="X92" s="254" t="s">
        <v>1027</v>
      </c>
      <c r="Y92" s="254" t="s">
        <v>1028</v>
      </c>
      <c r="Z92" s="254" t="s">
        <v>1029</v>
      </c>
      <c r="AA92" s="255" t="s">
        <v>1030</v>
      </c>
    </row>
    <row r="93" spans="2:27" x14ac:dyDescent="0.25">
      <c r="B93" s="244" t="s">
        <v>1146</v>
      </c>
      <c r="C93" s="47" t="s">
        <v>1147</v>
      </c>
      <c r="D93" s="53" t="s">
        <v>1006</v>
      </c>
      <c r="E93" s="298" t="s">
        <v>254</v>
      </c>
      <c r="F93" s="286">
        <v>3</v>
      </c>
      <c r="G93" s="1469">
        <v>0</v>
      </c>
      <c r="H93" s="1469">
        <v>0</v>
      </c>
      <c r="I93" s="1469">
        <v>0</v>
      </c>
      <c r="J93" s="1469">
        <v>0</v>
      </c>
      <c r="K93" s="1469">
        <v>0</v>
      </c>
      <c r="L93" s="1491">
        <v>0</v>
      </c>
      <c r="M93" s="1491">
        <v>6394.0414816888151</v>
      </c>
      <c r="N93" s="1491">
        <v>5455.819014941103</v>
      </c>
      <c r="O93" s="1491">
        <v>5526.7169827587659</v>
      </c>
      <c r="P93" s="1491">
        <v>5599.2159207438026</v>
      </c>
      <c r="Q93" s="1491">
        <v>5673.9751367660519</v>
      </c>
      <c r="R93" s="1491">
        <v>29381.429828607255</v>
      </c>
      <c r="S93" s="1491">
        <v>30988.002677195127</v>
      </c>
      <c r="T93" s="1491">
        <v>32523.432456223687</v>
      </c>
      <c r="U93" s="1491">
        <v>33910.843275681873</v>
      </c>
      <c r="V93" s="1491">
        <v>35290.78717333325</v>
      </c>
      <c r="W93" s="1491">
        <v>37106.792485620543</v>
      </c>
      <c r="X93" s="1491">
        <v>38998.461120660431</v>
      </c>
      <c r="Y93" s="1491">
        <v>40961.308755630867</v>
      </c>
      <c r="Z93" s="1491">
        <v>43006.189132890642</v>
      </c>
      <c r="AA93" s="1491">
        <v>45135.230372432219</v>
      </c>
    </row>
    <row r="94" spans="2:27" ht="14.4" thickBot="1" x14ac:dyDescent="0.3">
      <c r="B94" s="244" t="s">
        <v>1148</v>
      </c>
      <c r="C94" s="48" t="s">
        <v>1149</v>
      </c>
      <c r="D94" s="55" t="s">
        <v>1006</v>
      </c>
      <c r="E94" s="1445" t="s">
        <v>254</v>
      </c>
      <c r="F94" s="287">
        <v>3</v>
      </c>
      <c r="G94" s="1469">
        <v>0</v>
      </c>
      <c r="H94" s="1469">
        <v>0</v>
      </c>
      <c r="I94" s="1469">
        <v>0</v>
      </c>
      <c r="J94" s="1469">
        <v>0</v>
      </c>
      <c r="K94" s="1469">
        <v>0</v>
      </c>
      <c r="L94" s="1492">
        <v>0</v>
      </c>
      <c r="M94" s="1492">
        <v>3312.4338664009265</v>
      </c>
      <c r="N94" s="1492">
        <v>6499.1708130889228</v>
      </c>
      <c r="O94" s="1492">
        <v>4339.7149421085196</v>
      </c>
      <c r="P94" s="1492">
        <v>4521.8857477667161</v>
      </c>
      <c r="Q94" s="1492">
        <v>10409.233214495454</v>
      </c>
      <c r="R94" s="1491">
        <v>53878.251248640241</v>
      </c>
      <c r="S94" s="1491">
        <v>52222.571164573324</v>
      </c>
      <c r="T94" s="1491">
        <v>71261.975592783041</v>
      </c>
      <c r="U94" s="1491">
        <v>96829.618665920716</v>
      </c>
      <c r="V94" s="1491">
        <v>0</v>
      </c>
      <c r="W94" s="1491">
        <v>0</v>
      </c>
      <c r="X94" s="1491">
        <v>0</v>
      </c>
      <c r="Y94" s="1491">
        <v>0</v>
      </c>
      <c r="Z94" s="1491">
        <v>0</v>
      </c>
      <c r="AA94" s="1491">
        <v>0</v>
      </c>
    </row>
    <row r="95" spans="2:27" x14ac:dyDescent="0.25">
      <c r="B95" s="240"/>
      <c r="C95" s="259"/>
      <c r="D95" s="259"/>
      <c r="E95" s="259"/>
      <c r="F95" s="259"/>
    </row>
    <row r="96" spans="2:27" ht="14.4" thickBot="1" x14ac:dyDescent="0.3"/>
    <row r="97" spans="2:29" ht="28.2" thickBot="1" x14ac:dyDescent="0.3">
      <c r="B97" s="398" t="s">
        <v>57</v>
      </c>
      <c r="C97" s="62">
        <v>0</v>
      </c>
      <c r="D97" s="396" t="s">
        <v>2</v>
      </c>
      <c r="E97" s="395"/>
      <c r="G97" s="1197" t="s">
        <v>56</v>
      </c>
    </row>
    <row r="98" spans="2:29" ht="42" thickBot="1" x14ac:dyDescent="0.3">
      <c r="B98" s="397" t="s">
        <v>111</v>
      </c>
      <c r="C98" s="1215" t="s">
        <v>1150</v>
      </c>
      <c r="D98" s="391" t="s">
        <v>1016</v>
      </c>
      <c r="E98" s="392" t="s">
        <v>760</v>
      </c>
    </row>
    <row r="99" spans="2:29" ht="14.4" thickBot="1" x14ac:dyDescent="0.3"/>
    <row r="100" spans="2:29" ht="55.8" thickBot="1" x14ac:dyDescent="0.3">
      <c r="B100" s="210" t="s">
        <v>1017</v>
      </c>
      <c r="G100" s="1530" t="s">
        <v>1018</v>
      </c>
      <c r="H100" s="1592"/>
      <c r="I100" s="1592"/>
      <c r="J100" s="1592"/>
      <c r="K100" s="1592"/>
      <c r="L100" s="1592"/>
      <c r="M100" s="1592"/>
      <c r="N100" s="1592"/>
      <c r="O100" s="1592"/>
      <c r="P100" s="1592"/>
      <c r="Q100" s="1531"/>
      <c r="R100" s="1530" t="s">
        <v>1019</v>
      </c>
      <c r="S100" s="1592"/>
      <c r="T100" s="1592"/>
      <c r="U100" s="1592"/>
      <c r="V100" s="1592"/>
      <c r="W100" s="1592"/>
      <c r="X100" s="1592"/>
      <c r="Y100" s="1592"/>
      <c r="Z100" s="1592"/>
      <c r="AA100" s="1531"/>
    </row>
    <row r="101" spans="2:29" ht="42" thickBot="1" x14ac:dyDescent="0.3">
      <c r="B101" s="251" t="s">
        <v>1020</v>
      </c>
      <c r="C101" s="252" t="s">
        <v>1002</v>
      </c>
      <c r="D101" s="252" t="s">
        <v>1003</v>
      </c>
      <c r="E101" s="252" t="s">
        <v>117</v>
      </c>
      <c r="F101" s="253" t="s">
        <v>118</v>
      </c>
      <c r="G101" s="251" t="s">
        <v>119</v>
      </c>
      <c r="H101" s="252" t="s">
        <v>120</v>
      </c>
      <c r="I101" s="252" t="s">
        <v>121</v>
      </c>
      <c r="J101" s="252" t="s">
        <v>122</v>
      </c>
      <c r="K101" s="252" t="s">
        <v>123</v>
      </c>
      <c r="L101" s="252" t="s">
        <v>124</v>
      </c>
      <c r="M101" s="252" t="s">
        <v>125</v>
      </c>
      <c r="N101" s="252" t="s">
        <v>126</v>
      </c>
      <c r="O101" s="252" t="s">
        <v>127</v>
      </c>
      <c r="P101" s="252" t="s">
        <v>128</v>
      </c>
      <c r="Q101" s="253" t="s">
        <v>129</v>
      </c>
      <c r="R101" s="256" t="s">
        <v>1021</v>
      </c>
      <c r="S101" s="254" t="s">
        <v>1022</v>
      </c>
      <c r="T101" s="254" t="s">
        <v>1023</v>
      </c>
      <c r="U101" s="254" t="s">
        <v>1024</v>
      </c>
      <c r="V101" s="254" t="s">
        <v>1025</v>
      </c>
      <c r="W101" s="254" t="s">
        <v>1026</v>
      </c>
      <c r="X101" s="254" t="s">
        <v>1027</v>
      </c>
      <c r="Y101" s="254" t="s">
        <v>1028</v>
      </c>
      <c r="Z101" s="254" t="s">
        <v>1029</v>
      </c>
      <c r="AA101" s="255" t="s">
        <v>1030</v>
      </c>
    </row>
    <row r="102" spans="2:29" x14ac:dyDescent="0.25">
      <c r="B102" s="250" t="s">
        <v>1031</v>
      </c>
      <c r="C102" s="241" t="s">
        <v>1005</v>
      </c>
      <c r="D102" s="242" t="s">
        <v>1006</v>
      </c>
      <c r="E102" s="1444" t="s">
        <v>254</v>
      </c>
      <c r="F102" s="297">
        <v>3</v>
      </c>
      <c r="G102" s="1460">
        <v>0</v>
      </c>
      <c r="H102" s="1460">
        <v>0</v>
      </c>
      <c r="I102" s="1460">
        <v>0</v>
      </c>
      <c r="J102" s="1460">
        <v>0</v>
      </c>
      <c r="K102" s="1460">
        <v>0</v>
      </c>
      <c r="L102" s="1460">
        <v>0</v>
      </c>
      <c r="M102" s="1484">
        <f>((M160+M161+M162))*1000</f>
        <v>1345.707402518568</v>
      </c>
      <c r="N102" s="1484">
        <f t="shared" ref="N102:AA102" si="19">((N160+N161+N162))*1000</f>
        <v>1345.707402518568</v>
      </c>
      <c r="O102" s="1484">
        <f t="shared" si="19"/>
        <v>1345.707402518568</v>
      </c>
      <c r="P102" s="1484">
        <f t="shared" si="19"/>
        <v>1345.707402518568</v>
      </c>
      <c r="Q102" s="1484">
        <f t="shared" si="19"/>
        <v>1345.707402518568</v>
      </c>
      <c r="R102" s="1484">
        <f t="shared" si="19"/>
        <v>6728.5370125928412</v>
      </c>
      <c r="S102" s="1484">
        <f t="shared" si="19"/>
        <v>6728.5370125928412</v>
      </c>
      <c r="T102" s="1484">
        <f t="shared" si="19"/>
        <v>0</v>
      </c>
      <c r="U102" s="1484">
        <f t="shared" si="19"/>
        <v>0</v>
      </c>
      <c r="V102" s="1484">
        <f t="shared" si="19"/>
        <v>0</v>
      </c>
      <c r="W102" s="1484">
        <f t="shared" si="19"/>
        <v>0</v>
      </c>
      <c r="X102" s="1484">
        <f t="shared" si="19"/>
        <v>0</v>
      </c>
      <c r="Y102" s="1484">
        <f t="shared" si="19"/>
        <v>0</v>
      </c>
      <c r="Z102" s="1484">
        <f t="shared" si="19"/>
        <v>0</v>
      </c>
      <c r="AA102" s="1484">
        <f t="shared" si="19"/>
        <v>0</v>
      </c>
      <c r="AC102" s="1461">
        <v>1000</v>
      </c>
    </row>
    <row r="103" spans="2:29" x14ac:dyDescent="0.25">
      <c r="B103" s="244" t="s">
        <v>1032</v>
      </c>
      <c r="C103" s="47" t="s">
        <v>1008</v>
      </c>
      <c r="D103" s="53" t="s">
        <v>1006</v>
      </c>
      <c r="E103" s="298" t="s">
        <v>254</v>
      </c>
      <c r="F103" s="286">
        <v>3</v>
      </c>
      <c r="G103" s="1460">
        <v>0</v>
      </c>
      <c r="H103" s="1460">
        <v>0</v>
      </c>
      <c r="I103" s="1460">
        <v>0</v>
      </c>
      <c r="J103" s="1460">
        <v>0</v>
      </c>
      <c r="K103" s="1460">
        <v>0</v>
      </c>
      <c r="L103" s="1460">
        <v>0</v>
      </c>
      <c r="M103" s="1460">
        <v>0</v>
      </c>
      <c r="N103" s="1460">
        <v>0</v>
      </c>
      <c r="O103" s="1460">
        <v>0</v>
      </c>
      <c r="P103" s="1460">
        <v>0</v>
      </c>
      <c r="Q103" s="1460">
        <v>0</v>
      </c>
      <c r="R103" s="1460">
        <v>0</v>
      </c>
      <c r="S103" s="1460">
        <v>0</v>
      </c>
      <c r="T103" s="1460">
        <v>0</v>
      </c>
      <c r="U103" s="1460">
        <v>0</v>
      </c>
      <c r="V103" s="1460">
        <v>0</v>
      </c>
      <c r="W103" s="1460">
        <v>0</v>
      </c>
      <c r="X103" s="1460">
        <v>0</v>
      </c>
      <c r="Y103" s="1460">
        <v>0</v>
      </c>
      <c r="Z103" s="1460">
        <v>0</v>
      </c>
      <c r="AA103" s="1460">
        <v>0</v>
      </c>
    </row>
    <row r="104" spans="2:29" ht="14.4" thickBot="1" x14ac:dyDescent="0.3">
      <c r="B104" s="245" t="s">
        <v>1033</v>
      </c>
      <c r="C104" s="48" t="s">
        <v>1034</v>
      </c>
      <c r="D104" s="55" t="s">
        <v>1006</v>
      </c>
      <c r="E104" s="1445" t="s">
        <v>254</v>
      </c>
      <c r="F104" s="287">
        <v>3</v>
      </c>
      <c r="G104" s="1462">
        <f t="shared" ref="G104:L104" si="20">SUM(G102:G103)</f>
        <v>0</v>
      </c>
      <c r="H104" s="1462">
        <f t="shared" si="20"/>
        <v>0</v>
      </c>
      <c r="I104" s="1462">
        <f t="shared" si="20"/>
        <v>0</v>
      </c>
      <c r="J104" s="1462">
        <f t="shared" si="20"/>
        <v>0</v>
      </c>
      <c r="K104" s="1462">
        <f t="shared" si="20"/>
        <v>0</v>
      </c>
      <c r="L104" s="1462">
        <f t="shared" si="20"/>
        <v>0</v>
      </c>
      <c r="M104" s="1462">
        <f>(SUM(M102:M103))</f>
        <v>1345.707402518568</v>
      </c>
      <c r="N104" s="1462">
        <f t="shared" ref="N104:AA104" si="21">(SUM(N102:N103))</f>
        <v>1345.707402518568</v>
      </c>
      <c r="O104" s="1462">
        <f t="shared" si="21"/>
        <v>1345.707402518568</v>
      </c>
      <c r="P104" s="1462">
        <f t="shared" si="21"/>
        <v>1345.707402518568</v>
      </c>
      <c r="Q104" s="1462">
        <f t="shared" si="21"/>
        <v>1345.707402518568</v>
      </c>
      <c r="R104" s="1462">
        <f t="shared" si="21"/>
        <v>6728.5370125928412</v>
      </c>
      <c r="S104" s="1462">
        <f t="shared" si="21"/>
        <v>6728.5370125928412</v>
      </c>
      <c r="T104" s="1462">
        <f t="shared" si="21"/>
        <v>0</v>
      </c>
      <c r="U104" s="1462">
        <f t="shared" si="21"/>
        <v>0</v>
      </c>
      <c r="V104" s="1462">
        <f t="shared" si="21"/>
        <v>0</v>
      </c>
      <c r="W104" s="1462">
        <f t="shared" si="21"/>
        <v>0</v>
      </c>
      <c r="X104" s="1462">
        <f t="shared" si="21"/>
        <v>0</v>
      </c>
      <c r="Y104" s="1462">
        <f t="shared" si="21"/>
        <v>0</v>
      </c>
      <c r="Z104" s="1462">
        <f t="shared" si="21"/>
        <v>0</v>
      </c>
      <c r="AA104" s="1462">
        <f t="shared" si="21"/>
        <v>0</v>
      </c>
    </row>
    <row r="105" spans="2:29" ht="14.4" thickBot="1" x14ac:dyDescent="0.3">
      <c r="B105" s="246"/>
      <c r="C105" s="247"/>
      <c r="D105" s="57"/>
      <c r="E105" s="248"/>
      <c r="F105" s="249"/>
      <c r="G105" s="258"/>
      <c r="H105" s="258"/>
      <c r="I105" s="258"/>
      <c r="J105" s="258"/>
      <c r="K105" s="258"/>
      <c r="L105" s="258"/>
      <c r="M105" s="258"/>
      <c r="N105" s="258"/>
      <c r="O105" s="258"/>
      <c r="P105" s="258"/>
      <c r="Q105" s="258"/>
      <c r="R105" s="258"/>
      <c r="S105" s="258"/>
      <c r="T105" s="258"/>
      <c r="U105" s="258"/>
      <c r="V105" s="258"/>
      <c r="W105" s="258"/>
      <c r="X105" s="258"/>
      <c r="Y105" s="258"/>
      <c r="Z105" s="258"/>
      <c r="AA105" s="258"/>
    </row>
    <row r="106" spans="2:29" ht="69.599999999999994" thickBot="1" x14ac:dyDescent="0.3">
      <c r="B106" s="210" t="s">
        <v>1035</v>
      </c>
      <c r="G106" s="1530" t="s">
        <v>1018</v>
      </c>
      <c r="H106" s="1592"/>
      <c r="I106" s="1592"/>
      <c r="J106" s="1592"/>
      <c r="K106" s="1592"/>
      <c r="L106" s="1592"/>
      <c r="M106" s="1592"/>
      <c r="N106" s="1592"/>
      <c r="O106" s="1592"/>
      <c r="P106" s="1592"/>
      <c r="Q106" s="1531"/>
      <c r="R106" s="1530" t="s">
        <v>1019</v>
      </c>
      <c r="S106" s="1592"/>
      <c r="T106" s="1592"/>
      <c r="U106" s="1592"/>
      <c r="V106" s="1592"/>
      <c r="W106" s="1592"/>
      <c r="X106" s="1592"/>
      <c r="Y106" s="1592"/>
      <c r="Z106" s="1592"/>
      <c r="AA106" s="1531"/>
    </row>
    <row r="107" spans="2:29" ht="42" thickBot="1" x14ac:dyDescent="0.3">
      <c r="B107" s="251" t="s">
        <v>1020</v>
      </c>
      <c r="C107" s="252" t="s">
        <v>1002</v>
      </c>
      <c r="D107" s="252" t="s">
        <v>1003</v>
      </c>
      <c r="E107" s="252" t="s">
        <v>117</v>
      </c>
      <c r="F107" s="253" t="s">
        <v>118</v>
      </c>
      <c r="G107" s="251" t="s">
        <v>119</v>
      </c>
      <c r="H107" s="252" t="s">
        <v>120</v>
      </c>
      <c r="I107" s="252" t="s">
        <v>121</v>
      </c>
      <c r="J107" s="252" t="s">
        <v>122</v>
      </c>
      <c r="K107" s="252" t="s">
        <v>123</v>
      </c>
      <c r="L107" s="252" t="s">
        <v>124</v>
      </c>
      <c r="M107" s="252" t="s">
        <v>125</v>
      </c>
      <c r="N107" s="252" t="s">
        <v>126</v>
      </c>
      <c r="O107" s="252" t="s">
        <v>127</v>
      </c>
      <c r="P107" s="252" t="s">
        <v>128</v>
      </c>
      <c r="Q107" s="253" t="s">
        <v>129</v>
      </c>
      <c r="R107" s="256" t="s">
        <v>1021</v>
      </c>
      <c r="S107" s="254" t="s">
        <v>1022</v>
      </c>
      <c r="T107" s="254" t="s">
        <v>1023</v>
      </c>
      <c r="U107" s="254" t="s">
        <v>1024</v>
      </c>
      <c r="V107" s="254" t="s">
        <v>1025</v>
      </c>
      <c r="W107" s="254" t="s">
        <v>1026</v>
      </c>
      <c r="X107" s="254" t="s">
        <v>1027</v>
      </c>
      <c r="Y107" s="254" t="s">
        <v>1028</v>
      </c>
      <c r="Z107" s="254" t="s">
        <v>1029</v>
      </c>
      <c r="AA107" s="255" t="s">
        <v>1030</v>
      </c>
    </row>
    <row r="108" spans="2:29" x14ac:dyDescent="0.25">
      <c r="B108" s="243" t="s">
        <v>1036</v>
      </c>
      <c r="C108" s="47" t="s">
        <v>1037</v>
      </c>
      <c r="D108" s="53" t="s">
        <v>811</v>
      </c>
      <c r="E108" s="298" t="s">
        <v>254</v>
      </c>
      <c r="F108" s="286">
        <v>3</v>
      </c>
      <c r="G108" s="1463">
        <f>0</f>
        <v>0</v>
      </c>
      <c r="H108" s="1463">
        <f>0</f>
        <v>0</v>
      </c>
      <c r="I108" s="1463">
        <f>0</f>
        <v>0</v>
      </c>
      <c r="J108" s="1463">
        <f>0</f>
        <v>0</v>
      </c>
      <c r="K108" s="1463">
        <f>0</f>
        <v>0</v>
      </c>
      <c r="L108" s="1463">
        <f>0</f>
        <v>0</v>
      </c>
      <c r="M108" s="1463">
        <f>0</f>
        <v>0</v>
      </c>
      <c r="N108" s="1463">
        <f>0</f>
        <v>0</v>
      </c>
      <c r="O108" s="1463">
        <f>0</f>
        <v>0</v>
      </c>
      <c r="P108" s="1463">
        <f>0</f>
        <v>0</v>
      </c>
      <c r="Q108" s="1463">
        <f>0</f>
        <v>0</v>
      </c>
      <c r="R108" s="1463">
        <f>0</f>
        <v>0</v>
      </c>
      <c r="S108" s="1463">
        <f>0</f>
        <v>0</v>
      </c>
      <c r="T108" s="1463">
        <f>0</f>
        <v>0</v>
      </c>
      <c r="U108" s="1463">
        <f>0</f>
        <v>0</v>
      </c>
      <c r="V108" s="1463">
        <f>0</f>
        <v>0</v>
      </c>
      <c r="W108" s="1463">
        <f>0</f>
        <v>0</v>
      </c>
      <c r="X108" s="1463">
        <f>0</f>
        <v>0</v>
      </c>
      <c r="Y108" s="1463">
        <f>0</f>
        <v>0</v>
      </c>
      <c r="Z108" s="1463">
        <f>0</f>
        <v>0</v>
      </c>
      <c r="AA108" s="1463">
        <f>0</f>
        <v>0</v>
      </c>
      <c r="AC108" s="1461">
        <v>1000</v>
      </c>
    </row>
    <row r="109" spans="2:29" x14ac:dyDescent="0.25">
      <c r="B109" s="244" t="s">
        <v>1038</v>
      </c>
      <c r="C109" s="47" t="s">
        <v>1037</v>
      </c>
      <c r="D109" s="53" t="s">
        <v>806</v>
      </c>
      <c r="E109" s="298" t="s">
        <v>254</v>
      </c>
      <c r="F109" s="286">
        <v>3</v>
      </c>
      <c r="G109" s="1463">
        <f>0</f>
        <v>0</v>
      </c>
      <c r="H109" s="1463">
        <f>0</f>
        <v>0</v>
      </c>
      <c r="I109" s="1463">
        <f>0</f>
        <v>0</v>
      </c>
      <c r="J109" s="1463">
        <f>0</f>
        <v>0</v>
      </c>
      <c r="K109" s="1463">
        <f>0</f>
        <v>0</v>
      </c>
      <c r="L109" s="1463">
        <f>0</f>
        <v>0</v>
      </c>
      <c r="M109" s="1463">
        <f>0</f>
        <v>0</v>
      </c>
      <c r="N109" s="1463">
        <f>0</f>
        <v>0</v>
      </c>
      <c r="O109" s="1463">
        <f>0</f>
        <v>0</v>
      </c>
      <c r="P109" s="1463">
        <f>0</f>
        <v>0</v>
      </c>
      <c r="Q109" s="1463">
        <f>0</f>
        <v>0</v>
      </c>
      <c r="R109" s="1463">
        <f>0</f>
        <v>0</v>
      </c>
      <c r="S109" s="1463">
        <f>0</f>
        <v>0</v>
      </c>
      <c r="T109" s="1463">
        <f>0</f>
        <v>0</v>
      </c>
      <c r="U109" s="1463">
        <f>0</f>
        <v>0</v>
      </c>
      <c r="V109" s="1463">
        <f>0</f>
        <v>0</v>
      </c>
      <c r="W109" s="1463">
        <f>0</f>
        <v>0</v>
      </c>
      <c r="X109" s="1463">
        <f>0</f>
        <v>0</v>
      </c>
      <c r="Y109" s="1463">
        <f>0</f>
        <v>0</v>
      </c>
      <c r="Z109" s="1463">
        <f>0</f>
        <v>0</v>
      </c>
      <c r="AA109" s="1463">
        <f>0</f>
        <v>0</v>
      </c>
    </row>
    <row r="110" spans="2:29" x14ac:dyDescent="0.25">
      <c r="B110" s="244" t="s">
        <v>1039</v>
      </c>
      <c r="C110" s="47" t="s">
        <v>1037</v>
      </c>
      <c r="D110" s="53" t="s">
        <v>1006</v>
      </c>
      <c r="E110" s="298" t="s">
        <v>254</v>
      </c>
      <c r="F110" s="286">
        <v>3</v>
      </c>
      <c r="G110" s="1464">
        <f t="shared" ref="G110:L110" si="22">SUM(G108:G109)</f>
        <v>0</v>
      </c>
      <c r="H110" s="1464">
        <f t="shared" si="22"/>
        <v>0</v>
      </c>
      <c r="I110" s="1464">
        <f t="shared" si="22"/>
        <v>0</v>
      </c>
      <c r="J110" s="1464">
        <f t="shared" si="22"/>
        <v>0</v>
      </c>
      <c r="K110" s="1464">
        <f t="shared" si="22"/>
        <v>0</v>
      </c>
      <c r="L110" s="1464">
        <f t="shared" si="22"/>
        <v>0</v>
      </c>
      <c r="M110" s="1464">
        <f>(SUM(M108:M109))</f>
        <v>0</v>
      </c>
      <c r="N110" s="1464">
        <f t="shared" ref="N110:AA110" si="23">(SUM(N108:N109))</f>
        <v>0</v>
      </c>
      <c r="O110" s="1464">
        <f t="shared" si="23"/>
        <v>0</v>
      </c>
      <c r="P110" s="1464">
        <f t="shared" si="23"/>
        <v>0</v>
      </c>
      <c r="Q110" s="1464">
        <f t="shared" si="23"/>
        <v>0</v>
      </c>
      <c r="R110" s="1464">
        <f t="shared" si="23"/>
        <v>0</v>
      </c>
      <c r="S110" s="1464">
        <f t="shared" si="23"/>
        <v>0</v>
      </c>
      <c r="T110" s="1464">
        <f t="shared" si="23"/>
        <v>0</v>
      </c>
      <c r="U110" s="1464">
        <f t="shared" si="23"/>
        <v>0</v>
      </c>
      <c r="V110" s="1464">
        <f t="shared" si="23"/>
        <v>0</v>
      </c>
      <c r="W110" s="1464">
        <f t="shared" si="23"/>
        <v>0</v>
      </c>
      <c r="X110" s="1464">
        <f t="shared" si="23"/>
        <v>0</v>
      </c>
      <c r="Y110" s="1464">
        <f t="shared" si="23"/>
        <v>0</v>
      </c>
      <c r="Z110" s="1464">
        <f t="shared" si="23"/>
        <v>0</v>
      </c>
      <c r="AA110" s="1464">
        <f t="shared" si="23"/>
        <v>0</v>
      </c>
    </row>
    <row r="111" spans="2:29" x14ac:dyDescent="0.25">
      <c r="B111" s="243" t="s">
        <v>1040</v>
      </c>
      <c r="C111" s="47" t="s">
        <v>1041</v>
      </c>
      <c r="D111" s="53" t="s">
        <v>811</v>
      </c>
      <c r="E111" s="298" t="s">
        <v>254</v>
      </c>
      <c r="F111" s="286">
        <v>3</v>
      </c>
      <c r="G111" s="1463">
        <f>0</f>
        <v>0</v>
      </c>
      <c r="H111" s="1463">
        <f>0</f>
        <v>0</v>
      </c>
      <c r="I111" s="1463">
        <f>0</f>
        <v>0</v>
      </c>
      <c r="J111" s="1463">
        <f>0</f>
        <v>0</v>
      </c>
      <c r="K111" s="1463">
        <f>0</f>
        <v>0</v>
      </c>
      <c r="L111" s="1463">
        <f>0</f>
        <v>0</v>
      </c>
      <c r="M111" s="1485">
        <v>77.048940000000002</v>
      </c>
      <c r="N111" s="1485">
        <v>75.430499999999995</v>
      </c>
      <c r="O111" s="1485">
        <v>75.888959999999997</v>
      </c>
      <c r="P111" s="1485">
        <v>76.34742</v>
      </c>
      <c r="Q111" s="1485">
        <v>76.576650000000001</v>
      </c>
      <c r="R111" s="1485">
        <v>5388.983534</v>
      </c>
      <c r="S111" s="1485">
        <v>5201.9921599999998</v>
      </c>
      <c r="T111" s="1485">
        <v>5011.0860199999997</v>
      </c>
      <c r="U111" s="1485">
        <v>5011.0860199999997</v>
      </c>
      <c r="V111" s="1463">
        <f>0</f>
        <v>0</v>
      </c>
      <c r="W111" s="1463">
        <f>0</f>
        <v>0</v>
      </c>
      <c r="X111" s="1463">
        <f>0</f>
        <v>0</v>
      </c>
      <c r="Y111" s="1463">
        <f>0</f>
        <v>0</v>
      </c>
      <c r="Z111" s="1463">
        <f>0</f>
        <v>0</v>
      </c>
      <c r="AA111" s="1463">
        <f>0</f>
        <v>0</v>
      </c>
    </row>
    <row r="112" spans="2:29" x14ac:dyDescent="0.25">
      <c r="B112" s="244" t="s">
        <v>1042</v>
      </c>
      <c r="C112" s="47" t="s">
        <v>1041</v>
      </c>
      <c r="D112" s="53" t="s">
        <v>806</v>
      </c>
      <c r="E112" s="298" t="s">
        <v>254</v>
      </c>
      <c r="F112" s="286">
        <v>3</v>
      </c>
      <c r="G112" s="1463">
        <f>0</f>
        <v>0</v>
      </c>
      <c r="H112" s="1463">
        <f>0</f>
        <v>0</v>
      </c>
      <c r="I112" s="1463">
        <f>0</f>
        <v>0</v>
      </c>
      <c r="J112" s="1463">
        <f>0</f>
        <v>0</v>
      </c>
      <c r="K112" s="1463">
        <f>0</f>
        <v>0</v>
      </c>
      <c r="L112" s="1463">
        <f>0</f>
        <v>0</v>
      </c>
      <c r="M112" s="1485">
        <v>157.3506222222222</v>
      </c>
      <c r="N112" s="1485">
        <v>157.73086666666663</v>
      </c>
      <c r="O112" s="1485">
        <v>158.61975555555557</v>
      </c>
      <c r="P112" s="1485">
        <v>159.50864444444446</v>
      </c>
      <c r="Q112" s="1485">
        <v>159.95308888888889</v>
      </c>
      <c r="R112" s="1485">
        <v>1183.0893955555553</v>
      </c>
      <c r="S112" s="1485">
        <v>782.91853333333336</v>
      </c>
      <c r="T112" s="1485">
        <v>389.1851999999999</v>
      </c>
      <c r="U112" s="1485">
        <v>399.48519999999991</v>
      </c>
      <c r="V112" s="1463">
        <f>0</f>
        <v>0</v>
      </c>
      <c r="W112" s="1463">
        <f>0</f>
        <v>0</v>
      </c>
      <c r="X112" s="1463">
        <f>0</f>
        <v>0</v>
      </c>
      <c r="Y112" s="1463">
        <f>0</f>
        <v>0</v>
      </c>
      <c r="Z112" s="1463">
        <f>0</f>
        <v>0</v>
      </c>
      <c r="AA112" s="1463">
        <f>0</f>
        <v>0</v>
      </c>
    </row>
    <row r="113" spans="2:29" x14ac:dyDescent="0.25">
      <c r="B113" s="244" t="s">
        <v>1043</v>
      </c>
      <c r="C113" s="47" t="s">
        <v>1041</v>
      </c>
      <c r="D113" s="53" t="s">
        <v>1006</v>
      </c>
      <c r="E113" s="298" t="s">
        <v>254</v>
      </c>
      <c r="F113" s="286">
        <v>3</v>
      </c>
      <c r="G113" s="1464">
        <f t="shared" ref="G113:K113" si="24">SUM(G111:G112)</f>
        <v>0</v>
      </c>
      <c r="H113" s="1464">
        <f t="shared" si="24"/>
        <v>0</v>
      </c>
      <c r="I113" s="1464">
        <f t="shared" si="24"/>
        <v>0</v>
      </c>
      <c r="J113" s="1464">
        <f t="shared" si="24"/>
        <v>0</v>
      </c>
      <c r="K113" s="1464">
        <f t="shared" si="24"/>
        <v>0</v>
      </c>
      <c r="L113" s="1464">
        <f t="shared" ref="L113:AA113" si="25">SUM(L111:L112)</f>
        <v>0</v>
      </c>
      <c r="M113" s="1464">
        <f t="shared" si="25"/>
        <v>234.39956222222219</v>
      </c>
      <c r="N113" s="1464">
        <f t="shared" si="25"/>
        <v>233.16136666666662</v>
      </c>
      <c r="O113" s="1464">
        <f t="shared" si="25"/>
        <v>234.50871555555557</v>
      </c>
      <c r="P113" s="1464">
        <f t="shared" si="25"/>
        <v>235.85606444444446</v>
      </c>
      <c r="Q113" s="1464">
        <f t="shared" si="25"/>
        <v>236.52973888888889</v>
      </c>
      <c r="R113" s="1464">
        <f t="shared" si="25"/>
        <v>6572.0729295555557</v>
      </c>
      <c r="S113" s="1464">
        <f t="shared" si="25"/>
        <v>5984.9106933333333</v>
      </c>
      <c r="T113" s="1464">
        <f t="shared" si="25"/>
        <v>5400.2712199999996</v>
      </c>
      <c r="U113" s="1464">
        <f t="shared" si="25"/>
        <v>5410.5712199999998</v>
      </c>
      <c r="V113" s="1464">
        <f t="shared" si="25"/>
        <v>0</v>
      </c>
      <c r="W113" s="1464">
        <f t="shared" si="25"/>
        <v>0</v>
      </c>
      <c r="X113" s="1464">
        <f t="shared" si="25"/>
        <v>0</v>
      </c>
      <c r="Y113" s="1464">
        <f t="shared" si="25"/>
        <v>0</v>
      </c>
      <c r="Z113" s="1464">
        <f t="shared" si="25"/>
        <v>0</v>
      </c>
      <c r="AA113" s="1464">
        <f t="shared" si="25"/>
        <v>0</v>
      </c>
    </row>
    <row r="114" spans="2:29" x14ac:dyDescent="0.25">
      <c r="B114" s="243" t="s">
        <v>1044</v>
      </c>
      <c r="C114" s="47" t="s">
        <v>1045</v>
      </c>
      <c r="D114" s="53" t="s">
        <v>811</v>
      </c>
      <c r="E114" s="298" t="s">
        <v>254</v>
      </c>
      <c r="F114" s="286">
        <v>3</v>
      </c>
      <c r="G114" s="1463">
        <f>0</f>
        <v>0</v>
      </c>
      <c r="H114" s="1463">
        <f>0</f>
        <v>0</v>
      </c>
      <c r="I114" s="1463">
        <f>0</f>
        <v>0</v>
      </c>
      <c r="J114" s="1463">
        <f>0</f>
        <v>0</v>
      </c>
      <c r="K114" s="1463">
        <f>0</f>
        <v>0</v>
      </c>
      <c r="L114" s="1463">
        <f>0</f>
        <v>0</v>
      </c>
      <c r="M114" s="1485">
        <v>3312.433866400926</v>
      </c>
      <c r="N114" s="1485">
        <v>6499.1708130889219</v>
      </c>
      <c r="O114" s="1485">
        <v>4339.7149421085196</v>
      </c>
      <c r="P114" s="1485">
        <v>4521.8857477667143</v>
      </c>
      <c r="Q114" s="1485">
        <v>10409.23321449546</v>
      </c>
      <c r="R114" s="1485">
        <v>53878.251248640256</v>
      </c>
      <c r="S114" s="1485">
        <v>52222.571164573339</v>
      </c>
      <c r="T114" s="1485">
        <v>71261.97559278307</v>
      </c>
      <c r="U114" s="1485">
        <v>96829.618665920643</v>
      </c>
      <c r="V114" s="1463">
        <f>0</f>
        <v>0</v>
      </c>
      <c r="W114" s="1463">
        <f>0</f>
        <v>0</v>
      </c>
      <c r="X114" s="1463">
        <f>0</f>
        <v>0</v>
      </c>
      <c r="Y114" s="1463">
        <f>0</f>
        <v>0</v>
      </c>
      <c r="Z114" s="1463">
        <f>0</f>
        <v>0</v>
      </c>
      <c r="AA114" s="1463">
        <f>0</f>
        <v>0</v>
      </c>
    </row>
    <row r="115" spans="2:29" x14ac:dyDescent="0.25">
      <c r="B115" s="244" t="s">
        <v>1046</v>
      </c>
      <c r="C115" s="47" t="s">
        <v>1045</v>
      </c>
      <c r="D115" s="53" t="s">
        <v>806</v>
      </c>
      <c r="E115" s="298" t="s">
        <v>254</v>
      </c>
      <c r="F115" s="286">
        <v>3</v>
      </c>
      <c r="G115" s="1463">
        <f>0</f>
        <v>0</v>
      </c>
      <c r="H115" s="1463">
        <f>0</f>
        <v>0</v>
      </c>
      <c r="I115" s="1463">
        <f>0</f>
        <v>0</v>
      </c>
      <c r="J115" s="1463">
        <f>0</f>
        <v>0</v>
      </c>
      <c r="K115" s="1463">
        <f>0</f>
        <v>0</v>
      </c>
      <c r="L115" s="1463">
        <f>0</f>
        <v>0</v>
      </c>
      <c r="M115" s="1485">
        <v>0</v>
      </c>
      <c r="N115" s="1485">
        <v>0</v>
      </c>
      <c r="O115" s="1485">
        <v>0</v>
      </c>
      <c r="P115" s="1485">
        <v>0</v>
      </c>
      <c r="Q115" s="1485">
        <v>0</v>
      </c>
      <c r="R115" s="1485">
        <v>0</v>
      </c>
      <c r="S115" s="1485">
        <v>0</v>
      </c>
      <c r="T115" s="1485">
        <v>0</v>
      </c>
      <c r="U115" s="1485">
        <v>0</v>
      </c>
      <c r="V115" s="1463">
        <f>0</f>
        <v>0</v>
      </c>
      <c r="W115" s="1463">
        <f>0</f>
        <v>0</v>
      </c>
      <c r="X115" s="1463">
        <f>0</f>
        <v>0</v>
      </c>
      <c r="Y115" s="1463">
        <f>0</f>
        <v>0</v>
      </c>
      <c r="Z115" s="1463">
        <f>0</f>
        <v>0</v>
      </c>
      <c r="AA115" s="1463">
        <f>0</f>
        <v>0</v>
      </c>
    </row>
    <row r="116" spans="2:29" x14ac:dyDescent="0.25">
      <c r="B116" s="244" t="s">
        <v>1047</v>
      </c>
      <c r="C116" s="47" t="s">
        <v>1045</v>
      </c>
      <c r="D116" s="53" t="s">
        <v>1006</v>
      </c>
      <c r="E116" s="298" t="s">
        <v>254</v>
      </c>
      <c r="F116" s="286">
        <v>3</v>
      </c>
      <c r="G116" s="1464">
        <f t="shared" ref="G116:AA116" si="26">SUM(G114:G115)</f>
        <v>0</v>
      </c>
      <c r="H116" s="1464">
        <f t="shared" si="26"/>
        <v>0</v>
      </c>
      <c r="I116" s="1464">
        <f t="shared" si="26"/>
        <v>0</v>
      </c>
      <c r="J116" s="1464">
        <f t="shared" si="26"/>
        <v>0</v>
      </c>
      <c r="K116" s="1464">
        <f t="shared" si="26"/>
        <v>0</v>
      </c>
      <c r="L116" s="1464">
        <f t="shared" si="26"/>
        <v>0</v>
      </c>
      <c r="M116" s="1464">
        <f t="shared" si="26"/>
        <v>3312.433866400926</v>
      </c>
      <c r="N116" s="1464">
        <f t="shared" si="26"/>
        <v>6499.1708130889219</v>
      </c>
      <c r="O116" s="1464">
        <f t="shared" si="26"/>
        <v>4339.7149421085196</v>
      </c>
      <c r="P116" s="1464">
        <f t="shared" si="26"/>
        <v>4521.8857477667143</v>
      </c>
      <c r="Q116" s="1464">
        <f t="shared" si="26"/>
        <v>10409.23321449546</v>
      </c>
      <c r="R116" s="1464">
        <f t="shared" si="26"/>
        <v>53878.251248640256</v>
      </c>
      <c r="S116" s="1464">
        <f t="shared" si="26"/>
        <v>52222.571164573339</v>
      </c>
      <c r="T116" s="1464">
        <f t="shared" si="26"/>
        <v>71261.97559278307</v>
      </c>
      <c r="U116" s="1464">
        <f t="shared" si="26"/>
        <v>96829.618665920643</v>
      </c>
      <c r="V116" s="1464">
        <f t="shared" si="26"/>
        <v>0</v>
      </c>
      <c r="W116" s="1464">
        <f t="shared" si="26"/>
        <v>0</v>
      </c>
      <c r="X116" s="1464">
        <f t="shared" si="26"/>
        <v>0</v>
      </c>
      <c r="Y116" s="1464">
        <f t="shared" si="26"/>
        <v>0</v>
      </c>
      <c r="Z116" s="1464">
        <f t="shared" si="26"/>
        <v>0</v>
      </c>
      <c r="AA116" s="1464">
        <f t="shared" si="26"/>
        <v>0</v>
      </c>
    </row>
    <row r="117" spans="2:29" x14ac:dyDescent="0.25">
      <c r="B117" s="243" t="s">
        <v>1048</v>
      </c>
      <c r="C117" s="47" t="s">
        <v>1049</v>
      </c>
      <c r="D117" s="53" t="s">
        <v>811</v>
      </c>
      <c r="E117" s="298" t="s">
        <v>254</v>
      </c>
      <c r="F117" s="286">
        <v>3</v>
      </c>
      <c r="G117" s="1463">
        <f>0</f>
        <v>0</v>
      </c>
      <c r="H117" s="1463">
        <f>0</f>
        <v>0</v>
      </c>
      <c r="I117" s="1463">
        <f>0</f>
        <v>0</v>
      </c>
      <c r="J117" s="1463">
        <f>0</f>
        <v>0</v>
      </c>
      <c r="K117" s="1463">
        <f>0</f>
        <v>0</v>
      </c>
      <c r="L117" s="1463">
        <f>0</f>
        <v>0</v>
      </c>
      <c r="M117" s="1463">
        <f>0</f>
        <v>0</v>
      </c>
      <c r="N117" s="1463">
        <f>0</f>
        <v>0</v>
      </c>
      <c r="O117" s="1463">
        <f>0</f>
        <v>0</v>
      </c>
      <c r="P117" s="1463">
        <f>0</f>
        <v>0</v>
      </c>
      <c r="Q117" s="1463">
        <f>0</f>
        <v>0</v>
      </c>
      <c r="R117" s="1463">
        <f>0</f>
        <v>0</v>
      </c>
      <c r="S117" s="1463">
        <f>0</f>
        <v>0</v>
      </c>
      <c r="T117" s="1463">
        <f>0</f>
        <v>0</v>
      </c>
      <c r="U117" s="1463">
        <f>0</f>
        <v>0</v>
      </c>
      <c r="V117" s="1463">
        <f>0</f>
        <v>0</v>
      </c>
      <c r="W117" s="1463">
        <f>0</f>
        <v>0</v>
      </c>
      <c r="X117" s="1463">
        <f>0</f>
        <v>0</v>
      </c>
      <c r="Y117" s="1463">
        <f>0</f>
        <v>0</v>
      </c>
      <c r="Z117" s="1463">
        <f>0</f>
        <v>0</v>
      </c>
      <c r="AA117" s="1463">
        <f>0</f>
        <v>0</v>
      </c>
    </row>
    <row r="118" spans="2:29" x14ac:dyDescent="0.25">
      <c r="B118" s="244" t="s">
        <v>1050</v>
      </c>
      <c r="C118" s="47" t="s">
        <v>1049</v>
      </c>
      <c r="D118" s="53" t="s">
        <v>806</v>
      </c>
      <c r="E118" s="298" t="s">
        <v>254</v>
      </c>
      <c r="F118" s="286">
        <v>3</v>
      </c>
      <c r="G118" s="1463">
        <f>0</f>
        <v>0</v>
      </c>
      <c r="H118" s="1463">
        <f>0</f>
        <v>0</v>
      </c>
      <c r="I118" s="1463">
        <f>0</f>
        <v>0</v>
      </c>
      <c r="J118" s="1463">
        <f>0</f>
        <v>0</v>
      </c>
      <c r="K118" s="1463">
        <f>0</f>
        <v>0</v>
      </c>
      <c r="L118" s="1463">
        <f>0</f>
        <v>0</v>
      </c>
      <c r="M118" s="1463">
        <f>0</f>
        <v>0</v>
      </c>
      <c r="N118" s="1463">
        <f>0</f>
        <v>0</v>
      </c>
      <c r="O118" s="1463">
        <f>0</f>
        <v>0</v>
      </c>
      <c r="P118" s="1463">
        <f>0</f>
        <v>0</v>
      </c>
      <c r="Q118" s="1463">
        <f>0</f>
        <v>0</v>
      </c>
      <c r="R118" s="1463">
        <f>0</f>
        <v>0</v>
      </c>
      <c r="S118" s="1463">
        <f>0</f>
        <v>0</v>
      </c>
      <c r="T118" s="1463">
        <f>0</f>
        <v>0</v>
      </c>
      <c r="U118" s="1463">
        <f>0</f>
        <v>0</v>
      </c>
      <c r="V118" s="1463">
        <f>0</f>
        <v>0</v>
      </c>
      <c r="W118" s="1463">
        <f>0</f>
        <v>0</v>
      </c>
      <c r="X118" s="1463">
        <f>0</f>
        <v>0</v>
      </c>
      <c r="Y118" s="1463">
        <f>0</f>
        <v>0</v>
      </c>
      <c r="Z118" s="1463">
        <f>0</f>
        <v>0</v>
      </c>
      <c r="AA118" s="1463">
        <f>0</f>
        <v>0</v>
      </c>
    </row>
    <row r="119" spans="2:29" x14ac:dyDescent="0.25">
      <c r="B119" s="244" t="s">
        <v>1051</v>
      </c>
      <c r="C119" s="47" t="s">
        <v>1049</v>
      </c>
      <c r="D119" s="53" t="s">
        <v>1006</v>
      </c>
      <c r="E119" s="298" t="s">
        <v>254</v>
      </c>
      <c r="F119" s="286">
        <v>3</v>
      </c>
      <c r="G119" s="1464">
        <f t="shared" ref="G119:AA119" si="27">SUM(G117:G118)</f>
        <v>0</v>
      </c>
      <c r="H119" s="1464">
        <f t="shared" si="27"/>
        <v>0</v>
      </c>
      <c r="I119" s="1464">
        <f t="shared" si="27"/>
        <v>0</v>
      </c>
      <c r="J119" s="1464">
        <f t="shared" si="27"/>
        <v>0</v>
      </c>
      <c r="K119" s="1464">
        <f t="shared" si="27"/>
        <v>0</v>
      </c>
      <c r="L119" s="1464">
        <f t="shared" si="27"/>
        <v>0</v>
      </c>
      <c r="M119" s="1464">
        <f t="shared" si="27"/>
        <v>0</v>
      </c>
      <c r="N119" s="1464">
        <f t="shared" si="27"/>
        <v>0</v>
      </c>
      <c r="O119" s="1464">
        <f t="shared" si="27"/>
        <v>0</v>
      </c>
      <c r="P119" s="1464">
        <f t="shared" si="27"/>
        <v>0</v>
      </c>
      <c r="Q119" s="1464">
        <f t="shared" si="27"/>
        <v>0</v>
      </c>
      <c r="R119" s="1464">
        <f t="shared" si="27"/>
        <v>0</v>
      </c>
      <c r="S119" s="1464">
        <f t="shared" si="27"/>
        <v>0</v>
      </c>
      <c r="T119" s="1464">
        <f t="shared" si="27"/>
        <v>0</v>
      </c>
      <c r="U119" s="1464">
        <f t="shared" si="27"/>
        <v>0</v>
      </c>
      <c r="V119" s="1464">
        <f t="shared" si="27"/>
        <v>0</v>
      </c>
      <c r="W119" s="1464">
        <f t="shared" si="27"/>
        <v>0</v>
      </c>
      <c r="X119" s="1464">
        <f t="shared" si="27"/>
        <v>0</v>
      </c>
      <c r="Y119" s="1464">
        <f t="shared" si="27"/>
        <v>0</v>
      </c>
      <c r="Z119" s="1464">
        <f t="shared" si="27"/>
        <v>0</v>
      </c>
      <c r="AA119" s="1464">
        <f t="shared" si="27"/>
        <v>0</v>
      </c>
    </row>
    <row r="120" spans="2:29" x14ac:dyDescent="0.25">
      <c r="B120" s="243" t="s">
        <v>1052</v>
      </c>
      <c r="C120" s="47" t="s">
        <v>1053</v>
      </c>
      <c r="D120" s="53" t="s">
        <v>811</v>
      </c>
      <c r="E120" s="298" t="s">
        <v>254</v>
      </c>
      <c r="F120" s="286">
        <v>3</v>
      </c>
      <c r="G120" s="1463">
        <f>0</f>
        <v>0</v>
      </c>
      <c r="H120" s="1463">
        <f>0</f>
        <v>0</v>
      </c>
      <c r="I120" s="1463">
        <f>0</f>
        <v>0</v>
      </c>
      <c r="J120" s="1463">
        <f>0</f>
        <v>0</v>
      </c>
      <c r="K120" s="1463">
        <f>0</f>
        <v>0</v>
      </c>
      <c r="L120" s="1463">
        <f>0</f>
        <v>0</v>
      </c>
      <c r="M120" s="1463">
        <f>0</f>
        <v>0</v>
      </c>
      <c r="N120" s="1463">
        <f>0</f>
        <v>0</v>
      </c>
      <c r="O120" s="1463">
        <f>0</f>
        <v>0</v>
      </c>
      <c r="P120" s="1463">
        <f>0</f>
        <v>0</v>
      </c>
      <c r="Q120" s="1463">
        <f>0</f>
        <v>0</v>
      </c>
      <c r="R120" s="1463">
        <f>0</f>
        <v>0</v>
      </c>
      <c r="S120" s="1463">
        <f>0</f>
        <v>0</v>
      </c>
      <c r="T120" s="1463">
        <f>0</f>
        <v>0</v>
      </c>
      <c r="U120" s="1463">
        <f>0</f>
        <v>0</v>
      </c>
      <c r="V120" s="1463">
        <f>0</f>
        <v>0</v>
      </c>
      <c r="W120" s="1463">
        <f>0</f>
        <v>0</v>
      </c>
      <c r="X120" s="1463">
        <f>0</f>
        <v>0</v>
      </c>
      <c r="Y120" s="1463">
        <f>0</f>
        <v>0</v>
      </c>
      <c r="Z120" s="1463">
        <f>0</f>
        <v>0</v>
      </c>
      <c r="AA120" s="1463">
        <f>0</f>
        <v>0</v>
      </c>
    </row>
    <row r="121" spans="2:29" x14ac:dyDescent="0.25">
      <c r="B121" s="244" t="s">
        <v>1054</v>
      </c>
      <c r="C121" s="47" t="s">
        <v>1053</v>
      </c>
      <c r="D121" s="53" t="s">
        <v>806</v>
      </c>
      <c r="E121" s="298" t="s">
        <v>254</v>
      </c>
      <c r="F121" s="286">
        <v>3</v>
      </c>
      <c r="G121" s="1463">
        <f>0</f>
        <v>0</v>
      </c>
      <c r="H121" s="1463">
        <f>0</f>
        <v>0</v>
      </c>
      <c r="I121" s="1463">
        <f>0</f>
        <v>0</v>
      </c>
      <c r="J121" s="1463">
        <f>0</f>
        <v>0</v>
      </c>
      <c r="K121" s="1463">
        <f>0</f>
        <v>0</v>
      </c>
      <c r="L121" s="1463">
        <f>0</f>
        <v>0</v>
      </c>
      <c r="M121" s="1463">
        <f>0</f>
        <v>0</v>
      </c>
      <c r="N121" s="1463">
        <f>0</f>
        <v>0</v>
      </c>
      <c r="O121" s="1463">
        <f>0</f>
        <v>0</v>
      </c>
      <c r="P121" s="1463">
        <f>0</f>
        <v>0</v>
      </c>
      <c r="Q121" s="1463">
        <f>0</f>
        <v>0</v>
      </c>
      <c r="R121" s="1463">
        <f>0</f>
        <v>0</v>
      </c>
      <c r="S121" s="1463">
        <f>0</f>
        <v>0</v>
      </c>
      <c r="T121" s="1463">
        <f>0</f>
        <v>0</v>
      </c>
      <c r="U121" s="1463">
        <f>0</f>
        <v>0</v>
      </c>
      <c r="V121" s="1463">
        <f>0</f>
        <v>0</v>
      </c>
      <c r="W121" s="1463">
        <f>0</f>
        <v>0</v>
      </c>
      <c r="X121" s="1463">
        <f>0</f>
        <v>0</v>
      </c>
      <c r="Y121" s="1463">
        <f>0</f>
        <v>0</v>
      </c>
      <c r="Z121" s="1463">
        <f>0</f>
        <v>0</v>
      </c>
      <c r="AA121" s="1463">
        <f>0</f>
        <v>0</v>
      </c>
    </row>
    <row r="122" spans="2:29" x14ac:dyDescent="0.25">
      <c r="B122" s="244" t="s">
        <v>1055</v>
      </c>
      <c r="C122" s="47" t="s">
        <v>1053</v>
      </c>
      <c r="D122" s="53" t="s">
        <v>1006</v>
      </c>
      <c r="E122" s="298" t="s">
        <v>254</v>
      </c>
      <c r="F122" s="286">
        <v>3</v>
      </c>
      <c r="G122" s="1464">
        <f t="shared" ref="G122:AA122" si="28">SUM(G120:G121)</f>
        <v>0</v>
      </c>
      <c r="H122" s="1464">
        <f t="shared" si="28"/>
        <v>0</v>
      </c>
      <c r="I122" s="1464">
        <f t="shared" si="28"/>
        <v>0</v>
      </c>
      <c r="J122" s="1464">
        <f t="shared" si="28"/>
        <v>0</v>
      </c>
      <c r="K122" s="1464">
        <f t="shared" si="28"/>
        <v>0</v>
      </c>
      <c r="L122" s="1464">
        <f t="shared" si="28"/>
        <v>0</v>
      </c>
      <c r="M122" s="1464">
        <f t="shared" si="28"/>
        <v>0</v>
      </c>
      <c r="N122" s="1464">
        <f t="shared" si="28"/>
        <v>0</v>
      </c>
      <c r="O122" s="1464">
        <f t="shared" si="28"/>
        <v>0</v>
      </c>
      <c r="P122" s="1464">
        <f t="shared" si="28"/>
        <v>0</v>
      </c>
      <c r="Q122" s="1464">
        <f t="shared" si="28"/>
        <v>0</v>
      </c>
      <c r="R122" s="1464">
        <f t="shared" si="28"/>
        <v>0</v>
      </c>
      <c r="S122" s="1464">
        <f t="shared" si="28"/>
        <v>0</v>
      </c>
      <c r="T122" s="1464">
        <f t="shared" si="28"/>
        <v>0</v>
      </c>
      <c r="U122" s="1464">
        <f t="shared" si="28"/>
        <v>0</v>
      </c>
      <c r="V122" s="1464">
        <f t="shared" si="28"/>
        <v>0</v>
      </c>
      <c r="W122" s="1464">
        <f t="shared" si="28"/>
        <v>0</v>
      </c>
      <c r="X122" s="1464">
        <f t="shared" si="28"/>
        <v>0</v>
      </c>
      <c r="Y122" s="1464">
        <f t="shared" si="28"/>
        <v>0</v>
      </c>
      <c r="Z122" s="1464">
        <f t="shared" si="28"/>
        <v>0</v>
      </c>
      <c r="AA122" s="1465">
        <f t="shared" si="28"/>
        <v>0</v>
      </c>
    </row>
    <row r="123" spans="2:29" ht="14.4" thickBot="1" x14ac:dyDescent="0.3">
      <c r="B123" s="245" t="s">
        <v>1056</v>
      </c>
      <c r="C123" s="48" t="s">
        <v>1057</v>
      </c>
      <c r="D123" s="55" t="s">
        <v>1006</v>
      </c>
      <c r="E123" s="1445" t="s">
        <v>254</v>
      </c>
      <c r="F123" s="287">
        <v>3</v>
      </c>
      <c r="G123" s="1462">
        <f t="shared" ref="G123:AA123" si="29">SUM(G122,G119,G116,G113,G110)</f>
        <v>0</v>
      </c>
      <c r="H123" s="1462">
        <f t="shared" si="29"/>
        <v>0</v>
      </c>
      <c r="I123" s="1462">
        <f t="shared" si="29"/>
        <v>0</v>
      </c>
      <c r="J123" s="1462">
        <f t="shared" si="29"/>
        <v>0</v>
      </c>
      <c r="K123" s="1462">
        <f t="shared" si="29"/>
        <v>0</v>
      </c>
      <c r="L123" s="1462">
        <f t="shared" si="29"/>
        <v>0</v>
      </c>
      <c r="M123" s="1462">
        <f t="shared" si="29"/>
        <v>3546.8334286231484</v>
      </c>
      <c r="N123" s="1462">
        <f t="shared" si="29"/>
        <v>6732.3321797555882</v>
      </c>
      <c r="O123" s="1462">
        <f t="shared" si="29"/>
        <v>4574.2236576640753</v>
      </c>
      <c r="P123" s="1462">
        <f t="shared" si="29"/>
        <v>4757.7418122111585</v>
      </c>
      <c r="Q123" s="1462">
        <f t="shared" si="29"/>
        <v>10645.762953384348</v>
      </c>
      <c r="R123" s="1462">
        <f t="shared" si="29"/>
        <v>60450.324178195813</v>
      </c>
      <c r="S123" s="1462">
        <f t="shared" si="29"/>
        <v>58207.48185790667</v>
      </c>
      <c r="T123" s="1462">
        <f t="shared" si="29"/>
        <v>76662.246812783065</v>
      </c>
      <c r="U123" s="1462">
        <f t="shared" si="29"/>
        <v>102240.18988592064</v>
      </c>
      <c r="V123" s="1462">
        <f t="shared" si="29"/>
        <v>0</v>
      </c>
      <c r="W123" s="1462">
        <f t="shared" si="29"/>
        <v>0</v>
      </c>
      <c r="X123" s="1462">
        <f t="shared" si="29"/>
        <v>0</v>
      </c>
      <c r="Y123" s="1462">
        <f t="shared" si="29"/>
        <v>0</v>
      </c>
      <c r="Z123" s="1462">
        <f t="shared" si="29"/>
        <v>0</v>
      </c>
      <c r="AA123" s="1466">
        <f t="shared" si="29"/>
        <v>0</v>
      </c>
    </row>
    <row r="124" spans="2:29" ht="14.4" thickBot="1" x14ac:dyDescent="0.3">
      <c r="B124" s="246"/>
      <c r="C124" s="247"/>
      <c r="D124" s="57"/>
      <c r="E124" s="248"/>
      <c r="F124" s="249"/>
      <c r="G124" s="258"/>
      <c r="H124" s="258"/>
      <c r="I124" s="258"/>
      <c r="J124" s="258"/>
      <c r="K124" s="258"/>
      <c r="L124" s="258"/>
      <c r="M124" s="258"/>
      <c r="N124" s="258"/>
      <c r="O124" s="258"/>
      <c r="P124" s="258"/>
      <c r="Q124" s="258"/>
      <c r="R124" s="258"/>
      <c r="S124" s="258"/>
      <c r="T124" s="258"/>
      <c r="U124" s="258"/>
      <c r="V124" s="258"/>
      <c r="W124" s="258"/>
      <c r="X124" s="258"/>
      <c r="Y124" s="258"/>
      <c r="Z124" s="258"/>
      <c r="AA124" s="258"/>
    </row>
    <row r="125" spans="2:29" ht="55.8" thickBot="1" x14ac:dyDescent="0.3">
      <c r="B125" s="210" t="s">
        <v>1058</v>
      </c>
      <c r="G125" s="1530" t="s">
        <v>1018</v>
      </c>
      <c r="H125" s="1592"/>
      <c r="I125" s="1592"/>
      <c r="J125" s="1592"/>
      <c r="K125" s="1592"/>
      <c r="L125" s="1592"/>
      <c r="M125" s="1592"/>
      <c r="N125" s="1592"/>
      <c r="O125" s="1592"/>
      <c r="P125" s="1592"/>
      <c r="Q125" s="1531"/>
      <c r="R125" s="1530" t="s">
        <v>1019</v>
      </c>
      <c r="S125" s="1592"/>
      <c r="T125" s="1592"/>
      <c r="U125" s="1592"/>
      <c r="V125" s="1592"/>
      <c r="W125" s="1592"/>
      <c r="X125" s="1592"/>
      <c r="Y125" s="1592"/>
      <c r="Z125" s="1592"/>
      <c r="AA125" s="1531"/>
    </row>
    <row r="126" spans="2:29" ht="42" thickBot="1" x14ac:dyDescent="0.3">
      <c r="B126" s="1134" t="s">
        <v>1020</v>
      </c>
      <c r="C126" s="1135" t="s">
        <v>1002</v>
      </c>
      <c r="D126" s="1135" t="s">
        <v>1003</v>
      </c>
      <c r="E126" s="1135" t="s">
        <v>117</v>
      </c>
      <c r="F126" s="1136" t="s">
        <v>118</v>
      </c>
      <c r="G126" s="251" t="s">
        <v>119</v>
      </c>
      <c r="H126" s="252" t="s">
        <v>120</v>
      </c>
      <c r="I126" s="252" t="s">
        <v>121</v>
      </c>
      <c r="J126" s="252" t="s">
        <v>122</v>
      </c>
      <c r="K126" s="252" t="s">
        <v>123</v>
      </c>
      <c r="L126" s="252" t="s">
        <v>124</v>
      </c>
      <c r="M126" s="252" t="s">
        <v>125</v>
      </c>
      <c r="N126" s="252" t="s">
        <v>126</v>
      </c>
      <c r="O126" s="252" t="s">
        <v>127</v>
      </c>
      <c r="P126" s="252" t="s">
        <v>128</v>
      </c>
      <c r="Q126" s="253" t="s">
        <v>129</v>
      </c>
      <c r="R126" s="256" t="s">
        <v>1021</v>
      </c>
      <c r="S126" s="254" t="s">
        <v>1022</v>
      </c>
      <c r="T126" s="254" t="s">
        <v>1023</v>
      </c>
      <c r="U126" s="254" t="s">
        <v>1024</v>
      </c>
      <c r="V126" s="254" t="s">
        <v>1025</v>
      </c>
      <c r="W126" s="254" t="s">
        <v>1026</v>
      </c>
      <c r="X126" s="254" t="s">
        <v>1027</v>
      </c>
      <c r="Y126" s="254" t="s">
        <v>1028</v>
      </c>
      <c r="Z126" s="254" t="s">
        <v>1029</v>
      </c>
      <c r="AA126" s="255" t="s">
        <v>1030</v>
      </c>
    </row>
    <row r="127" spans="2:29" x14ac:dyDescent="0.25">
      <c r="B127" s="1129" t="s">
        <v>1059</v>
      </c>
      <c r="C127" s="1130" t="s">
        <v>1060</v>
      </c>
      <c r="D127" s="1131" t="s">
        <v>811</v>
      </c>
      <c r="E127" s="1137" t="s">
        <v>1061</v>
      </c>
      <c r="F127" s="1133">
        <v>3</v>
      </c>
      <c r="G127" s="1463">
        <v>0</v>
      </c>
      <c r="H127" s="1463">
        <v>0</v>
      </c>
      <c r="I127" s="1463">
        <v>0</v>
      </c>
      <c r="J127" s="1463">
        <v>0</v>
      </c>
      <c r="K127" s="1463">
        <v>0</v>
      </c>
      <c r="L127" s="1463">
        <v>0</v>
      </c>
      <c r="M127" s="1486">
        <v>2.8124329213599184</v>
      </c>
      <c r="N127" s="1486">
        <v>2.6886448706014385</v>
      </c>
      <c r="O127" s="1486">
        <v>2.570305298771661</v>
      </c>
      <c r="P127" s="1486">
        <v>2.4571743933649004</v>
      </c>
      <c r="Q127" s="1486">
        <v>2.3490228971218521</v>
      </c>
      <c r="R127" s="1486">
        <v>10.28230816651393</v>
      </c>
      <c r="S127" s="1486">
        <v>8.2100719313191934</v>
      </c>
      <c r="T127" s="1486">
        <v>6.5554620641454759</v>
      </c>
      <c r="U127" s="1486">
        <v>5.234312589944035</v>
      </c>
      <c r="V127" s="1486">
        <v>4.1794198518969443</v>
      </c>
      <c r="W127" s="1486">
        <v>2.0916356667906526</v>
      </c>
      <c r="X127" s="1486">
        <v>0</v>
      </c>
      <c r="Y127" s="1486">
        <v>0</v>
      </c>
      <c r="Z127" s="1486">
        <v>0</v>
      </c>
      <c r="AA127" s="1486">
        <v>0</v>
      </c>
      <c r="AC127" s="1461">
        <v>1000000</v>
      </c>
    </row>
    <row r="128" spans="2:29" x14ac:dyDescent="0.25">
      <c r="B128" s="244" t="s">
        <v>1062</v>
      </c>
      <c r="C128" s="47" t="s">
        <v>1063</v>
      </c>
      <c r="D128" s="53" t="s">
        <v>811</v>
      </c>
      <c r="E128" s="298" t="s">
        <v>1061</v>
      </c>
      <c r="F128" s="286">
        <v>3</v>
      </c>
      <c r="G128" s="1463">
        <v>0</v>
      </c>
      <c r="H128" s="1463">
        <v>0</v>
      </c>
      <c r="I128" s="1463">
        <v>0</v>
      </c>
      <c r="J128" s="1463">
        <v>0</v>
      </c>
      <c r="K128" s="1463">
        <v>0</v>
      </c>
      <c r="L128" s="1463">
        <v>0</v>
      </c>
      <c r="M128" s="1463">
        <v>0</v>
      </c>
      <c r="N128" s="1463">
        <v>0</v>
      </c>
      <c r="O128" s="1463">
        <v>0</v>
      </c>
      <c r="P128" s="1463">
        <v>0</v>
      </c>
      <c r="Q128" s="1463">
        <v>0</v>
      </c>
      <c r="R128" s="1463">
        <v>0</v>
      </c>
      <c r="S128" s="1463">
        <v>0</v>
      </c>
      <c r="T128" s="1463">
        <v>0</v>
      </c>
      <c r="U128" s="1463">
        <v>0</v>
      </c>
      <c r="V128" s="1463">
        <v>0</v>
      </c>
      <c r="W128" s="1463">
        <v>0</v>
      </c>
      <c r="X128" s="1463">
        <v>0</v>
      </c>
      <c r="Y128" s="1463">
        <v>0</v>
      </c>
      <c r="Z128" s="1463">
        <v>0</v>
      </c>
      <c r="AA128" s="1463">
        <v>0</v>
      </c>
    </row>
    <row r="129" spans="2:27" x14ac:dyDescent="0.25">
      <c r="B129" s="244" t="s">
        <v>1064</v>
      </c>
      <c r="C129" s="47" t="s">
        <v>1065</v>
      </c>
      <c r="D129" s="53" t="s">
        <v>811</v>
      </c>
      <c r="E129" s="298" t="s">
        <v>1061</v>
      </c>
      <c r="F129" s="286">
        <v>3</v>
      </c>
      <c r="G129" s="1463">
        <v>0</v>
      </c>
      <c r="H129" s="1463">
        <v>0</v>
      </c>
      <c r="I129" s="1463">
        <v>0</v>
      </c>
      <c r="J129" s="1463">
        <v>0</v>
      </c>
      <c r="K129" s="1463">
        <v>0</v>
      </c>
      <c r="L129" s="1463">
        <v>0</v>
      </c>
      <c r="M129" s="1463">
        <v>0</v>
      </c>
      <c r="N129" s="1463">
        <v>0</v>
      </c>
      <c r="O129" s="1463">
        <v>0</v>
      </c>
      <c r="P129" s="1463">
        <v>0</v>
      </c>
      <c r="Q129" s="1463">
        <v>0</v>
      </c>
      <c r="R129" s="1463">
        <v>0</v>
      </c>
      <c r="S129" s="1463">
        <v>0</v>
      </c>
      <c r="T129" s="1463">
        <v>0</v>
      </c>
      <c r="U129" s="1463">
        <v>0</v>
      </c>
      <c r="V129" s="1463">
        <v>0</v>
      </c>
      <c r="W129" s="1463">
        <v>0</v>
      </c>
      <c r="X129" s="1463">
        <v>0</v>
      </c>
      <c r="Y129" s="1463">
        <v>0</v>
      </c>
      <c r="Z129" s="1463">
        <v>0</v>
      </c>
      <c r="AA129" s="1463">
        <v>0</v>
      </c>
    </row>
    <row r="130" spans="2:27" x14ac:dyDescent="0.25">
      <c r="B130" s="244" t="s">
        <v>1066</v>
      </c>
      <c r="C130" s="47" t="s">
        <v>1067</v>
      </c>
      <c r="D130" s="53" t="s">
        <v>811</v>
      </c>
      <c r="E130" s="298" t="s">
        <v>1061</v>
      </c>
      <c r="F130" s="286">
        <v>3</v>
      </c>
      <c r="G130" s="1463">
        <v>0</v>
      </c>
      <c r="H130" s="1463">
        <v>0</v>
      </c>
      <c r="I130" s="1463">
        <v>0</v>
      </c>
      <c r="J130" s="1463">
        <v>0</v>
      </c>
      <c r="K130" s="1463">
        <v>0</v>
      </c>
      <c r="L130" s="1463">
        <v>0</v>
      </c>
      <c r="M130" s="1486">
        <v>2.8124329213599184</v>
      </c>
      <c r="N130" s="1486">
        <v>2.6886448706014385</v>
      </c>
      <c r="O130" s="1486">
        <v>2.570305298771661</v>
      </c>
      <c r="P130" s="1486">
        <v>2.4571743933649004</v>
      </c>
      <c r="Q130" s="1486">
        <v>2.3490228971218521</v>
      </c>
      <c r="R130" s="1486">
        <v>10.28230816651393</v>
      </c>
      <c r="S130" s="1486">
        <v>8.2100719313191934</v>
      </c>
      <c r="T130" s="1486">
        <v>6.5554620641454759</v>
      </c>
      <c r="U130" s="1486">
        <v>5.234312589944035</v>
      </c>
      <c r="V130" s="1486">
        <v>4.1794198518969443</v>
      </c>
      <c r="W130" s="1486">
        <v>2.0916356667906526</v>
      </c>
      <c r="X130" s="1486">
        <v>0</v>
      </c>
      <c r="Y130" s="1486">
        <v>0</v>
      </c>
      <c r="Z130" s="1486">
        <v>0</v>
      </c>
      <c r="AA130" s="1486">
        <v>0</v>
      </c>
    </row>
    <row r="131" spans="2:27" x14ac:dyDescent="0.25">
      <c r="B131" s="244" t="s">
        <v>1068</v>
      </c>
      <c r="C131" s="47" t="s">
        <v>1060</v>
      </c>
      <c r="D131" s="53" t="s">
        <v>806</v>
      </c>
      <c r="E131" s="298" t="s">
        <v>1061</v>
      </c>
      <c r="F131" s="286">
        <v>3</v>
      </c>
      <c r="G131" s="1463">
        <v>0</v>
      </c>
      <c r="H131" s="1463">
        <v>0</v>
      </c>
      <c r="I131" s="1463">
        <v>0</v>
      </c>
      <c r="J131" s="1463">
        <v>0</v>
      </c>
      <c r="K131" s="1463">
        <v>0</v>
      </c>
      <c r="L131" s="1463">
        <v>0</v>
      </c>
      <c r="M131" s="1486">
        <v>0</v>
      </c>
      <c r="N131" s="1486">
        <v>0</v>
      </c>
      <c r="O131" s="1486">
        <v>0</v>
      </c>
      <c r="P131" s="1486">
        <v>0</v>
      </c>
      <c r="Q131" s="1486">
        <v>0</v>
      </c>
      <c r="R131" s="1486">
        <v>0</v>
      </c>
      <c r="S131" s="1486">
        <v>0</v>
      </c>
      <c r="T131" s="1486">
        <v>0</v>
      </c>
      <c r="U131" s="1486">
        <v>0</v>
      </c>
      <c r="V131" s="1486">
        <v>0</v>
      </c>
      <c r="W131" s="1486">
        <v>0</v>
      </c>
      <c r="X131" s="1486">
        <v>0</v>
      </c>
      <c r="Y131" s="1486">
        <v>0</v>
      </c>
      <c r="Z131" s="1486">
        <v>0</v>
      </c>
      <c r="AA131" s="1486">
        <v>0</v>
      </c>
    </row>
    <row r="132" spans="2:27" x14ac:dyDescent="0.25">
      <c r="B132" s="244" t="s">
        <v>1069</v>
      </c>
      <c r="C132" s="47" t="s">
        <v>1063</v>
      </c>
      <c r="D132" s="53" t="s">
        <v>806</v>
      </c>
      <c r="E132" s="298" t="s">
        <v>1061</v>
      </c>
      <c r="F132" s="286">
        <v>3</v>
      </c>
      <c r="G132" s="1463">
        <v>0</v>
      </c>
      <c r="H132" s="1463">
        <v>0</v>
      </c>
      <c r="I132" s="1463">
        <v>0</v>
      </c>
      <c r="J132" s="1463">
        <v>0</v>
      </c>
      <c r="K132" s="1463">
        <v>0</v>
      </c>
      <c r="L132" s="1463">
        <v>0</v>
      </c>
      <c r="M132" s="1463">
        <v>0</v>
      </c>
      <c r="N132" s="1463">
        <v>0</v>
      </c>
      <c r="O132" s="1463">
        <v>0</v>
      </c>
      <c r="P132" s="1463">
        <v>0</v>
      </c>
      <c r="Q132" s="1463">
        <v>0</v>
      </c>
      <c r="R132" s="1463">
        <v>0</v>
      </c>
      <c r="S132" s="1463">
        <v>0</v>
      </c>
      <c r="T132" s="1463">
        <v>0</v>
      </c>
      <c r="U132" s="1463">
        <v>0</v>
      </c>
      <c r="V132" s="1463">
        <v>0</v>
      </c>
      <c r="W132" s="1463">
        <v>0</v>
      </c>
      <c r="X132" s="1463">
        <v>0</v>
      </c>
      <c r="Y132" s="1463">
        <v>0</v>
      </c>
      <c r="Z132" s="1463">
        <v>0</v>
      </c>
      <c r="AA132" s="1463">
        <v>0</v>
      </c>
    </row>
    <row r="133" spans="2:27" x14ac:dyDescent="0.25">
      <c r="B133" s="244" t="s">
        <v>1070</v>
      </c>
      <c r="C133" s="47" t="s">
        <v>1065</v>
      </c>
      <c r="D133" s="53" t="s">
        <v>806</v>
      </c>
      <c r="E133" s="298" t="s">
        <v>1061</v>
      </c>
      <c r="F133" s="286">
        <v>3</v>
      </c>
      <c r="G133" s="1463">
        <v>0</v>
      </c>
      <c r="H133" s="1463">
        <v>0</v>
      </c>
      <c r="I133" s="1463">
        <v>0</v>
      </c>
      <c r="J133" s="1463">
        <v>0</v>
      </c>
      <c r="K133" s="1463">
        <v>0</v>
      </c>
      <c r="L133" s="1463">
        <v>0</v>
      </c>
      <c r="M133" s="1463">
        <v>0</v>
      </c>
      <c r="N133" s="1463">
        <v>0</v>
      </c>
      <c r="O133" s="1463">
        <v>0</v>
      </c>
      <c r="P133" s="1463">
        <v>0</v>
      </c>
      <c r="Q133" s="1463">
        <v>0</v>
      </c>
      <c r="R133" s="1463">
        <v>0</v>
      </c>
      <c r="S133" s="1463">
        <v>0</v>
      </c>
      <c r="T133" s="1463">
        <v>0</v>
      </c>
      <c r="U133" s="1463">
        <v>0</v>
      </c>
      <c r="V133" s="1463">
        <v>0</v>
      </c>
      <c r="W133" s="1463">
        <v>0</v>
      </c>
      <c r="X133" s="1463">
        <v>0</v>
      </c>
      <c r="Y133" s="1463">
        <v>0</v>
      </c>
      <c r="Z133" s="1463">
        <v>0</v>
      </c>
      <c r="AA133" s="1463">
        <v>0</v>
      </c>
    </row>
    <row r="134" spans="2:27" x14ac:dyDescent="0.25">
      <c r="B134" s="244" t="s">
        <v>1071</v>
      </c>
      <c r="C134" s="47" t="s">
        <v>1067</v>
      </c>
      <c r="D134" s="53" t="s">
        <v>806</v>
      </c>
      <c r="E134" s="298" t="s">
        <v>1061</v>
      </c>
      <c r="F134" s="286">
        <v>3</v>
      </c>
      <c r="G134" s="1463">
        <v>0</v>
      </c>
      <c r="H134" s="1463">
        <v>0</v>
      </c>
      <c r="I134" s="1463">
        <v>0</v>
      </c>
      <c r="J134" s="1463">
        <v>0</v>
      </c>
      <c r="K134" s="1463">
        <v>0</v>
      </c>
      <c r="L134" s="1463">
        <v>0</v>
      </c>
      <c r="M134" s="1486">
        <v>0</v>
      </c>
      <c r="N134" s="1486">
        <v>0</v>
      </c>
      <c r="O134" s="1486">
        <v>0</v>
      </c>
      <c r="P134" s="1486">
        <v>0</v>
      </c>
      <c r="Q134" s="1486">
        <v>0</v>
      </c>
      <c r="R134" s="1486">
        <v>0</v>
      </c>
      <c r="S134" s="1486">
        <v>0</v>
      </c>
      <c r="T134" s="1486">
        <v>0</v>
      </c>
      <c r="U134" s="1486">
        <v>0</v>
      </c>
      <c r="V134" s="1486">
        <v>0</v>
      </c>
      <c r="W134" s="1486">
        <v>0</v>
      </c>
      <c r="X134" s="1486">
        <v>0</v>
      </c>
      <c r="Y134" s="1486">
        <v>0</v>
      </c>
      <c r="Z134" s="1486">
        <v>0</v>
      </c>
      <c r="AA134" s="1486">
        <v>0</v>
      </c>
    </row>
    <row r="135" spans="2:27" x14ac:dyDescent="0.25">
      <c r="B135" s="244" t="s">
        <v>1072</v>
      </c>
      <c r="C135" s="47" t="s">
        <v>1060</v>
      </c>
      <c r="D135" s="53" t="s">
        <v>1006</v>
      </c>
      <c r="E135" s="298" t="s">
        <v>1061</v>
      </c>
      <c r="F135" s="286">
        <v>3</v>
      </c>
      <c r="G135" s="1464">
        <v>0</v>
      </c>
      <c r="H135" s="1464">
        <v>0</v>
      </c>
      <c r="I135" s="1464">
        <v>0</v>
      </c>
      <c r="J135" s="1464">
        <v>0</v>
      </c>
      <c r="K135" s="1464">
        <v>0</v>
      </c>
      <c r="L135" s="1464">
        <v>0</v>
      </c>
      <c r="M135" s="1464">
        <v>2.8124329213599184</v>
      </c>
      <c r="N135" s="1464">
        <v>2.6886448706014385</v>
      </c>
      <c r="O135" s="1464">
        <v>2.570305298771661</v>
      </c>
      <c r="P135" s="1464">
        <v>2.4571743933649004</v>
      </c>
      <c r="Q135" s="1464">
        <v>2.3490228971218521</v>
      </c>
      <c r="R135" s="1464">
        <v>10.28230816651393</v>
      </c>
      <c r="S135" s="1464">
        <v>8.2100719313191934</v>
      </c>
      <c r="T135" s="1464">
        <v>6.5554620641454759</v>
      </c>
      <c r="U135" s="1464">
        <v>5.234312589944035</v>
      </c>
      <c r="V135" s="1464">
        <v>4.1794198518969443</v>
      </c>
      <c r="W135" s="1464">
        <v>2.0916356667906526</v>
      </c>
      <c r="X135" s="1464">
        <v>0</v>
      </c>
      <c r="Y135" s="1464">
        <v>0</v>
      </c>
      <c r="Z135" s="1464">
        <v>0</v>
      </c>
      <c r="AA135" s="1464">
        <v>0</v>
      </c>
    </row>
    <row r="136" spans="2:27" x14ac:dyDescent="0.25">
      <c r="B136" s="244" t="s">
        <v>1073</v>
      </c>
      <c r="C136" s="47" t="s">
        <v>1074</v>
      </c>
      <c r="D136" s="53" t="s">
        <v>811</v>
      </c>
      <c r="E136" s="298" t="s">
        <v>1061</v>
      </c>
      <c r="F136" s="286">
        <v>3</v>
      </c>
      <c r="G136" s="1463">
        <v>0</v>
      </c>
      <c r="H136" s="1463">
        <v>0</v>
      </c>
      <c r="I136" s="1463">
        <v>0</v>
      </c>
      <c r="J136" s="1463">
        <v>0</v>
      </c>
      <c r="K136" s="1463">
        <v>0</v>
      </c>
      <c r="L136" s="1463">
        <v>0</v>
      </c>
      <c r="M136" s="1486">
        <v>0.38540989891565647</v>
      </c>
      <c r="N136" s="1486">
        <v>0.38540989891565647</v>
      </c>
      <c r="O136" s="1486">
        <v>0.38540989891565647</v>
      </c>
      <c r="P136" s="1486">
        <v>0.38540989891565647</v>
      </c>
      <c r="Q136" s="1486">
        <v>0.38540989891565647</v>
      </c>
      <c r="R136" s="1486">
        <v>1.9270494945782823</v>
      </c>
      <c r="S136" s="1486">
        <v>1.9270494945782823</v>
      </c>
      <c r="T136" s="1486">
        <v>0</v>
      </c>
      <c r="U136" s="1486">
        <v>0</v>
      </c>
      <c r="V136" s="1486">
        <v>0</v>
      </c>
      <c r="W136" s="1486">
        <v>0</v>
      </c>
      <c r="X136" s="1486">
        <v>0</v>
      </c>
      <c r="Y136" s="1486">
        <v>0</v>
      </c>
      <c r="Z136" s="1486">
        <v>0</v>
      </c>
      <c r="AA136" s="1486">
        <v>0</v>
      </c>
    </row>
    <row r="137" spans="2:27" x14ac:dyDescent="0.25">
      <c r="B137" s="244" t="s">
        <v>1075</v>
      </c>
      <c r="C137" s="47" t="s">
        <v>1076</v>
      </c>
      <c r="D137" s="53" t="s">
        <v>811</v>
      </c>
      <c r="E137" s="298" t="s">
        <v>1061</v>
      </c>
      <c r="F137" s="286">
        <v>3</v>
      </c>
      <c r="G137" s="1463">
        <v>0</v>
      </c>
      <c r="H137" s="1463">
        <v>0</v>
      </c>
      <c r="I137" s="1463">
        <v>0</v>
      </c>
      <c r="J137" s="1463">
        <v>0</v>
      </c>
      <c r="K137" s="1463">
        <v>0</v>
      </c>
      <c r="L137" s="1463">
        <v>0</v>
      </c>
      <c r="M137" s="1463">
        <v>0</v>
      </c>
      <c r="N137" s="1463">
        <v>0</v>
      </c>
      <c r="O137" s="1463">
        <v>0</v>
      </c>
      <c r="P137" s="1463">
        <v>0</v>
      </c>
      <c r="Q137" s="1463">
        <v>0</v>
      </c>
      <c r="R137" s="1463">
        <v>0</v>
      </c>
      <c r="S137" s="1463">
        <v>0</v>
      </c>
      <c r="T137" s="1463">
        <v>0</v>
      </c>
      <c r="U137" s="1463">
        <v>0</v>
      </c>
      <c r="V137" s="1463">
        <v>0</v>
      </c>
      <c r="W137" s="1463">
        <v>0</v>
      </c>
      <c r="X137" s="1463">
        <v>0</v>
      </c>
      <c r="Y137" s="1463">
        <v>0</v>
      </c>
      <c r="Z137" s="1463">
        <v>0</v>
      </c>
      <c r="AA137" s="1463">
        <v>0</v>
      </c>
    </row>
    <row r="138" spans="2:27" x14ac:dyDescent="0.25">
      <c r="B138" s="244" t="s">
        <v>1077</v>
      </c>
      <c r="C138" s="47" t="s">
        <v>1078</v>
      </c>
      <c r="D138" s="53" t="s">
        <v>811</v>
      </c>
      <c r="E138" s="298" t="s">
        <v>1061</v>
      </c>
      <c r="F138" s="286">
        <v>3</v>
      </c>
      <c r="G138" s="1463">
        <v>0</v>
      </c>
      <c r="H138" s="1463">
        <v>0</v>
      </c>
      <c r="I138" s="1463">
        <v>0</v>
      </c>
      <c r="J138" s="1463">
        <v>0</v>
      </c>
      <c r="K138" s="1463">
        <v>0</v>
      </c>
      <c r="L138" s="1463">
        <v>0</v>
      </c>
      <c r="M138" s="1463">
        <v>0</v>
      </c>
      <c r="N138" s="1463">
        <v>0</v>
      </c>
      <c r="O138" s="1463">
        <v>0</v>
      </c>
      <c r="P138" s="1463">
        <v>0</v>
      </c>
      <c r="Q138" s="1463">
        <v>0</v>
      </c>
      <c r="R138" s="1463">
        <v>0</v>
      </c>
      <c r="S138" s="1463">
        <v>0</v>
      </c>
      <c r="T138" s="1463">
        <v>0</v>
      </c>
      <c r="U138" s="1463">
        <v>0</v>
      </c>
      <c r="V138" s="1463">
        <v>0</v>
      </c>
      <c r="W138" s="1463">
        <v>0</v>
      </c>
      <c r="X138" s="1463">
        <v>0</v>
      </c>
      <c r="Y138" s="1463">
        <v>0</v>
      </c>
      <c r="Z138" s="1463">
        <v>0</v>
      </c>
      <c r="AA138" s="1463">
        <v>0</v>
      </c>
    </row>
    <row r="139" spans="2:27" x14ac:dyDescent="0.25">
      <c r="B139" s="244" t="s">
        <v>1079</v>
      </c>
      <c r="C139" s="47" t="s">
        <v>1080</v>
      </c>
      <c r="D139" s="53" t="s">
        <v>811</v>
      </c>
      <c r="E139" s="298" t="s">
        <v>1061</v>
      </c>
      <c r="F139" s="286">
        <v>3</v>
      </c>
      <c r="G139" s="1463">
        <v>0</v>
      </c>
      <c r="H139" s="1463">
        <v>0</v>
      </c>
      <c r="I139" s="1463">
        <v>0</v>
      </c>
      <c r="J139" s="1463">
        <v>0</v>
      </c>
      <c r="K139" s="1463">
        <v>0</v>
      </c>
      <c r="L139" s="1463">
        <v>0</v>
      </c>
      <c r="M139" s="1486">
        <v>0.38540989891565647</v>
      </c>
      <c r="N139" s="1486">
        <v>0.38540989891565647</v>
      </c>
      <c r="O139" s="1486">
        <v>0.38540989891565647</v>
      </c>
      <c r="P139" s="1486">
        <v>0.38540989891565647</v>
      </c>
      <c r="Q139" s="1486">
        <v>0.38540989891565647</v>
      </c>
      <c r="R139" s="1486">
        <v>1.9270494945782823</v>
      </c>
      <c r="S139" s="1486">
        <v>1.9270494945782823</v>
      </c>
      <c r="T139" s="1486">
        <v>0</v>
      </c>
      <c r="U139" s="1486">
        <v>0</v>
      </c>
      <c r="V139" s="1486">
        <v>0</v>
      </c>
      <c r="W139" s="1486">
        <v>0</v>
      </c>
      <c r="X139" s="1486">
        <v>0</v>
      </c>
      <c r="Y139" s="1486">
        <v>0</v>
      </c>
      <c r="Z139" s="1486">
        <v>0</v>
      </c>
      <c r="AA139" s="1486">
        <v>0</v>
      </c>
    </row>
    <row r="140" spans="2:27" x14ac:dyDescent="0.25">
      <c r="B140" s="244" t="s">
        <v>1081</v>
      </c>
      <c r="C140" s="47" t="s">
        <v>1074</v>
      </c>
      <c r="D140" s="53" t="s">
        <v>806</v>
      </c>
      <c r="E140" s="298" t="s">
        <v>1061</v>
      </c>
      <c r="F140" s="286">
        <v>3</v>
      </c>
      <c r="G140" s="1463">
        <v>0</v>
      </c>
      <c r="H140" s="1463">
        <v>0</v>
      </c>
      <c r="I140" s="1463">
        <v>0</v>
      </c>
      <c r="J140" s="1463">
        <v>0</v>
      </c>
      <c r="K140" s="1463">
        <v>0</v>
      </c>
      <c r="L140" s="1463">
        <v>0</v>
      </c>
      <c r="M140" s="1486">
        <v>0</v>
      </c>
      <c r="N140" s="1486">
        <v>0</v>
      </c>
      <c r="O140" s="1486">
        <v>0</v>
      </c>
      <c r="P140" s="1486">
        <v>0</v>
      </c>
      <c r="Q140" s="1486">
        <v>0</v>
      </c>
      <c r="R140" s="1486">
        <v>0</v>
      </c>
      <c r="S140" s="1486">
        <v>0</v>
      </c>
      <c r="T140" s="1486">
        <v>0</v>
      </c>
      <c r="U140" s="1486">
        <v>0</v>
      </c>
      <c r="V140" s="1486">
        <v>0</v>
      </c>
      <c r="W140" s="1486">
        <v>0</v>
      </c>
      <c r="X140" s="1486">
        <v>0</v>
      </c>
      <c r="Y140" s="1486">
        <v>0</v>
      </c>
      <c r="Z140" s="1486">
        <v>0</v>
      </c>
      <c r="AA140" s="1486">
        <v>0</v>
      </c>
    </row>
    <row r="141" spans="2:27" x14ac:dyDescent="0.25">
      <c r="B141" s="244" t="s">
        <v>1082</v>
      </c>
      <c r="C141" s="47" t="s">
        <v>1076</v>
      </c>
      <c r="D141" s="53" t="s">
        <v>806</v>
      </c>
      <c r="E141" s="298" t="s">
        <v>1061</v>
      </c>
      <c r="F141" s="286">
        <v>3</v>
      </c>
      <c r="G141" s="1463">
        <v>0</v>
      </c>
      <c r="H141" s="1463">
        <v>0</v>
      </c>
      <c r="I141" s="1463">
        <v>0</v>
      </c>
      <c r="J141" s="1463">
        <v>0</v>
      </c>
      <c r="K141" s="1463">
        <v>0</v>
      </c>
      <c r="L141" s="1463">
        <v>0</v>
      </c>
      <c r="M141" s="1463">
        <v>0</v>
      </c>
      <c r="N141" s="1463">
        <v>0</v>
      </c>
      <c r="O141" s="1463">
        <v>0</v>
      </c>
      <c r="P141" s="1463">
        <v>0</v>
      </c>
      <c r="Q141" s="1463">
        <v>0</v>
      </c>
      <c r="R141" s="1463">
        <v>0</v>
      </c>
      <c r="S141" s="1463">
        <v>0</v>
      </c>
      <c r="T141" s="1463">
        <v>0</v>
      </c>
      <c r="U141" s="1463">
        <v>0</v>
      </c>
      <c r="V141" s="1463">
        <v>0</v>
      </c>
      <c r="W141" s="1463">
        <v>0</v>
      </c>
      <c r="X141" s="1463">
        <v>0</v>
      </c>
      <c r="Y141" s="1463">
        <v>0</v>
      </c>
      <c r="Z141" s="1463">
        <v>0</v>
      </c>
      <c r="AA141" s="1463">
        <v>0</v>
      </c>
    </row>
    <row r="142" spans="2:27" x14ac:dyDescent="0.25">
      <c r="B142" s="244" t="s">
        <v>1083</v>
      </c>
      <c r="C142" s="47" t="s">
        <v>1084</v>
      </c>
      <c r="D142" s="53" t="s">
        <v>806</v>
      </c>
      <c r="E142" s="298" t="s">
        <v>1061</v>
      </c>
      <c r="F142" s="286">
        <v>3</v>
      </c>
      <c r="G142" s="1463">
        <v>0</v>
      </c>
      <c r="H142" s="1463">
        <v>0</v>
      </c>
      <c r="I142" s="1463">
        <v>0</v>
      </c>
      <c r="J142" s="1463">
        <v>0</v>
      </c>
      <c r="K142" s="1463">
        <v>0</v>
      </c>
      <c r="L142" s="1463">
        <v>0</v>
      </c>
      <c r="M142" s="1463">
        <v>0</v>
      </c>
      <c r="N142" s="1463">
        <v>0</v>
      </c>
      <c r="O142" s="1463">
        <v>0</v>
      </c>
      <c r="P142" s="1463">
        <v>0</v>
      </c>
      <c r="Q142" s="1463">
        <v>0</v>
      </c>
      <c r="R142" s="1463">
        <v>0</v>
      </c>
      <c r="S142" s="1463">
        <v>0</v>
      </c>
      <c r="T142" s="1463">
        <v>0</v>
      </c>
      <c r="U142" s="1463">
        <v>0</v>
      </c>
      <c r="V142" s="1463">
        <v>0</v>
      </c>
      <c r="W142" s="1463">
        <v>0</v>
      </c>
      <c r="X142" s="1463">
        <v>0</v>
      </c>
      <c r="Y142" s="1463">
        <v>0</v>
      </c>
      <c r="Z142" s="1463">
        <v>0</v>
      </c>
      <c r="AA142" s="1463">
        <v>0</v>
      </c>
    </row>
    <row r="143" spans="2:27" x14ac:dyDescent="0.25">
      <c r="B143" s="244" t="s">
        <v>1085</v>
      </c>
      <c r="C143" s="47" t="s">
        <v>1080</v>
      </c>
      <c r="D143" s="53" t="s">
        <v>806</v>
      </c>
      <c r="E143" s="298" t="s">
        <v>1061</v>
      </c>
      <c r="F143" s="286">
        <v>3</v>
      </c>
      <c r="G143" s="1463">
        <v>0</v>
      </c>
      <c r="H143" s="1463">
        <v>0</v>
      </c>
      <c r="I143" s="1463">
        <v>0</v>
      </c>
      <c r="J143" s="1463">
        <v>0</v>
      </c>
      <c r="K143" s="1463">
        <v>0</v>
      </c>
      <c r="L143" s="1463">
        <v>0</v>
      </c>
      <c r="M143" s="1486">
        <v>0</v>
      </c>
      <c r="N143" s="1486">
        <v>0</v>
      </c>
      <c r="O143" s="1486">
        <v>0</v>
      </c>
      <c r="P143" s="1486">
        <v>0</v>
      </c>
      <c r="Q143" s="1486">
        <v>0</v>
      </c>
      <c r="R143" s="1486">
        <v>0</v>
      </c>
      <c r="S143" s="1486">
        <v>0</v>
      </c>
      <c r="T143" s="1486">
        <v>0</v>
      </c>
      <c r="U143" s="1486">
        <v>0</v>
      </c>
      <c r="V143" s="1486">
        <v>0</v>
      </c>
      <c r="W143" s="1486">
        <v>0</v>
      </c>
      <c r="X143" s="1486">
        <v>0</v>
      </c>
      <c r="Y143" s="1486">
        <v>0</v>
      </c>
      <c r="Z143" s="1486">
        <v>0</v>
      </c>
      <c r="AA143" s="1486">
        <v>0</v>
      </c>
    </row>
    <row r="144" spans="2:27" x14ac:dyDescent="0.25">
      <c r="B144" s="244" t="s">
        <v>1086</v>
      </c>
      <c r="C144" s="47" t="s">
        <v>1074</v>
      </c>
      <c r="D144" s="53" t="s">
        <v>1006</v>
      </c>
      <c r="E144" s="298" t="s">
        <v>1061</v>
      </c>
      <c r="F144" s="286">
        <v>3</v>
      </c>
      <c r="G144" s="1464">
        <v>0</v>
      </c>
      <c r="H144" s="1464">
        <v>0</v>
      </c>
      <c r="I144" s="1464">
        <v>0</v>
      </c>
      <c r="J144" s="1464">
        <v>0</v>
      </c>
      <c r="K144" s="1464">
        <v>0</v>
      </c>
      <c r="L144" s="1464">
        <v>0</v>
      </c>
      <c r="M144" s="1464">
        <v>0.38540989891565647</v>
      </c>
      <c r="N144" s="1464">
        <v>0.38540989891565647</v>
      </c>
      <c r="O144" s="1464">
        <v>0.38540989891565647</v>
      </c>
      <c r="P144" s="1464">
        <v>0.38540989891565647</v>
      </c>
      <c r="Q144" s="1464">
        <v>0.38540989891565647</v>
      </c>
      <c r="R144" s="1464">
        <v>1.9270494945782823</v>
      </c>
      <c r="S144" s="1464">
        <v>1.9270494945782823</v>
      </c>
      <c r="T144" s="1464">
        <v>0</v>
      </c>
      <c r="U144" s="1464">
        <v>0</v>
      </c>
      <c r="V144" s="1464">
        <v>0</v>
      </c>
      <c r="W144" s="1464">
        <v>0</v>
      </c>
      <c r="X144" s="1464">
        <v>0</v>
      </c>
      <c r="Y144" s="1464">
        <v>0</v>
      </c>
      <c r="Z144" s="1464">
        <v>0</v>
      </c>
      <c r="AA144" s="1464">
        <v>0</v>
      </c>
    </row>
    <row r="145" spans="2:27" x14ac:dyDescent="0.25">
      <c r="B145" s="244" t="s">
        <v>1087</v>
      </c>
      <c r="C145" s="47" t="s">
        <v>1088</v>
      </c>
      <c r="D145" s="53" t="s">
        <v>811</v>
      </c>
      <c r="E145" s="298" t="s">
        <v>1061</v>
      </c>
      <c r="F145" s="286">
        <v>3</v>
      </c>
      <c r="G145" s="1463">
        <v>0</v>
      </c>
      <c r="H145" s="1463">
        <v>0</v>
      </c>
      <c r="I145" s="1463">
        <v>0</v>
      </c>
      <c r="J145" s="1463">
        <v>0</v>
      </c>
      <c r="K145" s="1463">
        <v>0</v>
      </c>
      <c r="L145" s="1463">
        <v>0</v>
      </c>
      <c r="M145" s="1487">
        <v>0.23370568881682324</v>
      </c>
      <c r="N145" s="1487">
        <v>0.23370568881682324</v>
      </c>
      <c r="O145" s="1487">
        <v>0.23370568881682324</v>
      </c>
      <c r="P145" s="1487">
        <v>0.23370568881682324</v>
      </c>
      <c r="Q145" s="1487">
        <v>0.23370568881682324</v>
      </c>
      <c r="R145" s="1487">
        <v>1.1685284440841162</v>
      </c>
      <c r="S145" s="1487">
        <v>1.1685284440841162</v>
      </c>
      <c r="T145" s="1487">
        <v>0</v>
      </c>
      <c r="U145" s="1487">
        <v>0</v>
      </c>
      <c r="V145" s="1487">
        <v>0</v>
      </c>
      <c r="W145" s="1487">
        <v>0</v>
      </c>
      <c r="X145" s="1487">
        <v>0</v>
      </c>
      <c r="Y145" s="1487">
        <v>0</v>
      </c>
      <c r="Z145" s="1487">
        <v>0</v>
      </c>
      <c r="AA145" s="1487">
        <v>0</v>
      </c>
    </row>
    <row r="146" spans="2:27" x14ac:dyDescent="0.25">
      <c r="B146" s="244" t="s">
        <v>1089</v>
      </c>
      <c r="C146" s="47" t="s">
        <v>1090</v>
      </c>
      <c r="D146" s="53" t="s">
        <v>811</v>
      </c>
      <c r="E146" s="298" t="s">
        <v>1061</v>
      </c>
      <c r="F146" s="286">
        <v>3</v>
      </c>
      <c r="G146" s="1463">
        <v>0</v>
      </c>
      <c r="H146" s="1463">
        <v>0</v>
      </c>
      <c r="I146" s="1463">
        <v>0</v>
      </c>
      <c r="J146" s="1463">
        <v>0</v>
      </c>
      <c r="K146" s="1463">
        <v>0</v>
      </c>
      <c r="L146" s="1463">
        <v>0</v>
      </c>
      <c r="M146" s="1463">
        <v>0</v>
      </c>
      <c r="N146" s="1463">
        <v>0</v>
      </c>
      <c r="O146" s="1463">
        <v>0</v>
      </c>
      <c r="P146" s="1463">
        <v>0</v>
      </c>
      <c r="Q146" s="1463">
        <v>0</v>
      </c>
      <c r="R146" s="1463">
        <v>0</v>
      </c>
      <c r="S146" s="1463">
        <v>0</v>
      </c>
      <c r="T146" s="1463">
        <v>0</v>
      </c>
      <c r="U146" s="1463">
        <v>0</v>
      </c>
      <c r="V146" s="1463">
        <v>0</v>
      </c>
      <c r="W146" s="1463">
        <v>0</v>
      </c>
      <c r="X146" s="1463">
        <v>0</v>
      </c>
      <c r="Y146" s="1463">
        <v>0</v>
      </c>
      <c r="Z146" s="1463">
        <v>0</v>
      </c>
      <c r="AA146" s="1463">
        <v>0</v>
      </c>
    </row>
    <row r="147" spans="2:27" x14ac:dyDescent="0.25">
      <c r="B147" s="244" t="s">
        <v>1091</v>
      </c>
      <c r="C147" s="47" t="s">
        <v>1092</v>
      </c>
      <c r="D147" s="53" t="s">
        <v>811</v>
      </c>
      <c r="E147" s="298" t="s">
        <v>1061</v>
      </c>
      <c r="F147" s="286">
        <v>3</v>
      </c>
      <c r="G147" s="1463">
        <v>0</v>
      </c>
      <c r="H147" s="1463">
        <v>0</v>
      </c>
      <c r="I147" s="1463">
        <v>0</v>
      </c>
      <c r="J147" s="1463">
        <v>0</v>
      </c>
      <c r="K147" s="1463">
        <v>0</v>
      </c>
      <c r="L147" s="1463">
        <v>0</v>
      </c>
      <c r="M147" s="1463">
        <v>0</v>
      </c>
      <c r="N147" s="1463">
        <v>0</v>
      </c>
      <c r="O147" s="1463">
        <v>0</v>
      </c>
      <c r="P147" s="1463">
        <v>0</v>
      </c>
      <c r="Q147" s="1463">
        <v>0</v>
      </c>
      <c r="R147" s="1463">
        <v>0</v>
      </c>
      <c r="S147" s="1463">
        <v>0</v>
      </c>
      <c r="T147" s="1463">
        <v>0</v>
      </c>
      <c r="U147" s="1463">
        <v>0</v>
      </c>
      <c r="V147" s="1463">
        <v>0</v>
      </c>
      <c r="W147" s="1463">
        <v>0</v>
      </c>
      <c r="X147" s="1463">
        <v>0</v>
      </c>
      <c r="Y147" s="1463">
        <v>0</v>
      </c>
      <c r="Z147" s="1463">
        <v>0</v>
      </c>
      <c r="AA147" s="1463">
        <v>0</v>
      </c>
    </row>
    <row r="148" spans="2:27" x14ac:dyDescent="0.25">
      <c r="B148" s="244" t="s">
        <v>1093</v>
      </c>
      <c r="C148" s="47" t="s">
        <v>1094</v>
      </c>
      <c r="D148" s="53" t="s">
        <v>811</v>
      </c>
      <c r="E148" s="298" t="s">
        <v>1061</v>
      </c>
      <c r="F148" s="286">
        <v>3</v>
      </c>
      <c r="G148" s="1463">
        <v>0</v>
      </c>
      <c r="H148" s="1463">
        <v>0</v>
      </c>
      <c r="I148" s="1463">
        <v>0</v>
      </c>
      <c r="J148" s="1463">
        <v>0</v>
      </c>
      <c r="K148" s="1463">
        <v>0</v>
      </c>
      <c r="L148" s="1463">
        <v>0</v>
      </c>
      <c r="M148" s="1486">
        <v>0.23370568881682324</v>
      </c>
      <c r="N148" s="1486">
        <v>0.23370568881682324</v>
      </c>
      <c r="O148" s="1486">
        <v>0.23370568881682324</v>
      </c>
      <c r="P148" s="1486">
        <v>0.23370568881682324</v>
      </c>
      <c r="Q148" s="1486">
        <v>0.23370568881682324</v>
      </c>
      <c r="R148" s="1486">
        <v>1.1685284440841162</v>
      </c>
      <c r="S148" s="1486">
        <v>1.1685284440841162</v>
      </c>
      <c r="T148" s="1486">
        <v>0</v>
      </c>
      <c r="U148" s="1486">
        <v>0</v>
      </c>
      <c r="V148" s="1486">
        <v>0</v>
      </c>
      <c r="W148" s="1486">
        <v>0</v>
      </c>
      <c r="X148" s="1486">
        <v>0</v>
      </c>
      <c r="Y148" s="1486">
        <v>0</v>
      </c>
      <c r="Z148" s="1486">
        <v>0</v>
      </c>
      <c r="AA148" s="1486">
        <v>0</v>
      </c>
    </row>
    <row r="149" spans="2:27" x14ac:dyDescent="0.25">
      <c r="B149" s="244" t="s">
        <v>1095</v>
      </c>
      <c r="C149" s="47" t="s">
        <v>1088</v>
      </c>
      <c r="D149" s="53" t="s">
        <v>806</v>
      </c>
      <c r="E149" s="298" t="s">
        <v>1061</v>
      </c>
      <c r="F149" s="286">
        <v>3</v>
      </c>
      <c r="G149" s="1463">
        <v>0</v>
      </c>
      <c r="H149" s="1463">
        <v>0</v>
      </c>
      <c r="I149" s="1463">
        <v>0</v>
      </c>
      <c r="J149" s="1463">
        <v>0</v>
      </c>
      <c r="K149" s="1463">
        <v>0</v>
      </c>
      <c r="L149" s="1463">
        <v>0</v>
      </c>
      <c r="M149" s="1487">
        <v>5.6769E-2</v>
      </c>
      <c r="N149" s="1487">
        <v>6.3537999999999997E-2</v>
      </c>
      <c r="O149" s="1487">
        <v>7.0306999999999994E-2</v>
      </c>
      <c r="P149" s="1487">
        <v>7.7076000000000006E-2</v>
      </c>
      <c r="Q149" s="1487">
        <v>8.3845000000000003E-2</v>
      </c>
      <c r="R149" s="1487">
        <v>0.52076</v>
      </c>
      <c r="S149" s="1487">
        <v>0.68998499999999996</v>
      </c>
      <c r="T149" s="1487">
        <v>1.9262034440841165</v>
      </c>
      <c r="U149" s="1487">
        <v>1.9262034440841165</v>
      </c>
      <c r="V149" s="1487">
        <v>1.9262034440841165</v>
      </c>
      <c r="W149" s="1487">
        <v>1.9262034440841165</v>
      </c>
      <c r="X149" s="1487">
        <v>1.9262034440841165</v>
      </c>
      <c r="Y149" s="1487">
        <v>1.9262034440841165</v>
      </c>
      <c r="Z149" s="1487">
        <v>1.9262034440841165</v>
      </c>
      <c r="AA149" s="1487">
        <v>1.9262034440841165</v>
      </c>
    </row>
    <row r="150" spans="2:27" x14ac:dyDescent="0.25">
      <c r="B150" s="244" t="s">
        <v>1096</v>
      </c>
      <c r="C150" s="47" t="s">
        <v>1090</v>
      </c>
      <c r="D150" s="53" t="s">
        <v>806</v>
      </c>
      <c r="E150" s="298" t="s">
        <v>1061</v>
      </c>
      <c r="F150" s="286">
        <v>3</v>
      </c>
      <c r="G150" s="1463">
        <v>0</v>
      </c>
      <c r="H150" s="1463">
        <v>0</v>
      </c>
      <c r="I150" s="1463">
        <v>0</v>
      </c>
      <c r="J150" s="1463">
        <v>0</v>
      </c>
      <c r="K150" s="1463">
        <v>0</v>
      </c>
      <c r="L150" s="1463">
        <v>0</v>
      </c>
      <c r="M150" s="1463">
        <v>0</v>
      </c>
      <c r="N150" s="1463">
        <v>0</v>
      </c>
      <c r="O150" s="1463">
        <v>0</v>
      </c>
      <c r="P150" s="1463">
        <v>0</v>
      </c>
      <c r="Q150" s="1463">
        <v>0</v>
      </c>
      <c r="R150" s="1463">
        <v>0</v>
      </c>
      <c r="S150" s="1463">
        <v>0</v>
      </c>
      <c r="T150" s="1463">
        <v>0</v>
      </c>
      <c r="U150" s="1463">
        <v>0</v>
      </c>
      <c r="V150" s="1463">
        <v>0</v>
      </c>
      <c r="W150" s="1463">
        <v>0</v>
      </c>
      <c r="X150" s="1463">
        <v>0</v>
      </c>
      <c r="Y150" s="1463">
        <v>0</v>
      </c>
      <c r="Z150" s="1463">
        <v>0</v>
      </c>
      <c r="AA150" s="1463">
        <v>0</v>
      </c>
    </row>
    <row r="151" spans="2:27" x14ac:dyDescent="0.25">
      <c r="B151" s="244" t="s">
        <v>1097</v>
      </c>
      <c r="C151" s="47" t="s">
        <v>1092</v>
      </c>
      <c r="D151" s="53" t="s">
        <v>806</v>
      </c>
      <c r="E151" s="298" t="s">
        <v>1061</v>
      </c>
      <c r="F151" s="286">
        <v>3</v>
      </c>
      <c r="G151" s="1463">
        <v>0</v>
      </c>
      <c r="H151" s="1463">
        <v>0</v>
      </c>
      <c r="I151" s="1463">
        <v>0</v>
      </c>
      <c r="J151" s="1463">
        <v>0</v>
      </c>
      <c r="K151" s="1463">
        <v>0</v>
      </c>
      <c r="L151" s="1463">
        <v>0</v>
      </c>
      <c r="M151" s="1463">
        <v>0</v>
      </c>
      <c r="N151" s="1463">
        <v>0</v>
      </c>
      <c r="O151" s="1463">
        <v>0</v>
      </c>
      <c r="P151" s="1463">
        <v>0</v>
      </c>
      <c r="Q151" s="1463">
        <v>0</v>
      </c>
      <c r="R151" s="1463">
        <v>0</v>
      </c>
      <c r="S151" s="1463">
        <v>0</v>
      </c>
      <c r="T151" s="1463">
        <v>0</v>
      </c>
      <c r="U151" s="1463">
        <v>0</v>
      </c>
      <c r="V151" s="1463">
        <v>0</v>
      </c>
      <c r="W151" s="1463">
        <v>0</v>
      </c>
      <c r="X151" s="1463">
        <v>0</v>
      </c>
      <c r="Y151" s="1463">
        <v>0</v>
      </c>
      <c r="Z151" s="1463">
        <v>0</v>
      </c>
      <c r="AA151" s="1463">
        <v>0</v>
      </c>
    </row>
    <row r="152" spans="2:27" x14ac:dyDescent="0.25">
      <c r="B152" s="244" t="s">
        <v>1098</v>
      </c>
      <c r="C152" s="47" t="s">
        <v>1094</v>
      </c>
      <c r="D152" s="53" t="s">
        <v>806</v>
      </c>
      <c r="E152" s="298" t="s">
        <v>1061</v>
      </c>
      <c r="F152" s="286">
        <v>3</v>
      </c>
      <c r="G152" s="1463">
        <v>0</v>
      </c>
      <c r="H152" s="1463">
        <v>0</v>
      </c>
      <c r="I152" s="1463">
        <v>0</v>
      </c>
      <c r="J152" s="1463">
        <v>0</v>
      </c>
      <c r="K152" s="1463">
        <v>0</v>
      </c>
      <c r="L152" s="1463">
        <v>0</v>
      </c>
      <c r="M152" s="1486">
        <v>5.6769E-2</v>
      </c>
      <c r="N152" s="1486">
        <v>6.3537999999999997E-2</v>
      </c>
      <c r="O152" s="1486">
        <v>7.0306999999999994E-2</v>
      </c>
      <c r="P152" s="1486">
        <v>7.7076000000000006E-2</v>
      </c>
      <c r="Q152" s="1486">
        <v>8.3845000000000003E-2</v>
      </c>
      <c r="R152" s="1486">
        <v>0.52076</v>
      </c>
      <c r="S152" s="1486">
        <v>0.68998499999999996</v>
      </c>
      <c r="T152" s="1486">
        <v>1.9262034440841165</v>
      </c>
      <c r="U152" s="1486">
        <v>1.9262034440841165</v>
      </c>
      <c r="V152" s="1486">
        <v>1.9262034440841165</v>
      </c>
      <c r="W152" s="1486">
        <v>1.9262034440841165</v>
      </c>
      <c r="X152" s="1486">
        <v>1.9262034440841165</v>
      </c>
      <c r="Y152" s="1486">
        <v>1.9262034440841165</v>
      </c>
      <c r="Z152" s="1486">
        <v>1.9262034440841165</v>
      </c>
      <c r="AA152" s="1486">
        <v>1.9262034440841165</v>
      </c>
    </row>
    <row r="153" spans="2:27" x14ac:dyDescent="0.25">
      <c r="B153" s="244" t="s">
        <v>1099</v>
      </c>
      <c r="C153" s="47" t="s">
        <v>1090</v>
      </c>
      <c r="D153" s="53" t="s">
        <v>1006</v>
      </c>
      <c r="E153" s="298" t="s">
        <v>1061</v>
      </c>
      <c r="F153" s="286">
        <v>3</v>
      </c>
      <c r="G153" s="1464">
        <v>0</v>
      </c>
      <c r="H153" s="1464">
        <v>0</v>
      </c>
      <c r="I153" s="1464">
        <v>0</v>
      </c>
      <c r="J153" s="1464">
        <v>0</v>
      </c>
      <c r="K153" s="1464">
        <v>0</v>
      </c>
      <c r="L153" s="1464">
        <v>0</v>
      </c>
      <c r="M153" s="1464">
        <v>0.52418037763364644</v>
      </c>
      <c r="N153" s="1464">
        <v>0.53094937763364647</v>
      </c>
      <c r="O153" s="1464">
        <v>0.53771837763364649</v>
      </c>
      <c r="P153" s="1464">
        <v>0.54448737763364652</v>
      </c>
      <c r="Q153" s="1464">
        <v>0.55125637763364654</v>
      </c>
      <c r="R153" s="1464">
        <v>2.8578168881682324</v>
      </c>
      <c r="S153" s="1464">
        <v>3.0270418881682324</v>
      </c>
      <c r="T153" s="1464">
        <v>1.9262034440841165</v>
      </c>
      <c r="U153" s="1464">
        <v>1.9262034440841165</v>
      </c>
      <c r="V153" s="1464">
        <v>1.9262034440841165</v>
      </c>
      <c r="W153" s="1464">
        <v>1.9262034440841165</v>
      </c>
      <c r="X153" s="1464">
        <v>1.9262034440841165</v>
      </c>
      <c r="Y153" s="1464">
        <v>1.9262034440841165</v>
      </c>
      <c r="Z153" s="1464">
        <v>1.9262034440841165</v>
      </c>
      <c r="AA153" s="1465">
        <v>1.9262034440841165</v>
      </c>
    </row>
    <row r="154" spans="2:27" x14ac:dyDescent="0.25">
      <c r="B154" s="244" t="s">
        <v>1100</v>
      </c>
      <c r="C154" s="47" t="s">
        <v>1101</v>
      </c>
      <c r="D154" s="53" t="s">
        <v>811</v>
      </c>
      <c r="E154" s="298" t="s">
        <v>1061</v>
      </c>
      <c r="F154" s="286">
        <v>3</v>
      </c>
      <c r="G154" s="1463">
        <v>0</v>
      </c>
      <c r="H154" s="1463">
        <v>0</v>
      </c>
      <c r="I154" s="1463">
        <v>0</v>
      </c>
      <c r="J154" s="1463">
        <v>0</v>
      </c>
      <c r="K154" s="1463">
        <v>0</v>
      </c>
      <c r="L154" s="1463">
        <v>0</v>
      </c>
      <c r="M154" s="1463">
        <v>0</v>
      </c>
      <c r="N154" s="1463">
        <v>0</v>
      </c>
      <c r="O154" s="1463">
        <v>0</v>
      </c>
      <c r="P154" s="1463">
        <v>0</v>
      </c>
      <c r="Q154" s="1463">
        <v>0</v>
      </c>
      <c r="R154" s="1463">
        <v>0</v>
      </c>
      <c r="S154" s="1463">
        <v>0</v>
      </c>
      <c r="T154" s="1463">
        <v>0</v>
      </c>
      <c r="U154" s="1463">
        <v>0</v>
      </c>
      <c r="V154" s="1463">
        <v>0</v>
      </c>
      <c r="W154" s="1463">
        <v>0</v>
      </c>
      <c r="X154" s="1463">
        <v>0</v>
      </c>
      <c r="Y154" s="1463">
        <v>0</v>
      </c>
      <c r="Z154" s="1463">
        <v>0</v>
      </c>
      <c r="AA154" s="1463">
        <v>0</v>
      </c>
    </row>
    <row r="155" spans="2:27" x14ac:dyDescent="0.25">
      <c r="B155" s="244" t="s">
        <v>1102</v>
      </c>
      <c r="C155" s="47" t="s">
        <v>1103</v>
      </c>
      <c r="D155" s="53" t="s">
        <v>811</v>
      </c>
      <c r="E155" s="298" t="s">
        <v>1061</v>
      </c>
      <c r="F155" s="286">
        <v>3</v>
      </c>
      <c r="G155" s="1463">
        <v>0</v>
      </c>
      <c r="H155" s="1463">
        <v>0</v>
      </c>
      <c r="I155" s="1463">
        <v>0</v>
      </c>
      <c r="J155" s="1463">
        <v>0</v>
      </c>
      <c r="K155" s="1463">
        <v>0</v>
      </c>
      <c r="L155" s="1463">
        <v>0</v>
      </c>
      <c r="M155" s="1486">
        <v>1.345707402518568</v>
      </c>
      <c r="N155" s="1486">
        <v>1.345707402518568</v>
      </c>
      <c r="O155" s="1486">
        <v>1.345707402518568</v>
      </c>
      <c r="P155" s="1486">
        <v>1.345707402518568</v>
      </c>
      <c r="Q155" s="1486">
        <v>1.345707402518568</v>
      </c>
      <c r="R155" s="1486">
        <v>6.7285370125928408</v>
      </c>
      <c r="S155" s="1486">
        <v>6.7285370125928408</v>
      </c>
      <c r="T155" s="1486">
        <v>0</v>
      </c>
      <c r="U155" s="1486">
        <v>0</v>
      </c>
      <c r="V155" s="1486">
        <v>0</v>
      </c>
      <c r="W155" s="1486">
        <v>0</v>
      </c>
      <c r="X155" s="1486">
        <v>0</v>
      </c>
      <c r="Y155" s="1486">
        <v>0</v>
      </c>
      <c r="Z155" s="1486">
        <v>0</v>
      </c>
      <c r="AA155" s="1486">
        <v>0</v>
      </c>
    </row>
    <row r="156" spans="2:27" x14ac:dyDescent="0.25">
      <c r="B156" s="244" t="s">
        <v>1104</v>
      </c>
      <c r="C156" s="47" t="s">
        <v>1105</v>
      </c>
      <c r="D156" s="53" t="s">
        <v>811</v>
      </c>
      <c r="E156" s="298" t="s">
        <v>1061</v>
      </c>
      <c r="F156" s="286">
        <v>3</v>
      </c>
      <c r="G156" s="1463">
        <v>0</v>
      </c>
      <c r="H156" s="1463">
        <v>0</v>
      </c>
      <c r="I156" s="1463">
        <v>0</v>
      </c>
      <c r="J156" s="1463">
        <v>0</v>
      </c>
      <c r="K156" s="1463">
        <v>0</v>
      </c>
      <c r="L156" s="1463">
        <v>0</v>
      </c>
      <c r="M156" s="1463">
        <v>0</v>
      </c>
      <c r="N156" s="1463">
        <v>0</v>
      </c>
      <c r="O156" s="1463">
        <v>0</v>
      </c>
      <c r="P156" s="1463">
        <v>0</v>
      </c>
      <c r="Q156" s="1463">
        <v>0</v>
      </c>
      <c r="R156" s="1463">
        <v>0</v>
      </c>
      <c r="S156" s="1463">
        <v>0</v>
      </c>
      <c r="T156" s="1463">
        <v>0</v>
      </c>
      <c r="U156" s="1463">
        <v>0</v>
      </c>
      <c r="V156" s="1463">
        <v>0</v>
      </c>
      <c r="W156" s="1463">
        <v>0</v>
      </c>
      <c r="X156" s="1463">
        <v>0</v>
      </c>
      <c r="Y156" s="1463">
        <v>0</v>
      </c>
      <c r="Z156" s="1463">
        <v>0</v>
      </c>
      <c r="AA156" s="1463">
        <v>0</v>
      </c>
    </row>
    <row r="157" spans="2:27" x14ac:dyDescent="0.25">
      <c r="B157" s="244" t="s">
        <v>1106</v>
      </c>
      <c r="C157" s="47" t="s">
        <v>1101</v>
      </c>
      <c r="D157" s="53" t="s">
        <v>806</v>
      </c>
      <c r="E157" s="298" t="s">
        <v>1061</v>
      </c>
      <c r="F157" s="286">
        <v>3</v>
      </c>
      <c r="G157" s="1463">
        <v>0</v>
      </c>
      <c r="H157" s="1463">
        <v>0</v>
      </c>
      <c r="I157" s="1463">
        <v>0</v>
      </c>
      <c r="J157" s="1463">
        <v>0</v>
      </c>
      <c r="K157" s="1463">
        <v>0</v>
      </c>
      <c r="L157" s="1463">
        <v>0</v>
      </c>
      <c r="M157" s="1463">
        <v>0</v>
      </c>
      <c r="N157" s="1463">
        <v>0</v>
      </c>
      <c r="O157" s="1463">
        <v>0</v>
      </c>
      <c r="P157" s="1463">
        <v>0</v>
      </c>
      <c r="Q157" s="1463">
        <v>0</v>
      </c>
      <c r="R157" s="1463">
        <v>0</v>
      </c>
      <c r="S157" s="1463">
        <v>0</v>
      </c>
      <c r="T157" s="1463">
        <v>0</v>
      </c>
      <c r="U157" s="1463">
        <v>0</v>
      </c>
      <c r="V157" s="1463">
        <v>0</v>
      </c>
      <c r="W157" s="1463">
        <v>0</v>
      </c>
      <c r="X157" s="1463">
        <v>0</v>
      </c>
      <c r="Y157" s="1463">
        <v>0</v>
      </c>
      <c r="Z157" s="1463">
        <v>0</v>
      </c>
      <c r="AA157" s="1463">
        <v>0</v>
      </c>
    </row>
    <row r="158" spans="2:27" x14ac:dyDescent="0.25">
      <c r="B158" s="244" t="s">
        <v>1107</v>
      </c>
      <c r="C158" s="47" t="s">
        <v>1103</v>
      </c>
      <c r="D158" s="53" t="s">
        <v>806</v>
      </c>
      <c r="E158" s="298" t="s">
        <v>1061</v>
      </c>
      <c r="F158" s="286">
        <v>3</v>
      </c>
      <c r="G158" s="1463">
        <v>0</v>
      </c>
      <c r="H158" s="1463">
        <v>0</v>
      </c>
      <c r="I158" s="1463">
        <v>0</v>
      </c>
      <c r="J158" s="1463">
        <v>0</v>
      </c>
      <c r="K158" s="1463">
        <v>0</v>
      </c>
      <c r="L158" s="1463">
        <v>0</v>
      </c>
      <c r="M158" s="1486">
        <v>0</v>
      </c>
      <c r="N158" s="1486">
        <v>0</v>
      </c>
      <c r="O158" s="1486">
        <v>0</v>
      </c>
      <c r="P158" s="1486">
        <v>0</v>
      </c>
      <c r="Q158" s="1486">
        <v>0</v>
      </c>
      <c r="R158" s="1486">
        <v>0</v>
      </c>
      <c r="S158" s="1486">
        <v>0</v>
      </c>
      <c r="T158" s="1486">
        <v>0</v>
      </c>
      <c r="U158" s="1486">
        <v>0</v>
      </c>
      <c r="V158" s="1486">
        <v>0</v>
      </c>
      <c r="W158" s="1486">
        <v>0</v>
      </c>
      <c r="X158" s="1486">
        <v>0</v>
      </c>
      <c r="Y158" s="1486">
        <v>0</v>
      </c>
      <c r="Z158" s="1486">
        <v>0</v>
      </c>
      <c r="AA158" s="1486">
        <v>0</v>
      </c>
    </row>
    <row r="159" spans="2:27" x14ac:dyDescent="0.25">
      <c r="B159" s="244" t="s">
        <v>1108</v>
      </c>
      <c r="C159" s="47" t="s">
        <v>1105</v>
      </c>
      <c r="D159" s="53" t="s">
        <v>806</v>
      </c>
      <c r="E159" s="298" t="s">
        <v>1061</v>
      </c>
      <c r="F159" s="286">
        <v>3</v>
      </c>
      <c r="G159" s="1463">
        <v>0</v>
      </c>
      <c r="H159" s="1463">
        <v>0</v>
      </c>
      <c r="I159" s="1463">
        <v>0</v>
      </c>
      <c r="J159" s="1463">
        <v>0</v>
      </c>
      <c r="K159" s="1463">
        <v>0</v>
      </c>
      <c r="L159" s="1463">
        <v>0</v>
      </c>
      <c r="M159" s="1463">
        <v>0</v>
      </c>
      <c r="N159" s="1463">
        <v>0</v>
      </c>
      <c r="O159" s="1463">
        <v>0</v>
      </c>
      <c r="P159" s="1463">
        <v>0</v>
      </c>
      <c r="Q159" s="1463">
        <v>0</v>
      </c>
      <c r="R159" s="1463">
        <v>0</v>
      </c>
      <c r="S159" s="1463">
        <v>0</v>
      </c>
      <c r="T159" s="1463">
        <v>0</v>
      </c>
      <c r="U159" s="1463">
        <v>0</v>
      </c>
      <c r="V159" s="1463">
        <v>0</v>
      </c>
      <c r="W159" s="1463">
        <v>0</v>
      </c>
      <c r="X159" s="1463">
        <v>0</v>
      </c>
      <c r="Y159" s="1463">
        <v>0</v>
      </c>
      <c r="Z159" s="1463">
        <v>0</v>
      </c>
      <c r="AA159" s="1463">
        <v>0</v>
      </c>
    </row>
    <row r="160" spans="2:27" x14ac:dyDescent="0.25">
      <c r="B160" s="244" t="s">
        <v>1109</v>
      </c>
      <c r="C160" s="47" t="s">
        <v>1101</v>
      </c>
      <c r="D160" s="53" t="s">
        <v>1006</v>
      </c>
      <c r="E160" s="298" t="s">
        <v>1061</v>
      </c>
      <c r="F160" s="286">
        <v>3</v>
      </c>
      <c r="G160" s="1464">
        <v>0</v>
      </c>
      <c r="H160" s="1464">
        <v>0</v>
      </c>
      <c r="I160" s="1464">
        <v>0</v>
      </c>
      <c r="J160" s="1464">
        <v>0</v>
      </c>
      <c r="K160" s="1464">
        <v>0</v>
      </c>
      <c r="L160" s="1464">
        <v>0</v>
      </c>
      <c r="M160" s="1464">
        <v>0</v>
      </c>
      <c r="N160" s="1464">
        <v>0</v>
      </c>
      <c r="O160" s="1464">
        <v>0</v>
      </c>
      <c r="P160" s="1464">
        <v>0</v>
      </c>
      <c r="Q160" s="1464">
        <v>0</v>
      </c>
      <c r="R160" s="1464">
        <v>0</v>
      </c>
      <c r="S160" s="1464">
        <v>0</v>
      </c>
      <c r="T160" s="1464">
        <v>0</v>
      </c>
      <c r="U160" s="1464">
        <v>0</v>
      </c>
      <c r="V160" s="1464">
        <v>0</v>
      </c>
      <c r="W160" s="1464">
        <v>0</v>
      </c>
      <c r="X160" s="1464">
        <v>0</v>
      </c>
      <c r="Y160" s="1464">
        <v>0</v>
      </c>
      <c r="Z160" s="1464">
        <v>0</v>
      </c>
      <c r="AA160" s="1465">
        <v>0</v>
      </c>
    </row>
    <row r="161" spans="2:27" x14ac:dyDescent="0.25">
      <c r="B161" s="244" t="s">
        <v>1110</v>
      </c>
      <c r="C161" s="47" t="s">
        <v>1103</v>
      </c>
      <c r="D161" s="53" t="s">
        <v>1006</v>
      </c>
      <c r="E161" s="298" t="s">
        <v>1061</v>
      </c>
      <c r="F161" s="286">
        <v>3</v>
      </c>
      <c r="G161" s="1464">
        <v>0</v>
      </c>
      <c r="H161" s="1464">
        <v>0</v>
      </c>
      <c r="I161" s="1464">
        <v>0</v>
      </c>
      <c r="J161" s="1464">
        <v>0</v>
      </c>
      <c r="K161" s="1464">
        <v>0</v>
      </c>
      <c r="L161" s="1464">
        <v>0</v>
      </c>
      <c r="M161" s="1464">
        <v>1.345707402518568</v>
      </c>
      <c r="N161" s="1464">
        <v>1.345707402518568</v>
      </c>
      <c r="O161" s="1464">
        <v>1.345707402518568</v>
      </c>
      <c r="P161" s="1464">
        <v>1.345707402518568</v>
      </c>
      <c r="Q161" s="1464">
        <v>1.345707402518568</v>
      </c>
      <c r="R161" s="1464">
        <v>6.7285370125928408</v>
      </c>
      <c r="S161" s="1464">
        <v>6.7285370125928408</v>
      </c>
      <c r="T161" s="1464">
        <v>0</v>
      </c>
      <c r="U161" s="1464">
        <v>0</v>
      </c>
      <c r="V161" s="1464">
        <v>0</v>
      </c>
      <c r="W161" s="1464">
        <v>0</v>
      </c>
      <c r="X161" s="1464">
        <v>0</v>
      </c>
      <c r="Y161" s="1464">
        <v>0</v>
      </c>
      <c r="Z161" s="1464">
        <v>0</v>
      </c>
      <c r="AA161" s="1465">
        <v>0</v>
      </c>
    </row>
    <row r="162" spans="2:27" x14ac:dyDescent="0.25">
      <c r="B162" s="244" t="s">
        <v>1111</v>
      </c>
      <c r="C162" s="47" t="s">
        <v>1105</v>
      </c>
      <c r="D162" s="53" t="s">
        <v>1006</v>
      </c>
      <c r="E162" s="298" t="s">
        <v>1061</v>
      </c>
      <c r="F162" s="286">
        <v>3</v>
      </c>
      <c r="G162" s="1464">
        <v>0</v>
      </c>
      <c r="H162" s="1464">
        <v>0</v>
      </c>
      <c r="I162" s="1464">
        <v>0</v>
      </c>
      <c r="J162" s="1464">
        <v>0</v>
      </c>
      <c r="K162" s="1464">
        <v>0</v>
      </c>
      <c r="L162" s="1464">
        <v>0</v>
      </c>
      <c r="M162" s="1464">
        <v>0</v>
      </c>
      <c r="N162" s="1464">
        <v>0</v>
      </c>
      <c r="O162" s="1464">
        <v>0</v>
      </c>
      <c r="P162" s="1464">
        <v>0</v>
      </c>
      <c r="Q162" s="1464">
        <v>0</v>
      </c>
      <c r="R162" s="1464">
        <v>0</v>
      </c>
      <c r="S162" s="1464">
        <v>0</v>
      </c>
      <c r="T162" s="1464">
        <v>0</v>
      </c>
      <c r="U162" s="1464">
        <v>0</v>
      </c>
      <c r="V162" s="1464">
        <v>0</v>
      </c>
      <c r="W162" s="1464">
        <v>0</v>
      </c>
      <c r="X162" s="1464">
        <v>0</v>
      </c>
      <c r="Y162" s="1464">
        <v>0</v>
      </c>
      <c r="Z162" s="1464">
        <v>0</v>
      </c>
      <c r="AA162" s="1465">
        <v>0</v>
      </c>
    </row>
    <row r="163" spans="2:27" x14ac:dyDescent="0.25">
      <c r="B163" s="244" t="s">
        <v>1112</v>
      </c>
      <c r="C163" s="47" t="s">
        <v>1113</v>
      </c>
      <c r="D163" s="53" t="s">
        <v>1006</v>
      </c>
      <c r="E163" s="298" t="s">
        <v>1061</v>
      </c>
      <c r="F163" s="286">
        <v>3</v>
      </c>
      <c r="G163" s="1462">
        <v>0</v>
      </c>
      <c r="H163" s="1462">
        <v>0</v>
      </c>
      <c r="I163" s="1462">
        <v>0</v>
      </c>
      <c r="J163" s="1462">
        <v>0</v>
      </c>
      <c r="K163" s="1462">
        <v>0</v>
      </c>
      <c r="L163" s="1462">
        <v>0</v>
      </c>
      <c r="M163" s="1462">
        <v>5.0677306004277893</v>
      </c>
      <c r="N163" s="1462">
        <v>4.9507115496693093</v>
      </c>
      <c r="O163" s="1462">
        <v>4.8391409778395316</v>
      </c>
      <c r="P163" s="1462">
        <v>4.7327790724327716</v>
      </c>
      <c r="Q163" s="1462">
        <v>4.6313965761897231</v>
      </c>
      <c r="R163" s="1462">
        <v>21.795711561853285</v>
      </c>
      <c r="S163" s="1462">
        <v>19.892700326658549</v>
      </c>
      <c r="T163" s="1462">
        <v>8.4816655082295931</v>
      </c>
      <c r="U163" s="1462">
        <v>7.1605160340281513</v>
      </c>
      <c r="V163" s="1462">
        <v>6.1056232959810606</v>
      </c>
      <c r="W163" s="1462">
        <v>4.0178391108747693</v>
      </c>
      <c r="X163" s="1462">
        <v>1.9262034440841165</v>
      </c>
      <c r="Y163" s="1462">
        <v>1.9262034440841165</v>
      </c>
      <c r="Z163" s="1462">
        <v>1.9262034440841165</v>
      </c>
      <c r="AA163" s="1462">
        <v>1.9262034440841165</v>
      </c>
    </row>
    <row r="164" spans="2:27" ht="14.4" thickBot="1" x14ac:dyDescent="0.3">
      <c r="B164" s="246"/>
      <c r="C164" s="247"/>
      <c r="D164" s="57"/>
      <c r="E164" s="248"/>
      <c r="F164" s="249"/>
      <c r="G164" s="258"/>
      <c r="H164" s="258"/>
      <c r="I164" s="258"/>
      <c r="J164" s="258"/>
      <c r="K164" s="258"/>
      <c r="L164" s="258"/>
      <c r="M164" s="258"/>
      <c r="N164" s="258"/>
      <c r="O164" s="258"/>
      <c r="P164" s="258"/>
      <c r="Q164" s="258"/>
      <c r="R164" s="258"/>
      <c r="S164" s="258"/>
      <c r="T164" s="258"/>
      <c r="U164" s="258"/>
      <c r="V164" s="258"/>
      <c r="W164" s="258"/>
      <c r="X164" s="258"/>
      <c r="Y164" s="258"/>
      <c r="Z164" s="258"/>
      <c r="AA164" s="258"/>
    </row>
    <row r="165" spans="2:27" ht="55.8" thickBot="1" x14ac:dyDescent="0.3">
      <c r="B165" s="210" t="s">
        <v>1114</v>
      </c>
      <c r="G165" s="1530" t="s">
        <v>1018</v>
      </c>
      <c r="H165" s="1592"/>
      <c r="I165" s="1592"/>
      <c r="J165" s="1592"/>
      <c r="K165" s="1592"/>
      <c r="L165" s="1592"/>
      <c r="M165" s="1592"/>
      <c r="N165" s="1592"/>
      <c r="O165" s="1592"/>
      <c r="P165" s="1592"/>
      <c r="Q165" s="1531"/>
      <c r="R165" s="1530" t="s">
        <v>1019</v>
      </c>
      <c r="S165" s="1592"/>
      <c r="T165" s="1592"/>
      <c r="U165" s="1592"/>
      <c r="V165" s="1592"/>
      <c r="W165" s="1592"/>
      <c r="X165" s="1592"/>
      <c r="Y165" s="1592"/>
      <c r="Z165" s="1592"/>
      <c r="AA165" s="1531"/>
    </row>
    <row r="166" spans="2:27" ht="42" thickBot="1" x14ac:dyDescent="0.3">
      <c r="B166" s="251" t="s">
        <v>1020</v>
      </c>
      <c r="C166" s="252" t="s">
        <v>1002</v>
      </c>
      <c r="D166" s="252" t="s">
        <v>1003</v>
      </c>
      <c r="E166" s="252" t="s">
        <v>117</v>
      </c>
      <c r="F166" s="253" t="s">
        <v>118</v>
      </c>
      <c r="G166" s="251" t="s">
        <v>119</v>
      </c>
      <c r="H166" s="252" t="s">
        <v>120</v>
      </c>
      <c r="I166" s="252" t="s">
        <v>121</v>
      </c>
      <c r="J166" s="252" t="s">
        <v>122</v>
      </c>
      <c r="K166" s="252" t="s">
        <v>123</v>
      </c>
      <c r="L166" s="252" t="s">
        <v>124</v>
      </c>
      <c r="M166" s="252" t="s">
        <v>125</v>
      </c>
      <c r="N166" s="252" t="s">
        <v>126</v>
      </c>
      <c r="O166" s="252" t="s">
        <v>127</v>
      </c>
      <c r="P166" s="252" t="s">
        <v>128</v>
      </c>
      <c r="Q166" s="253" t="s">
        <v>129</v>
      </c>
      <c r="R166" s="256" t="s">
        <v>1021</v>
      </c>
      <c r="S166" s="254" t="s">
        <v>1022</v>
      </c>
      <c r="T166" s="254" t="s">
        <v>1023</v>
      </c>
      <c r="U166" s="254" t="s">
        <v>1024</v>
      </c>
      <c r="V166" s="254" t="s">
        <v>1025</v>
      </c>
      <c r="W166" s="254" t="s">
        <v>1026</v>
      </c>
      <c r="X166" s="254" t="s">
        <v>1027</v>
      </c>
      <c r="Y166" s="254" t="s">
        <v>1028</v>
      </c>
      <c r="Z166" s="254" t="s">
        <v>1029</v>
      </c>
      <c r="AA166" s="255" t="s">
        <v>1030</v>
      </c>
    </row>
    <row r="167" spans="2:27" x14ac:dyDescent="0.25">
      <c r="B167" s="244" t="s">
        <v>1115</v>
      </c>
      <c r="C167" s="47" t="s">
        <v>1116</v>
      </c>
      <c r="D167" s="53" t="s">
        <v>811</v>
      </c>
      <c r="E167" s="298" t="s">
        <v>254</v>
      </c>
      <c r="F167" s="286">
        <v>3</v>
      </c>
      <c r="G167" s="1464">
        <f t="shared" ref="G167:L167" si="30">SUM(G108,G111,G114,G117,G120,G127,G136,G145)</f>
        <v>0</v>
      </c>
      <c r="H167" s="1464">
        <f t="shared" si="30"/>
        <v>0</v>
      </c>
      <c r="I167" s="1464">
        <f t="shared" si="30"/>
        <v>0</v>
      </c>
      <c r="J167" s="1464">
        <f t="shared" si="30"/>
        <v>0</v>
      </c>
      <c r="K167" s="1464">
        <f t="shared" si="30"/>
        <v>0</v>
      </c>
      <c r="L167" s="1464">
        <f t="shared" si="30"/>
        <v>0</v>
      </c>
      <c r="M167" s="1464">
        <f>SUM(M108,M111,M114,M117,M120,(M127*1000),(M136*1000),(M145*1000))</f>
        <v>6821.0313154933247</v>
      </c>
      <c r="N167" s="1464">
        <f t="shared" ref="N167:AA167" si="31">SUM(N108,N111,N114,N117,N120,(N127*1000),(N136*1000),(N145*1000))</f>
        <v>9882.3617714228403</v>
      </c>
      <c r="O167" s="1464">
        <f t="shared" si="31"/>
        <v>7605.0247886126608</v>
      </c>
      <c r="P167" s="1464">
        <f t="shared" si="31"/>
        <v>7674.5231488640948</v>
      </c>
      <c r="Q167" s="1464">
        <f t="shared" si="31"/>
        <v>13453.948349349792</v>
      </c>
      <c r="R167" s="1464">
        <f t="shared" si="31"/>
        <v>72645.120887816593</v>
      </c>
      <c r="S167" s="1464">
        <f t="shared" si="31"/>
        <v>68730.213194554934</v>
      </c>
      <c r="T167" s="1464">
        <f t="shared" si="31"/>
        <v>82828.523676928555</v>
      </c>
      <c r="U167" s="1464">
        <f t="shared" si="31"/>
        <v>107075.01727586468</v>
      </c>
      <c r="V167" s="1464">
        <f t="shared" si="31"/>
        <v>4179.4198518969442</v>
      </c>
      <c r="W167" s="1464">
        <f t="shared" si="31"/>
        <v>2091.6356667906525</v>
      </c>
      <c r="X167" s="1464">
        <f t="shared" si="31"/>
        <v>0</v>
      </c>
      <c r="Y167" s="1464">
        <f t="shared" si="31"/>
        <v>0</v>
      </c>
      <c r="Z167" s="1464">
        <f t="shared" si="31"/>
        <v>0</v>
      </c>
      <c r="AA167" s="1464">
        <f t="shared" si="31"/>
        <v>0</v>
      </c>
    </row>
    <row r="168" spans="2:27" x14ac:dyDescent="0.25">
      <c r="B168" s="244" t="s">
        <v>1117</v>
      </c>
      <c r="C168" s="47" t="s">
        <v>1116</v>
      </c>
      <c r="D168" s="53" t="s">
        <v>806</v>
      </c>
      <c r="E168" s="298" t="s">
        <v>254</v>
      </c>
      <c r="F168" s="286">
        <v>3</v>
      </c>
      <c r="G168" s="1464">
        <f t="shared" ref="G168:L168" si="32">SUM(G109,G112,G115,G118,G121,G131,G140,G149)</f>
        <v>0</v>
      </c>
      <c r="H168" s="1464">
        <f t="shared" si="32"/>
        <v>0</v>
      </c>
      <c r="I168" s="1464">
        <f t="shared" si="32"/>
        <v>0</v>
      </c>
      <c r="J168" s="1464">
        <f t="shared" si="32"/>
        <v>0</v>
      </c>
      <c r="K168" s="1464">
        <f t="shared" si="32"/>
        <v>0</v>
      </c>
      <c r="L168" s="1464">
        <f t="shared" si="32"/>
        <v>0</v>
      </c>
      <c r="M168" s="1464">
        <f>SUM(M109,M112,M115,M118,M121,(M131*1000),(M140*1000),(M149*1000))</f>
        <v>214.1196222222222</v>
      </c>
      <c r="N168" s="1464">
        <f t="shared" ref="N168:AA168" si="33">SUM(N109,N112,N115,N118,N121,(N131*1000),(N140*1000),(N149*1000))</f>
        <v>221.26886666666661</v>
      </c>
      <c r="O168" s="1464">
        <f t="shared" si="33"/>
        <v>228.92675555555556</v>
      </c>
      <c r="P168" s="1464">
        <f t="shared" si="33"/>
        <v>236.58464444444445</v>
      </c>
      <c r="Q168" s="1464">
        <f t="shared" si="33"/>
        <v>243.79808888888888</v>
      </c>
      <c r="R168" s="1464">
        <f t="shared" si="33"/>
        <v>1703.8493955555552</v>
      </c>
      <c r="S168" s="1464">
        <f t="shared" si="33"/>
        <v>1472.9035333333334</v>
      </c>
      <c r="T168" s="1464">
        <f t="shared" si="33"/>
        <v>2315.3886440841161</v>
      </c>
      <c r="U168" s="1464">
        <f t="shared" si="33"/>
        <v>2325.6886440841163</v>
      </c>
      <c r="V168" s="1464">
        <f t="shared" si="33"/>
        <v>1926.2034440841164</v>
      </c>
      <c r="W168" s="1464">
        <f t="shared" si="33"/>
        <v>1926.2034440841164</v>
      </c>
      <c r="X168" s="1464">
        <f t="shared" si="33"/>
        <v>1926.2034440841164</v>
      </c>
      <c r="Y168" s="1464">
        <f t="shared" si="33"/>
        <v>1926.2034440841164</v>
      </c>
      <c r="Z168" s="1464">
        <f t="shared" si="33"/>
        <v>1926.2034440841164</v>
      </c>
      <c r="AA168" s="1464">
        <f t="shared" si="33"/>
        <v>1926.2034440841164</v>
      </c>
    </row>
    <row r="169" spans="2:27" ht="14.4" thickBot="1" x14ac:dyDescent="0.3">
      <c r="B169" s="245" t="s">
        <v>1118</v>
      </c>
      <c r="C169" s="48" t="s">
        <v>1116</v>
      </c>
      <c r="D169" s="55" t="s">
        <v>1006</v>
      </c>
      <c r="E169" s="1445" t="s">
        <v>254</v>
      </c>
      <c r="F169" s="287">
        <v>3</v>
      </c>
      <c r="G169" s="1462">
        <f t="shared" ref="G169:L169" si="34">SUM(G167:G168)</f>
        <v>0</v>
      </c>
      <c r="H169" s="1462">
        <f t="shared" si="34"/>
        <v>0</v>
      </c>
      <c r="I169" s="1462">
        <f t="shared" si="34"/>
        <v>0</v>
      </c>
      <c r="J169" s="1462">
        <f t="shared" si="34"/>
        <v>0</v>
      </c>
      <c r="K169" s="1462">
        <f t="shared" si="34"/>
        <v>0</v>
      </c>
      <c r="L169" s="1462">
        <f t="shared" si="34"/>
        <v>0</v>
      </c>
      <c r="M169" s="1462">
        <f t="shared" ref="M169:AA169" si="35">SUM(M167:M168)</f>
        <v>7035.1509377155471</v>
      </c>
      <c r="N169" s="1462">
        <f t="shared" si="35"/>
        <v>10103.630638089508</v>
      </c>
      <c r="O169" s="1462">
        <f t="shared" si="35"/>
        <v>7833.9515441682161</v>
      </c>
      <c r="P169" s="1462">
        <f t="shared" si="35"/>
        <v>7911.1077933085389</v>
      </c>
      <c r="Q169" s="1462">
        <f t="shared" si="35"/>
        <v>13697.746438238681</v>
      </c>
      <c r="R169" s="1462">
        <f t="shared" si="35"/>
        <v>74348.970283372153</v>
      </c>
      <c r="S169" s="1462">
        <f t="shared" si="35"/>
        <v>70203.116727888264</v>
      </c>
      <c r="T169" s="1462">
        <f t="shared" si="35"/>
        <v>85143.912321012671</v>
      </c>
      <c r="U169" s="1462">
        <f t="shared" si="35"/>
        <v>109400.7059199488</v>
      </c>
      <c r="V169" s="1462">
        <f t="shared" si="35"/>
        <v>6105.6232959810604</v>
      </c>
      <c r="W169" s="1462">
        <f t="shared" si="35"/>
        <v>4017.8391108747692</v>
      </c>
      <c r="X169" s="1462">
        <f t="shared" si="35"/>
        <v>1926.2034440841164</v>
      </c>
      <c r="Y169" s="1462">
        <f t="shared" si="35"/>
        <v>1926.2034440841164</v>
      </c>
      <c r="Z169" s="1462">
        <f t="shared" si="35"/>
        <v>1926.2034440841164</v>
      </c>
      <c r="AA169" s="1462">
        <f t="shared" si="35"/>
        <v>1926.2034440841164</v>
      </c>
    </row>
    <row r="170" spans="2:27" ht="14.4" thickBot="1" x14ac:dyDescent="0.3">
      <c r="B170" s="246"/>
      <c r="C170" s="247"/>
      <c r="D170" s="57"/>
      <c r="E170" s="248"/>
      <c r="F170" s="249"/>
      <c r="G170" s="258"/>
      <c r="H170" s="258"/>
      <c r="I170" s="258"/>
      <c r="J170" s="258"/>
      <c r="K170" s="258"/>
      <c r="L170" s="258"/>
      <c r="M170" s="258"/>
      <c r="N170" s="258"/>
      <c r="O170" s="258"/>
      <c r="P170" s="258"/>
      <c r="Q170" s="258"/>
      <c r="R170" s="258"/>
      <c r="S170" s="258"/>
      <c r="T170" s="258"/>
      <c r="U170" s="258"/>
      <c r="V170" s="258"/>
      <c r="W170" s="258"/>
      <c r="X170" s="258"/>
      <c r="Y170" s="258"/>
      <c r="Z170" s="258"/>
      <c r="AA170" s="258"/>
    </row>
    <row r="171" spans="2:27" ht="55.8" thickBot="1" x14ac:dyDescent="0.3">
      <c r="B171" s="210" t="s">
        <v>1119</v>
      </c>
      <c r="G171" s="1530" t="s">
        <v>1018</v>
      </c>
      <c r="H171" s="1592"/>
      <c r="I171" s="1592"/>
      <c r="J171" s="1592"/>
      <c r="K171" s="1592"/>
      <c r="L171" s="1592"/>
      <c r="M171" s="1592"/>
      <c r="N171" s="1592"/>
      <c r="O171" s="1592"/>
      <c r="P171" s="1592"/>
      <c r="Q171" s="1531"/>
      <c r="R171" s="1530" t="s">
        <v>1019</v>
      </c>
      <c r="S171" s="1592"/>
      <c r="T171" s="1592"/>
      <c r="U171" s="1592"/>
      <c r="V171" s="1592"/>
      <c r="W171" s="1592"/>
      <c r="X171" s="1592"/>
      <c r="Y171" s="1592"/>
      <c r="Z171" s="1592"/>
      <c r="AA171" s="1531"/>
    </row>
    <row r="172" spans="2:27" ht="42" thickBot="1" x14ac:dyDescent="0.3">
      <c r="B172" s="251" t="s">
        <v>1020</v>
      </c>
      <c r="C172" s="252" t="s">
        <v>1120</v>
      </c>
      <c r="D172" s="252" t="s">
        <v>1003</v>
      </c>
      <c r="E172" s="252" t="s">
        <v>117</v>
      </c>
      <c r="F172" s="253" t="s">
        <v>118</v>
      </c>
      <c r="G172" s="251" t="s">
        <v>119</v>
      </c>
      <c r="H172" s="252" t="s">
        <v>120</v>
      </c>
      <c r="I172" s="252" t="s">
        <v>121</v>
      </c>
      <c r="J172" s="252" t="s">
        <v>122</v>
      </c>
      <c r="K172" s="252" t="s">
        <v>123</v>
      </c>
      <c r="L172" s="252" t="s">
        <v>124</v>
      </c>
      <c r="M172" s="252" t="s">
        <v>125</v>
      </c>
      <c r="N172" s="252" t="s">
        <v>126</v>
      </c>
      <c r="O172" s="252" t="s">
        <v>127</v>
      </c>
      <c r="P172" s="252" t="s">
        <v>128</v>
      </c>
      <c r="Q172" s="253" t="s">
        <v>129</v>
      </c>
      <c r="R172" s="256" t="s">
        <v>1021</v>
      </c>
      <c r="S172" s="254" t="s">
        <v>1022</v>
      </c>
      <c r="T172" s="254" t="s">
        <v>1023</v>
      </c>
      <c r="U172" s="254" t="s">
        <v>1024</v>
      </c>
      <c r="V172" s="254" t="s">
        <v>1025</v>
      </c>
      <c r="W172" s="254" t="s">
        <v>1026</v>
      </c>
      <c r="X172" s="254" t="s">
        <v>1027</v>
      </c>
      <c r="Y172" s="254" t="s">
        <v>1028</v>
      </c>
      <c r="Z172" s="254" t="s">
        <v>1029</v>
      </c>
      <c r="AA172" s="255" t="s">
        <v>1030</v>
      </c>
    </row>
    <row r="173" spans="2:27" x14ac:dyDescent="0.25">
      <c r="B173" s="1129" t="s">
        <v>1121</v>
      </c>
      <c r="C173" s="1130" t="s">
        <v>1122</v>
      </c>
      <c r="D173" s="1131" t="s">
        <v>1123</v>
      </c>
      <c r="E173" s="1132" t="s">
        <v>146</v>
      </c>
      <c r="F173" s="1133">
        <v>2</v>
      </c>
      <c r="G173" s="1467">
        <v>0</v>
      </c>
      <c r="H173" s="1467">
        <v>0</v>
      </c>
      <c r="I173" s="1467">
        <v>0</v>
      </c>
      <c r="J173" s="1467">
        <v>0</v>
      </c>
      <c r="K173" s="1467">
        <v>0</v>
      </c>
      <c r="L173" s="1467">
        <v>0</v>
      </c>
      <c r="M173" s="1467">
        <v>0</v>
      </c>
      <c r="N173" s="1467">
        <v>0</v>
      </c>
      <c r="O173" s="1467">
        <v>0</v>
      </c>
      <c r="P173" s="1467">
        <v>0</v>
      </c>
      <c r="Q173" s="1467">
        <v>0</v>
      </c>
      <c r="R173" s="1467">
        <v>0</v>
      </c>
      <c r="S173" s="1467">
        <v>0</v>
      </c>
      <c r="T173" s="1467">
        <v>0</v>
      </c>
      <c r="U173" s="1467">
        <v>0</v>
      </c>
      <c r="V173" s="1467">
        <v>0</v>
      </c>
      <c r="W173" s="1467">
        <v>0</v>
      </c>
      <c r="X173" s="1467">
        <v>0</v>
      </c>
      <c r="Y173" s="1467">
        <v>0</v>
      </c>
      <c r="Z173" s="1467">
        <v>0</v>
      </c>
      <c r="AA173" s="1467">
        <v>0</v>
      </c>
    </row>
    <row r="174" spans="2:27" x14ac:dyDescent="0.25">
      <c r="B174" s="244" t="s">
        <v>1124</v>
      </c>
      <c r="C174" s="47" t="s">
        <v>1125</v>
      </c>
      <c r="D174" s="53" t="s">
        <v>1123</v>
      </c>
      <c r="E174" s="54" t="s">
        <v>146</v>
      </c>
      <c r="F174" s="286">
        <v>2</v>
      </c>
      <c r="G174" s="1467">
        <f>'5. Options Benefits'!L$7+'5. Options Benefits'!L$10+'5. Options Benefits'!L$11+'5. Options Benefits'!L$12+'5. Options Benefits'!L$14+'5. Options Benefits'!L$15+'5. Options Benefits'!L$16+'5. Options Benefits'!L$17+'5. Options Benefits'!L$18+'5. Options Benefits'!L$19+'5. Options Benefits'!L$20</f>
        <v>0</v>
      </c>
      <c r="H174" s="1467">
        <f>'5. Options Benefits'!M$7+'5. Options Benefits'!M$10+'5. Options Benefits'!M$11+'5. Options Benefits'!M$12+'5. Options Benefits'!M$14+'5. Options Benefits'!M$15+'5. Options Benefits'!M$16+'5. Options Benefits'!M$17+'5. Options Benefits'!M$18+'5. Options Benefits'!M$19+'5. Options Benefits'!M$20</f>
        <v>0</v>
      </c>
      <c r="I174" s="1467">
        <f>'5. Options Benefits'!N$7+'5. Options Benefits'!N$10+'5. Options Benefits'!N$11+'5. Options Benefits'!N$12+'5. Options Benefits'!N$14+'5. Options Benefits'!N$15+'5. Options Benefits'!N$16+'5. Options Benefits'!N$17+'5. Options Benefits'!N$18+'5. Options Benefits'!N$19+'5. Options Benefits'!N$20</f>
        <v>0</v>
      </c>
      <c r="J174" s="1467">
        <f>'5. Options Benefits'!O$7+'5. Options Benefits'!O$10+'5. Options Benefits'!O$11+'5. Options Benefits'!O$12+'5. Options Benefits'!O$14+'5. Options Benefits'!O$15+'5. Options Benefits'!O$16+'5. Options Benefits'!O$17+'5. Options Benefits'!O$18+'5. Options Benefits'!O$19+'5. Options Benefits'!O$20</f>
        <v>0</v>
      </c>
      <c r="K174" s="1467">
        <f>'5. Options Benefits'!P$7+'5. Options Benefits'!P$10+'5. Options Benefits'!P$11+'5. Options Benefits'!P$12+'5. Options Benefits'!P$14+'5. Options Benefits'!P$15+'5. Options Benefits'!P$16+'5. Options Benefits'!P$17+'5. Options Benefits'!P$18+'5. Options Benefits'!P$19+'5. Options Benefits'!P$20</f>
        <v>0</v>
      </c>
      <c r="L174" s="1488">
        <f>'5. Options Benefits'!Q$7+'5. Options Benefits'!Q$10+'5. Options Benefits'!Q$11+'5. Options Benefits'!Q$12+'5. Options Benefits'!Q$14+'5. Options Benefits'!Q$15+'5. Options Benefits'!Q$16+'5. Options Benefits'!Q$17</f>
        <v>0</v>
      </c>
      <c r="M174" s="1488">
        <f>'5. Options Benefits'!R$7+'5. Options Benefits'!R$10+'5. Options Benefits'!R$11+'5. Options Benefits'!R$12+'5. Options Benefits'!R$14+'5. Options Benefits'!R$15+'5. Options Benefits'!R$16+'5. Options Benefits'!R$17</f>
        <v>5.2531736453847407E-2</v>
      </c>
      <c r="N174" s="1488">
        <f>'5. Options Benefits'!S$7+'5. Options Benefits'!S$10+'5. Options Benefits'!S$11+'5. Options Benefits'!S$12+'5. Options Benefits'!S$14+'5. Options Benefits'!S$15+'5. Options Benefits'!S$16+'5. Options Benefits'!S$17</f>
        <v>0.929057269800319</v>
      </c>
      <c r="O174" s="1488">
        <f>'5. Options Benefits'!T$7+'5. Options Benefits'!T$10+'5. Options Benefits'!T$11+'5. Options Benefits'!T$12+'5. Options Benefits'!T$14+'5. Options Benefits'!T$15+'5. Options Benefits'!T$16+'5. Options Benefits'!T$17</f>
        <v>1.8136271114794573</v>
      </c>
      <c r="P174" s="1488">
        <f>'5. Options Benefits'!U$7+'5. Options Benefits'!U$10+'5. Options Benefits'!U$11+'5. Options Benefits'!U$12+'5. Options Benefits'!U$14+'5. Options Benefits'!U$15+'5. Options Benefits'!U$16+'5. Options Benefits'!U$17</f>
        <v>2.7087097933881736</v>
      </c>
      <c r="Q174" s="1488">
        <f>'5. Options Benefits'!V$7+'5. Options Benefits'!V$10+'5. Options Benefits'!V$11+'5. Options Benefits'!V$12+'5. Options Benefits'!V$14+'5. Options Benefits'!V$15+'5. Options Benefits'!V$16+'5. Options Benefits'!V$17</f>
        <v>3.6150330561187873</v>
      </c>
      <c r="R174" s="1489">
        <f>('5. Options Benefits'!$AA$7+'5. Options Benefits'!$AA$10+'5. Options Benefits'!$AA$11+'5. Options Benefits'!$AA$12+'5. Options Benefits'!$AA$14+'5. Options Benefits'!$AA$15+'5. Options Benefits'!$AA$16+'5. Options Benefits'!$AA$17)-TBL8e_Supply_Demand_Benefit374326[[#This Row],[2029-30]]</f>
        <v>12.956288280094004</v>
      </c>
      <c r="S174" s="1489">
        <f>('5. Options Benefits'!$AF$7+'5. Options Benefits'!$AF$10+'5. Options Benefits'!$AF$11+'5. Options Benefits'!$AF$12+'5. Options Benefits'!$AF$14+'5. Options Benefits'!$AF$15+'5. Options Benefits'!$AF$16+'5. Options Benefits'!$AF$17)-TBL8e_Supply_Demand_Benefit374326[[#This Row],[2030-31 
to 
2034-35]]</f>
        <v>7.6059009977740573</v>
      </c>
      <c r="T174" s="1489">
        <f>('5. Options Benefits'!$AK$7+'5. Options Benefits'!$AK$10+'5. Options Benefits'!$AK$11+'5. Options Benefits'!$AK$12+'5. Options Benefits'!$AK$14+'5. Options Benefits'!$AK$15+'5. Options Benefits'!$AK$16+'5. Options Benefits'!$AK$17)-TBL8e_Supply_Demand_Benefit374326[[#This Row],[2035-36 
to 
2039-40]]</f>
        <v>16.514921111210995</v>
      </c>
      <c r="U174" s="1489">
        <f>('5. Options Benefits'!$AP$7+'5. Options Benefits'!$AP$10+'5. Options Benefits'!$AP$11+'5. Options Benefits'!$AP$12+'5. Options Benefits'!$AP$14+'5. Options Benefits'!$AP$15+'5. Options Benefits'!$AP$16+'5. Options Benefits'!$AP$17)-TBL8e_Supply_Demand_Benefit374326[[#This Row],[2040-41 
to 
2044-45]]</f>
        <v>11.049564260719006</v>
      </c>
      <c r="V174" s="1489">
        <f>('5. Options Benefits'!$AU$7+'5. Options Benefits'!$AU$10+'5. Options Benefits'!$AU$11+'5. Options Benefits'!$AU$12+'5. Options Benefits'!$AU$14+'5. Options Benefits'!$AU$15+'5. Options Benefits'!$AU$16+'5. Options Benefits'!$AU$17)-TBL8e_Supply_Demand_Benefit374326[[#This Row],[2045-46 
to 
2049-50]]</f>
        <v>19.825142060413757</v>
      </c>
      <c r="W174" s="1489">
        <f>('5. Options Benefits'!$AZ$7+'5. Options Benefits'!$AZ$10+'5. Options Benefits'!$AZ$11+'5. Options Benefits'!$AZ$12+'5. Options Benefits'!$AZ$14+'5. Options Benefits'!$AZ$15+'5. Options Benefits'!$AZ$16+'5. Options Benefits'!$AZ$17)-TBL8e_Supply_Demand_Benefit374326[[#This Row],[2050-51 
to 
2054-55]]</f>
        <v>6.6298584197493184</v>
      </c>
      <c r="X174" s="1489">
        <f>TBL8e_Supply_Demand_Benefit374326[[#This Row],[2055-56 
to 
2059-60]]</f>
        <v>6.6298584197493184</v>
      </c>
      <c r="Y174" s="1489">
        <f>TBL8e_Supply_Demand_Benefit374326[[#This Row],[2060-61 
to 
2064-65]]</f>
        <v>6.6298584197493184</v>
      </c>
      <c r="Z174" s="1489">
        <f>TBL8e_Supply_Demand_Benefit374326[[#This Row],[2065-66 
to 
2069-70]]</f>
        <v>6.6298584197493184</v>
      </c>
      <c r="AA174" s="1489">
        <f>TBL8e_Supply_Demand_Benefit374326[[#This Row],[2070-71 
to 
2074-75]]</f>
        <v>6.6298584197493184</v>
      </c>
    </row>
    <row r="175" spans="2:27" x14ac:dyDescent="0.25">
      <c r="B175" s="244" t="s">
        <v>1126</v>
      </c>
      <c r="C175" s="47" t="s">
        <v>1045</v>
      </c>
      <c r="D175" s="53" t="s">
        <v>1123</v>
      </c>
      <c r="E175" s="54" t="s">
        <v>146</v>
      </c>
      <c r="F175" s="286">
        <v>2</v>
      </c>
      <c r="G175" s="1467">
        <f>'5. Options Benefits'!L$6</f>
        <v>0</v>
      </c>
      <c r="H175" s="1467">
        <f>'5. Options Benefits'!M$6</f>
        <v>0</v>
      </c>
      <c r="I175" s="1467">
        <f>'5. Options Benefits'!N$6</f>
        <v>0</v>
      </c>
      <c r="J175" s="1467">
        <f>'5. Options Benefits'!O$6</f>
        <v>0</v>
      </c>
      <c r="K175" s="1467">
        <f>'5. Options Benefits'!P$6</f>
        <v>0</v>
      </c>
      <c r="L175" s="1488">
        <f>'5. Options Benefits'!Q$6</f>
        <v>0</v>
      </c>
      <c r="M175" s="1488">
        <f>'5. Options Benefits'!R$6</f>
        <v>0.11816332519755564</v>
      </c>
      <c r="N175" s="1488">
        <f>'5. Options Benefits'!S$6</f>
        <v>0.76917863108668938</v>
      </c>
      <c r="O175" s="1488">
        <f>'5. Options Benefits'!T$6</f>
        <v>1.451219970315992</v>
      </c>
      <c r="P175" s="1488">
        <f>'5. Options Benefits'!U$6</f>
        <v>1.9302609665400456</v>
      </c>
      <c r="Q175" s="1488">
        <f>'5. Options Benefits'!V$6</f>
        <v>2.3732168856927491</v>
      </c>
      <c r="R175" s="1489">
        <f>(SUM('5. Options Benefits'!$AA$6))-TBL8e_Supply_Demand_Benefit374326[[#This Row],[2029-30]]</f>
        <v>3.4067459732242891</v>
      </c>
      <c r="S175" s="1489">
        <f>(SUM('5. Options Benefits'!$AF$6))-TBL8e_Supply_Demand_Benefit374326[[#This Row],[2030-31 
to 
2034-35]]</f>
        <v>4.2103002559754721</v>
      </c>
      <c r="T175" s="1489">
        <f>(SUM('5. Options Benefits'!$AK$6))-TBL8e_Supply_Demand_Benefit374326[[#This Row],[2035-36 
to 
2039-40]]</f>
        <v>4.4354378039241347</v>
      </c>
      <c r="U175" s="1489">
        <f>(SUM('5. Options Benefits'!$AP$6))-TBL8e_Supply_Demand_Benefit374326[[#This Row],[2040-41 
to 
2044-45]]</f>
        <v>5.4511805512911149</v>
      </c>
      <c r="V175" s="1489">
        <f>U175</f>
        <v>5.4511805512911149</v>
      </c>
      <c r="W175" s="1489">
        <f t="shared" ref="W175:AA175" si="36">V175</f>
        <v>5.4511805512911149</v>
      </c>
      <c r="X175" s="1489">
        <f t="shared" si="36"/>
        <v>5.4511805512911149</v>
      </c>
      <c r="Y175" s="1489">
        <f t="shared" si="36"/>
        <v>5.4511805512911149</v>
      </c>
      <c r="Z175" s="1489">
        <f t="shared" si="36"/>
        <v>5.4511805512911149</v>
      </c>
      <c r="AA175" s="1489">
        <f t="shared" si="36"/>
        <v>5.4511805512911149</v>
      </c>
    </row>
    <row r="176" spans="2:27" x14ac:dyDescent="0.25">
      <c r="B176" s="244" t="s">
        <v>1127</v>
      </c>
      <c r="C176" s="47" t="s">
        <v>1128</v>
      </c>
      <c r="D176" s="53" t="s">
        <v>1123</v>
      </c>
      <c r="E176" s="54" t="s">
        <v>146</v>
      </c>
      <c r="F176" s="286">
        <v>2</v>
      </c>
      <c r="G176" s="1467">
        <v>0</v>
      </c>
      <c r="H176" s="1467">
        <v>0</v>
      </c>
      <c r="I176" s="1467">
        <v>0</v>
      </c>
      <c r="J176" s="1467">
        <v>0</v>
      </c>
      <c r="K176" s="1467">
        <v>0</v>
      </c>
      <c r="L176" s="1467">
        <v>0</v>
      </c>
      <c r="M176" s="1467">
        <v>0</v>
      </c>
      <c r="N176" s="1467">
        <v>0</v>
      </c>
      <c r="O176" s="1467">
        <v>0</v>
      </c>
      <c r="P176" s="1467">
        <v>0</v>
      </c>
      <c r="Q176" s="1467">
        <v>0</v>
      </c>
      <c r="R176" s="1467">
        <v>0</v>
      </c>
      <c r="S176" s="1467">
        <v>0</v>
      </c>
      <c r="T176" s="1467">
        <v>0</v>
      </c>
      <c r="U176" s="1467">
        <v>0</v>
      </c>
      <c r="V176" s="1467">
        <v>0</v>
      </c>
      <c r="W176" s="1467">
        <v>0</v>
      </c>
      <c r="X176" s="1467">
        <v>0</v>
      </c>
      <c r="Y176" s="1467">
        <v>0</v>
      </c>
      <c r="Z176" s="1467">
        <v>0</v>
      </c>
      <c r="AA176" s="1467">
        <v>0</v>
      </c>
    </row>
    <row r="177" spans="2:27" x14ac:dyDescent="0.25">
      <c r="B177" s="244" t="s">
        <v>1129</v>
      </c>
      <c r="C177" s="47" t="s">
        <v>1130</v>
      </c>
      <c r="D177" s="53" t="s">
        <v>1123</v>
      </c>
      <c r="E177" s="54" t="s">
        <v>146</v>
      </c>
      <c r="F177" s="286">
        <v>2</v>
      </c>
      <c r="G177" s="1468">
        <f>SUM(G178:G184)</f>
        <v>0</v>
      </c>
      <c r="H177" s="1468">
        <f t="shared" ref="H177:Z177" si="37">SUM(H178:H184)</f>
        <v>0</v>
      </c>
      <c r="I177" s="1468">
        <f t="shared" si="37"/>
        <v>0</v>
      </c>
      <c r="J177" s="1468">
        <f t="shared" si="37"/>
        <v>0</v>
      </c>
      <c r="K177" s="1468">
        <f t="shared" si="37"/>
        <v>0</v>
      </c>
      <c r="L177" s="1468">
        <f t="shared" si="37"/>
        <v>0</v>
      </c>
      <c r="M177" s="1468">
        <f t="shared" si="37"/>
        <v>0.89738819585268481</v>
      </c>
      <c r="N177" s="1468">
        <f t="shared" si="37"/>
        <v>2.5976841394882149</v>
      </c>
      <c r="O177" s="1468">
        <f t="shared" si="37"/>
        <v>4.3886125127199982</v>
      </c>
      <c r="P177" s="1468">
        <f t="shared" si="37"/>
        <v>6.268248494162405</v>
      </c>
      <c r="Q177" s="1468">
        <f t="shared" si="37"/>
        <v>8.2406228788835296</v>
      </c>
      <c r="R177" s="1468">
        <f t="shared" si="37"/>
        <v>9.1010409570590269</v>
      </c>
      <c r="S177" s="1468">
        <f t="shared" si="37"/>
        <v>19.573040840017484</v>
      </c>
      <c r="T177" s="1468">
        <f t="shared" si="37"/>
        <v>14.891853612882818</v>
      </c>
      <c r="U177" s="1468">
        <f t="shared" si="37"/>
        <v>20.245698074887876</v>
      </c>
      <c r="V177" s="1468">
        <f t="shared" si="37"/>
        <v>9.7999780807734744</v>
      </c>
      <c r="W177" s="1468">
        <f t="shared" si="37"/>
        <v>13.540949883831189</v>
      </c>
      <c r="X177" s="1468">
        <f t="shared" si="37"/>
        <v>5.673554957364642</v>
      </c>
      <c r="Y177" s="1468">
        <f t="shared" si="37"/>
        <v>12.379311979831208</v>
      </c>
      <c r="Z177" s="1468">
        <f t="shared" si="37"/>
        <v>6.1557930449069254</v>
      </c>
      <c r="AA177" s="1468">
        <f>SUM(AA178:AA184)</f>
        <v>12.6359802752568</v>
      </c>
    </row>
    <row r="178" spans="2:27" x14ac:dyDescent="0.25">
      <c r="B178" s="244" t="s">
        <v>1131</v>
      </c>
      <c r="C178" s="47" t="s">
        <v>1132</v>
      </c>
      <c r="D178" s="53" t="s">
        <v>1123</v>
      </c>
      <c r="E178" s="54" t="s">
        <v>146</v>
      </c>
      <c r="F178" s="286">
        <v>2</v>
      </c>
      <c r="G178" s="1467">
        <v>0</v>
      </c>
      <c r="H178" s="1467">
        <v>0</v>
      </c>
      <c r="I178" s="1467">
        <v>0</v>
      </c>
      <c r="J178" s="1467">
        <v>0</v>
      </c>
      <c r="K178" s="1467">
        <v>0</v>
      </c>
      <c r="L178" s="1467">
        <v>0</v>
      </c>
      <c r="M178" s="1467">
        <v>0</v>
      </c>
      <c r="N178" s="1467">
        <v>0</v>
      </c>
      <c r="O178" s="1467">
        <v>0</v>
      </c>
      <c r="P178" s="1467">
        <v>0</v>
      </c>
      <c r="Q178" s="1467">
        <v>0</v>
      </c>
      <c r="R178" s="1467">
        <v>0</v>
      </c>
      <c r="S178" s="1467">
        <v>0</v>
      </c>
      <c r="T178" s="1467">
        <v>0</v>
      </c>
      <c r="U178" s="1467">
        <v>0</v>
      </c>
      <c r="V178" s="1467">
        <v>0</v>
      </c>
      <c r="W178" s="1467">
        <v>0</v>
      </c>
      <c r="X178" s="1467">
        <v>0</v>
      </c>
      <c r="Y178" s="1467">
        <v>0</v>
      </c>
      <c r="Z178" s="1467">
        <v>0</v>
      </c>
      <c r="AA178" s="1467">
        <v>0</v>
      </c>
    </row>
    <row r="179" spans="2:27" x14ac:dyDescent="0.25">
      <c r="B179" s="244" t="s">
        <v>1133</v>
      </c>
      <c r="C179" s="47" t="s">
        <v>1134</v>
      </c>
      <c r="D179" s="53" t="s">
        <v>1123</v>
      </c>
      <c r="E179" s="54" t="s">
        <v>146</v>
      </c>
      <c r="F179" s="286">
        <v>2</v>
      </c>
      <c r="G179" s="1467">
        <v>0</v>
      </c>
      <c r="H179" s="1467">
        <v>0</v>
      </c>
      <c r="I179" s="1467">
        <v>0</v>
      </c>
      <c r="J179" s="1467">
        <v>0</v>
      </c>
      <c r="K179" s="1467">
        <v>0</v>
      </c>
      <c r="L179" s="1467">
        <v>0</v>
      </c>
      <c r="M179" s="1467">
        <v>0</v>
      </c>
      <c r="N179" s="1467">
        <v>0</v>
      </c>
      <c r="O179" s="1467">
        <v>0</v>
      </c>
      <c r="P179" s="1467">
        <v>0</v>
      </c>
      <c r="Q179" s="1467">
        <v>0</v>
      </c>
      <c r="R179" s="1467">
        <v>0</v>
      </c>
      <c r="S179" s="1467">
        <v>0</v>
      </c>
      <c r="T179" s="1467">
        <v>0</v>
      </c>
      <c r="U179" s="1467">
        <v>0</v>
      </c>
      <c r="V179" s="1467">
        <v>0</v>
      </c>
      <c r="W179" s="1467">
        <v>0</v>
      </c>
      <c r="X179" s="1467">
        <v>0</v>
      </c>
      <c r="Y179" s="1467">
        <v>0</v>
      </c>
      <c r="Z179" s="1467">
        <v>0</v>
      </c>
      <c r="AA179" s="1467">
        <v>0</v>
      </c>
    </row>
    <row r="180" spans="2:27" x14ac:dyDescent="0.25">
      <c r="B180" s="244" t="s">
        <v>1135</v>
      </c>
      <c r="C180" s="47" t="s">
        <v>1136</v>
      </c>
      <c r="D180" s="53" t="s">
        <v>1123</v>
      </c>
      <c r="E180" s="54" t="s">
        <v>146</v>
      </c>
      <c r="F180" s="286">
        <v>2</v>
      </c>
      <c r="G180" s="1467">
        <f>'5. Options Benefits'!L$9</f>
        <v>0</v>
      </c>
      <c r="H180" s="1467">
        <f>'5. Options Benefits'!M$9</f>
        <v>0</v>
      </c>
      <c r="I180" s="1467">
        <f>'5. Options Benefits'!N$9</f>
        <v>0</v>
      </c>
      <c r="J180" s="1467">
        <f>'5. Options Benefits'!O$9</f>
        <v>0</v>
      </c>
      <c r="K180" s="1467">
        <f>'5. Options Benefits'!P$9</f>
        <v>0</v>
      </c>
      <c r="L180" s="1488">
        <f>'5. Options Benefits'!Q$9</f>
        <v>0</v>
      </c>
      <c r="M180" s="1488">
        <f>'5. Options Benefits'!R$9</f>
        <v>0.67590083483410013</v>
      </c>
      <c r="N180" s="1488">
        <f>'5. Options Benefits'!S$9</f>
        <v>2.0124677845200307</v>
      </c>
      <c r="O180" s="1488">
        <f>'5. Options Benefits'!T$9</f>
        <v>3.3191775102725867</v>
      </c>
      <c r="P180" s="1488">
        <f>'5. Options Benefits'!U$9</f>
        <v>4.596527597252889</v>
      </c>
      <c r="Q180" s="1488">
        <f>'5. Options Benefits'!V$9</f>
        <v>5.8460874475670472</v>
      </c>
      <c r="R180" s="1489">
        <f>('5. Options Benefits'!$AA$9)-TBL8e_Supply_Demand_Benefit374326[[#This Row],[2029-30]]</f>
        <v>3.7509289151626373</v>
      </c>
      <c r="S180" s="1489">
        <f>('5. Options Benefits'!$AF$9)-TBL8e_Supply_Demand_Benefit374326[[#This Row],[2030-31 
to 
2034-35]]</f>
        <v>8.9727299117876402</v>
      </c>
      <c r="T180" s="1489">
        <f>('5. Options Benefits'!$AK$9)-TBL8e_Supply_Demand_Benefit374326[[#This Row],[2035-36 
to 
2039-40]]</f>
        <v>3.4826907287001259</v>
      </c>
      <c r="U180" s="1489">
        <f>('5. Options Benefits'!$AP$9)-TBL8e_Supply_Demand_Benefit374326[[#This Row],[2040-41 
to 
2044-45]]</f>
        <v>9.5564946498037653</v>
      </c>
      <c r="V180" s="1489">
        <f>('5. Options Benefits'!$AU$9)-TBL8e_Supply_Demand_Benefit374326[[#This Row],[2045-46 
to 
2049-50]]</f>
        <v>4.0714100811989535</v>
      </c>
      <c r="W180" s="1489">
        <f>('5. Options Benefits'!$AZ$9)-TBL8e_Supply_Demand_Benefit374326[[#This Row],[2050-51 
to 
2054-55]]</f>
        <v>9.8560471924234001</v>
      </c>
      <c r="X180" s="1489">
        <f>('5. Options Benefits'!$BE$9)-TBL8e_Supply_Demand_Benefit374326[[#This Row],[2055-56 
to 
2059-60]]</f>
        <v>3.990660825926609</v>
      </c>
      <c r="Y180" s="1489">
        <f>('5. Options Benefits'!$BJ$9)-TBL8e_Supply_Demand_Benefit374326[[#This Row],[2060-61 
to 
2064-65]]</f>
        <v>9.8549652984514857</v>
      </c>
      <c r="Z180" s="1489">
        <f>('5. Options Benefits'!$BO$9)-TBL8e_Supply_Demand_Benefit374326[[#This Row],[2065-66 
to 
2069-70]]</f>
        <v>3.9901594262953619</v>
      </c>
      <c r="AA180" s="1490">
        <f>('5. Options Benefits'!$BT$9)-TBL8e_Supply_Demand_Benefit374326[[#This Row],[2070-71 
to 
2074-75]]</f>
        <v>9.8534054350966134</v>
      </c>
    </row>
    <row r="181" spans="2:27" ht="27.6" x14ac:dyDescent="0.25">
      <c r="B181" s="244" t="s">
        <v>1137</v>
      </c>
      <c r="C181" s="47" t="s">
        <v>1138</v>
      </c>
      <c r="D181" s="53" t="s">
        <v>1123</v>
      </c>
      <c r="E181" s="54" t="s">
        <v>146</v>
      </c>
      <c r="F181" s="286">
        <v>2</v>
      </c>
      <c r="G181" s="1467">
        <v>0</v>
      </c>
      <c r="H181" s="1467">
        <v>0</v>
      </c>
      <c r="I181" s="1467">
        <v>0</v>
      </c>
      <c r="J181" s="1467">
        <v>0</v>
      </c>
      <c r="K181" s="1467">
        <v>0</v>
      </c>
      <c r="L181" s="1467">
        <v>0</v>
      </c>
      <c r="M181" s="1467">
        <v>0</v>
      </c>
      <c r="N181" s="1467">
        <v>0</v>
      </c>
      <c r="O181" s="1467">
        <v>0</v>
      </c>
      <c r="P181" s="1467">
        <v>0</v>
      </c>
      <c r="Q181" s="1467">
        <v>0</v>
      </c>
      <c r="R181" s="1467">
        <v>0</v>
      </c>
      <c r="S181" s="1467">
        <v>0</v>
      </c>
      <c r="T181" s="1467">
        <v>0</v>
      </c>
      <c r="U181" s="1467">
        <v>0</v>
      </c>
      <c r="V181" s="1467">
        <v>0</v>
      </c>
      <c r="W181" s="1467">
        <v>0</v>
      </c>
      <c r="X181" s="1467">
        <v>0</v>
      </c>
      <c r="Y181" s="1467">
        <v>0</v>
      </c>
      <c r="Z181" s="1467">
        <v>0</v>
      </c>
      <c r="AA181" s="1467">
        <v>0</v>
      </c>
    </row>
    <row r="182" spans="2:27" ht="27.6" x14ac:dyDescent="0.25">
      <c r="B182" s="244" t="s">
        <v>1139</v>
      </c>
      <c r="C182" s="47" t="s">
        <v>1140</v>
      </c>
      <c r="D182" s="53" t="s">
        <v>1123</v>
      </c>
      <c r="E182" s="54" t="s">
        <v>146</v>
      </c>
      <c r="F182" s="286">
        <v>2</v>
      </c>
      <c r="G182" s="1467">
        <f>'5. Options Benefits'!L$8</f>
        <v>0</v>
      </c>
      <c r="H182" s="1467">
        <f>'5. Options Benefits'!M$8</f>
        <v>0</v>
      </c>
      <c r="I182" s="1467">
        <f>'5. Options Benefits'!N$8</f>
        <v>0</v>
      </c>
      <c r="J182" s="1467">
        <f>'5. Options Benefits'!O$8</f>
        <v>0</v>
      </c>
      <c r="K182" s="1467">
        <f>'5. Options Benefits'!P$8</f>
        <v>0</v>
      </c>
      <c r="L182" s="1488">
        <f>'5. Options Benefits'!Q$8</f>
        <v>0</v>
      </c>
      <c r="M182" s="1488">
        <f>'5. Options Benefits'!R$8</f>
        <v>0.13666656515766601</v>
      </c>
      <c r="N182" s="1488">
        <f>'5. Options Benefits'!S$8</f>
        <v>0.27007255081391845</v>
      </c>
      <c r="O182" s="1488">
        <f>'5. Options Benefits'!T$8</f>
        <v>0.40308625240248913</v>
      </c>
      <c r="P182" s="1488">
        <f>'5. Options Benefits'!U$8</f>
        <v>0.53409851183187318</v>
      </c>
      <c r="Q182" s="1488">
        <f>'5. Options Benefits'!V$8</f>
        <v>0.66618227039761269</v>
      </c>
      <c r="R182" s="1489">
        <f>('5. Options Benefits'!$AA$8)-TBL8e_Supply_Demand_Benefit374326[[#This Row],[2029-30]]</f>
        <v>0.62777166142440899</v>
      </c>
      <c r="S182" s="1489">
        <f>('5. Options Benefits'!$AF$8)-TBL8e_Supply_Demand_Benefit374326[[#This Row],[2030-31 
to 
2034-35]]</f>
        <v>1.26624937984344</v>
      </c>
      <c r="T182" s="1489">
        <f>('5. Options Benefits'!$AK$8)-TBL8e_Supply_Demand_Benefit374326[[#This Row],[2035-36 
to 
2039-40]]</f>
        <v>0.90994518703753924</v>
      </c>
      <c r="U182" s="1489">
        <f>('5. Options Benefits'!$AP$8)-TBL8e_Supply_Demand_Benefit374326[[#This Row],[2040-41 
to 
2044-45]]</f>
        <v>1.5323301116603059</v>
      </c>
      <c r="V182" s="1489">
        <f>('5. Options Benefits'!$AU$8)-TBL8e_Supply_Demand_Benefit374326[[#This Row],[2045-46 
to 
2049-50]]</f>
        <v>1.1764579120214167</v>
      </c>
      <c r="W182" s="1489">
        <f>('5. Options Benefits'!$AZ$8)-TBL8e_Supply_Demand_Benefit374326[[#This Row],[2050-51 
to 
2054-55]]</f>
        <v>1.7961708872777931</v>
      </c>
      <c r="X182" s="1489">
        <f>('5. Options Benefits'!$BE$8)-TBL8e_Supply_Demand_Benefit374326[[#This Row],[2055-56 
to 
2059-60]]</f>
        <v>1.4388472210960779</v>
      </c>
      <c r="Y182" s="1489">
        <f>('5. Options Benefits'!$BJ$8)-TBL8e_Supply_Demand_Benefit374326[[#This Row],[2060-61 
to 
2064-65]]</f>
        <v>2.0571266868269804</v>
      </c>
      <c r="Z182" s="1489">
        <f>('5. Options Benefits'!$BO$8)-TBL8e_Supply_Demand_Benefit374326[[#This Row],[2065-66 
to 
2069-70]]</f>
        <v>1.6984136240588219</v>
      </c>
      <c r="AA182" s="1490">
        <f>('5. Options Benefits'!$BT$8)-TBL8e_Supply_Demand_Benefit374326[[#This Row],[2070-71 
to 
2074-75]]</f>
        <v>2.3153548456074446</v>
      </c>
    </row>
    <row r="183" spans="2:27" ht="27.6" x14ac:dyDescent="0.25">
      <c r="B183" s="244" t="s">
        <v>1141</v>
      </c>
      <c r="C183" s="47" t="s">
        <v>1142</v>
      </c>
      <c r="D183" s="53" t="s">
        <v>1123</v>
      </c>
      <c r="E183" s="54" t="s">
        <v>146</v>
      </c>
      <c r="F183" s="286">
        <v>2</v>
      </c>
      <c r="G183" s="1467">
        <v>0</v>
      </c>
      <c r="H183" s="1467">
        <v>0</v>
      </c>
      <c r="I183" s="1467">
        <v>0</v>
      </c>
      <c r="J183" s="1467">
        <v>0</v>
      </c>
      <c r="K183" s="1467">
        <v>0</v>
      </c>
      <c r="L183" s="1467">
        <v>0</v>
      </c>
      <c r="M183" s="1467">
        <v>0</v>
      </c>
      <c r="N183" s="1467">
        <v>0</v>
      </c>
      <c r="O183" s="1467">
        <v>0</v>
      </c>
      <c r="P183" s="1467">
        <v>0</v>
      </c>
      <c r="Q183" s="1467">
        <v>0</v>
      </c>
      <c r="R183" s="1467">
        <v>0</v>
      </c>
      <c r="S183" s="1467">
        <v>0</v>
      </c>
      <c r="T183" s="1467">
        <v>0</v>
      </c>
      <c r="U183" s="1467">
        <v>0</v>
      </c>
      <c r="V183" s="1467">
        <v>0</v>
      </c>
      <c r="W183" s="1467">
        <v>0</v>
      </c>
      <c r="X183" s="1467">
        <v>0</v>
      </c>
      <c r="Y183" s="1467">
        <v>0</v>
      </c>
      <c r="Z183" s="1467">
        <v>0</v>
      </c>
      <c r="AA183" s="1467">
        <v>0</v>
      </c>
    </row>
    <row r="184" spans="2:27" ht="28.2" thickBot="1" x14ac:dyDescent="0.3">
      <c r="B184" s="245" t="s">
        <v>1143</v>
      </c>
      <c r="C184" s="48" t="s">
        <v>1144</v>
      </c>
      <c r="D184" s="55" t="s">
        <v>1123</v>
      </c>
      <c r="E184" s="56" t="s">
        <v>146</v>
      </c>
      <c r="F184" s="287">
        <v>2</v>
      </c>
      <c r="G184" s="1467">
        <f>'5. Options Benefits'!L$13</f>
        <v>0</v>
      </c>
      <c r="H184" s="1467">
        <f>'5. Options Benefits'!M$13</f>
        <v>0</v>
      </c>
      <c r="I184" s="1467">
        <f>'5. Options Benefits'!N$13</f>
        <v>0</v>
      </c>
      <c r="J184" s="1467">
        <f>'5. Options Benefits'!O$13</f>
        <v>0</v>
      </c>
      <c r="K184" s="1467">
        <f>'5. Options Benefits'!P$13</f>
        <v>0</v>
      </c>
      <c r="L184" s="1488">
        <f>'5. Options Benefits'!Q$13</f>
        <v>0</v>
      </c>
      <c r="M184" s="1488">
        <f>'5. Options Benefits'!R$13</f>
        <v>8.4820795860918591E-2</v>
      </c>
      <c r="N184" s="1488">
        <f>'5. Options Benefits'!S$13</f>
        <v>0.31514380415426557</v>
      </c>
      <c r="O184" s="1488">
        <f>'5. Options Benefits'!T$13</f>
        <v>0.66634875004492211</v>
      </c>
      <c r="P184" s="1488">
        <f>'5. Options Benefits'!U$13</f>
        <v>1.1376223850776428</v>
      </c>
      <c r="Q184" s="1488">
        <f>'5. Options Benefits'!V$13</f>
        <v>1.7283531609188691</v>
      </c>
      <c r="R184" s="1489">
        <f>('5. Options Benefits'!$AA$13)-TBL8e_Supply_Demand_Benefit374326[[#This Row],[2029-30]]</f>
        <v>4.7223403804719801</v>
      </c>
      <c r="S184" s="1489">
        <f>('5. Options Benefits'!$AF$13)-TBL8e_Supply_Demand_Benefit374326[[#This Row],[2030-31 
to 
2034-35]]</f>
        <v>9.3340615483864013</v>
      </c>
      <c r="T184" s="1489">
        <f>('5. Options Benefits'!$AK$13)-TBL8e_Supply_Demand_Benefit374326[[#This Row],[2035-36 
to 
2039-40]]</f>
        <v>10.499217697145152</v>
      </c>
      <c r="U184" s="1489">
        <f>('5. Options Benefits'!$AP$13)-TBL8e_Supply_Demand_Benefit374326[[#This Row],[2040-41 
to 
2044-45]]</f>
        <v>9.1568733134238052</v>
      </c>
      <c r="V184" s="1489">
        <f>('5. Options Benefits'!$AU$13)-TBL8e_Supply_Demand_Benefit374326[[#This Row],[2045-46 
to 
2049-50]]</f>
        <v>4.5521100875531051</v>
      </c>
      <c r="W184" s="1489">
        <f>('5. Options Benefits'!$AZ$13)-TBL8e_Supply_Demand_Benefit374326[[#This Row],[2050-51 
to 
2054-55]]</f>
        <v>1.8887318041299963</v>
      </c>
      <c r="X184" s="1489">
        <f>('5. Options Benefits'!$BE$13)-TBL8e_Supply_Demand_Benefit374326[[#This Row],[2055-56 
to 
2059-60]]</f>
        <v>0.24404691034195558</v>
      </c>
      <c r="Y184" s="1489">
        <f>('5. Options Benefits'!$BJ$13)-TBL8e_Supply_Demand_Benefit374326[[#This Row],[2060-61 
to 
2064-65]]</f>
        <v>0.46721999455274188</v>
      </c>
      <c r="Z184" s="1489">
        <f>TBL8e_Supply_Demand_Benefit374326[[#This Row],[2065-66 
to 
2069-70]]</f>
        <v>0.46721999455274188</v>
      </c>
      <c r="AA184" s="1489">
        <f>TBL8e_Supply_Demand_Benefit374326[[#This Row],[2070-71 
to 
2074-75]]</f>
        <v>0.46721999455274188</v>
      </c>
    </row>
    <row r="185" spans="2:27" ht="14.4" thickBot="1" x14ac:dyDescent="0.3">
      <c r="B185" s="246"/>
      <c r="C185" s="247"/>
      <c r="D185" s="57"/>
      <c r="E185" s="248"/>
      <c r="F185" s="249"/>
      <c r="G185" s="258"/>
      <c r="H185" s="258"/>
      <c r="I185" s="258"/>
      <c r="J185" s="258"/>
      <c r="K185" s="258"/>
      <c r="L185" s="258"/>
      <c r="M185" s="258"/>
      <c r="N185" s="258"/>
      <c r="O185" s="258"/>
      <c r="P185" s="258"/>
      <c r="Q185" s="258"/>
      <c r="R185" s="258"/>
      <c r="S185" s="258"/>
      <c r="T185" s="258"/>
      <c r="U185" s="258"/>
      <c r="V185" s="258"/>
      <c r="W185" s="258"/>
      <c r="X185" s="258"/>
      <c r="Y185" s="258"/>
      <c r="Z185" s="258"/>
      <c r="AA185" s="258"/>
    </row>
    <row r="186" spans="2:27" ht="55.8" thickBot="1" x14ac:dyDescent="0.3">
      <c r="B186" s="210" t="s">
        <v>1145</v>
      </c>
      <c r="G186" s="1530" t="s">
        <v>1018</v>
      </c>
      <c r="H186" s="1592"/>
      <c r="I186" s="1592"/>
      <c r="J186" s="1592"/>
      <c r="K186" s="1592"/>
      <c r="L186" s="1592"/>
      <c r="M186" s="1592"/>
      <c r="N186" s="1592"/>
      <c r="O186" s="1592"/>
      <c r="P186" s="1592"/>
      <c r="Q186" s="1531"/>
      <c r="R186" s="1530" t="s">
        <v>1019</v>
      </c>
      <c r="S186" s="1592"/>
      <c r="T186" s="1592"/>
      <c r="U186" s="1592"/>
      <c r="V186" s="1592"/>
      <c r="W186" s="1592"/>
      <c r="X186" s="1592"/>
      <c r="Y186" s="1592"/>
      <c r="Z186" s="1592"/>
      <c r="AA186" s="1531"/>
    </row>
    <row r="187" spans="2:27" ht="42" thickBot="1" x14ac:dyDescent="0.3">
      <c r="B187" s="251" t="s">
        <v>1020</v>
      </c>
      <c r="C187" s="252" t="s">
        <v>1002</v>
      </c>
      <c r="D187" s="252" t="s">
        <v>1003</v>
      </c>
      <c r="E187" s="252" t="s">
        <v>117</v>
      </c>
      <c r="F187" s="253" t="s">
        <v>118</v>
      </c>
      <c r="G187" s="251" t="s">
        <v>119</v>
      </c>
      <c r="H187" s="252" t="s">
        <v>120</v>
      </c>
      <c r="I187" s="252" t="s">
        <v>121</v>
      </c>
      <c r="J187" s="252" t="s">
        <v>122</v>
      </c>
      <c r="K187" s="252" t="s">
        <v>123</v>
      </c>
      <c r="L187" s="252" t="s">
        <v>124</v>
      </c>
      <c r="M187" s="252" t="s">
        <v>125</v>
      </c>
      <c r="N187" s="252" t="s">
        <v>126</v>
      </c>
      <c r="O187" s="252" t="s">
        <v>127</v>
      </c>
      <c r="P187" s="252" t="s">
        <v>128</v>
      </c>
      <c r="Q187" s="253" t="s">
        <v>129</v>
      </c>
      <c r="R187" s="256" t="s">
        <v>1021</v>
      </c>
      <c r="S187" s="254" t="s">
        <v>1022</v>
      </c>
      <c r="T187" s="254" t="s">
        <v>1023</v>
      </c>
      <c r="U187" s="254" t="s">
        <v>1024</v>
      </c>
      <c r="V187" s="254" t="s">
        <v>1025</v>
      </c>
      <c r="W187" s="254" t="s">
        <v>1026</v>
      </c>
      <c r="X187" s="254" t="s">
        <v>1027</v>
      </c>
      <c r="Y187" s="254" t="s">
        <v>1028</v>
      </c>
      <c r="Z187" s="254" t="s">
        <v>1029</v>
      </c>
      <c r="AA187" s="255" t="s">
        <v>1030</v>
      </c>
    </row>
    <row r="188" spans="2:27" x14ac:dyDescent="0.25">
      <c r="B188" s="244" t="s">
        <v>1146</v>
      </c>
      <c r="C188" s="47" t="s">
        <v>1147</v>
      </c>
      <c r="D188" s="53" t="s">
        <v>1006</v>
      </c>
      <c r="E188" s="298" t="s">
        <v>254</v>
      </c>
      <c r="F188" s="286">
        <v>3</v>
      </c>
      <c r="G188" s="1469">
        <v>0</v>
      </c>
      <c r="H188" s="1469">
        <v>0</v>
      </c>
      <c r="I188" s="1469">
        <v>0</v>
      </c>
      <c r="J188" s="1469">
        <v>0</v>
      </c>
      <c r="K188" s="1469">
        <v>0</v>
      </c>
      <c r="L188" s="1491">
        <v>0</v>
      </c>
      <c r="M188" s="1491">
        <v>6394.0414816888151</v>
      </c>
      <c r="N188" s="1491">
        <v>5455.819014941103</v>
      </c>
      <c r="O188" s="1491">
        <v>5526.7169827587659</v>
      </c>
      <c r="P188" s="1491">
        <v>5599.2159207438026</v>
      </c>
      <c r="Q188" s="1491">
        <v>5673.9751367660519</v>
      </c>
      <c r="R188" s="1491">
        <v>29381.429828607255</v>
      </c>
      <c r="S188" s="1491">
        <v>30988.002677195127</v>
      </c>
      <c r="T188" s="1491">
        <v>32523.432456223687</v>
      </c>
      <c r="U188" s="1491">
        <v>33910.843275681873</v>
      </c>
      <c r="V188" s="1491">
        <v>35290.78717333325</v>
      </c>
      <c r="W188" s="1491">
        <v>37106.792485620543</v>
      </c>
      <c r="X188" s="1491">
        <v>38998.461120660431</v>
      </c>
      <c r="Y188" s="1491">
        <v>40961.308755630867</v>
      </c>
      <c r="Z188" s="1491">
        <v>43006.189132890642</v>
      </c>
      <c r="AA188" s="1491">
        <v>45135.230372432219</v>
      </c>
    </row>
    <row r="189" spans="2:27" ht="14.4" thickBot="1" x14ac:dyDescent="0.3">
      <c r="B189" s="244" t="s">
        <v>1148</v>
      </c>
      <c r="C189" s="48" t="s">
        <v>1149</v>
      </c>
      <c r="D189" s="55" t="s">
        <v>1006</v>
      </c>
      <c r="E189" s="1445" t="s">
        <v>254</v>
      </c>
      <c r="F189" s="287">
        <v>3</v>
      </c>
      <c r="G189" s="1469">
        <v>0</v>
      </c>
      <c r="H189" s="1469">
        <v>0</v>
      </c>
      <c r="I189" s="1469">
        <v>0</v>
      </c>
      <c r="J189" s="1469">
        <v>0</v>
      </c>
      <c r="K189" s="1469">
        <v>0</v>
      </c>
      <c r="L189" s="1492">
        <v>0</v>
      </c>
      <c r="M189" s="1492">
        <v>3312.4338664009265</v>
      </c>
      <c r="N189" s="1492">
        <v>6499.1708130889228</v>
      </c>
      <c r="O189" s="1492">
        <v>4339.7149421085196</v>
      </c>
      <c r="P189" s="1492">
        <v>4521.8857477667161</v>
      </c>
      <c r="Q189" s="1492">
        <v>10409.233214495454</v>
      </c>
      <c r="R189" s="1491">
        <v>53878.251248640241</v>
      </c>
      <c r="S189" s="1491">
        <v>52222.571164573324</v>
      </c>
      <c r="T189" s="1491">
        <v>71261.975592783041</v>
      </c>
      <c r="U189" s="1491">
        <v>96829.618665920716</v>
      </c>
      <c r="V189" s="1491">
        <v>0</v>
      </c>
      <c r="W189" s="1491">
        <v>0</v>
      </c>
      <c r="X189" s="1491">
        <v>0</v>
      </c>
      <c r="Y189" s="1491">
        <v>0</v>
      </c>
      <c r="Z189" s="1491">
        <v>0</v>
      </c>
      <c r="AA189" s="1491">
        <v>0</v>
      </c>
    </row>
    <row r="190" spans="2:27" x14ac:dyDescent="0.25">
      <c r="B190" s="240"/>
      <c r="C190" s="259"/>
      <c r="D190" s="259"/>
      <c r="E190" s="259"/>
      <c r="F190" s="259"/>
    </row>
    <row r="191" spans="2:27" ht="14.4" thickBot="1" x14ac:dyDescent="0.3"/>
    <row r="192" spans="2:27" ht="28.2" thickBot="1" x14ac:dyDescent="0.3">
      <c r="B192" s="398" t="s">
        <v>57</v>
      </c>
      <c r="C192" s="62">
        <v>0</v>
      </c>
      <c r="D192" s="396" t="s">
        <v>2</v>
      </c>
      <c r="E192" s="395"/>
      <c r="G192" s="1197" t="s">
        <v>56</v>
      </c>
    </row>
    <row r="193" spans="2:29" ht="42" thickBot="1" x14ac:dyDescent="0.3">
      <c r="B193" s="397" t="s">
        <v>111</v>
      </c>
      <c r="C193" s="1215" t="s">
        <v>1151</v>
      </c>
      <c r="D193" s="391" t="s">
        <v>1016</v>
      </c>
      <c r="E193" s="392" t="s">
        <v>760</v>
      </c>
    </row>
    <row r="194" spans="2:29" ht="14.4" thickBot="1" x14ac:dyDescent="0.3"/>
    <row r="195" spans="2:29" ht="55.8" thickBot="1" x14ac:dyDescent="0.3">
      <c r="B195" s="210" t="s">
        <v>1017</v>
      </c>
      <c r="G195" s="1530" t="s">
        <v>1018</v>
      </c>
      <c r="H195" s="1592"/>
      <c r="I195" s="1592"/>
      <c r="J195" s="1592"/>
      <c r="K195" s="1592"/>
      <c r="L195" s="1592"/>
      <c r="M195" s="1592"/>
      <c r="N195" s="1592"/>
      <c r="O195" s="1592"/>
      <c r="P195" s="1592"/>
      <c r="Q195" s="1531"/>
      <c r="R195" s="1530" t="s">
        <v>1019</v>
      </c>
      <c r="S195" s="1592"/>
      <c r="T195" s="1592"/>
      <c r="U195" s="1592"/>
      <c r="V195" s="1592"/>
      <c r="W195" s="1592"/>
      <c r="X195" s="1592"/>
      <c r="Y195" s="1592"/>
      <c r="Z195" s="1592"/>
      <c r="AA195" s="1531"/>
    </row>
    <row r="196" spans="2:29" ht="42" thickBot="1" x14ac:dyDescent="0.3">
      <c r="B196" s="251" t="s">
        <v>1020</v>
      </c>
      <c r="C196" s="252" t="s">
        <v>1002</v>
      </c>
      <c r="D196" s="252" t="s">
        <v>1003</v>
      </c>
      <c r="E196" s="252" t="s">
        <v>117</v>
      </c>
      <c r="F196" s="253" t="s">
        <v>118</v>
      </c>
      <c r="G196" s="251" t="s">
        <v>119</v>
      </c>
      <c r="H196" s="252" t="s">
        <v>120</v>
      </c>
      <c r="I196" s="252" t="s">
        <v>121</v>
      </c>
      <c r="J196" s="252" t="s">
        <v>122</v>
      </c>
      <c r="K196" s="252" t="s">
        <v>123</v>
      </c>
      <c r="L196" s="252" t="s">
        <v>124</v>
      </c>
      <c r="M196" s="252" t="s">
        <v>125</v>
      </c>
      <c r="N196" s="252" t="s">
        <v>126</v>
      </c>
      <c r="O196" s="252" t="s">
        <v>127</v>
      </c>
      <c r="P196" s="252" t="s">
        <v>128</v>
      </c>
      <c r="Q196" s="253" t="s">
        <v>129</v>
      </c>
      <c r="R196" s="256" t="s">
        <v>1021</v>
      </c>
      <c r="S196" s="254" t="s">
        <v>1022</v>
      </c>
      <c r="T196" s="254" t="s">
        <v>1023</v>
      </c>
      <c r="U196" s="254" t="s">
        <v>1024</v>
      </c>
      <c r="V196" s="254" t="s">
        <v>1025</v>
      </c>
      <c r="W196" s="254" t="s">
        <v>1026</v>
      </c>
      <c r="X196" s="254" t="s">
        <v>1027</v>
      </c>
      <c r="Y196" s="254" t="s">
        <v>1028</v>
      </c>
      <c r="Z196" s="254" t="s">
        <v>1029</v>
      </c>
      <c r="AA196" s="255" t="s">
        <v>1030</v>
      </c>
    </row>
    <row r="197" spans="2:29" x14ac:dyDescent="0.25">
      <c r="B197" s="250" t="s">
        <v>1031</v>
      </c>
      <c r="C197" s="241" t="s">
        <v>1005</v>
      </c>
      <c r="D197" s="242" t="s">
        <v>1006</v>
      </c>
      <c r="E197" s="1444" t="s">
        <v>254</v>
      </c>
      <c r="F197" s="297">
        <v>3</v>
      </c>
      <c r="G197" s="1460">
        <v>0</v>
      </c>
      <c r="H197" s="1460">
        <v>0</v>
      </c>
      <c r="I197" s="1460">
        <v>0</v>
      </c>
      <c r="J197" s="1460">
        <v>0</v>
      </c>
      <c r="K197" s="1460">
        <v>0</v>
      </c>
      <c r="L197" s="1460">
        <v>0</v>
      </c>
      <c r="M197" s="1484">
        <f>((M255+M256+M257))*1000</f>
        <v>1345.707402518568</v>
      </c>
      <c r="N197" s="1484">
        <f t="shared" ref="N197:AA197" si="38">((N255+N256+N257))*1000</f>
        <v>1345.707402518568</v>
      </c>
      <c r="O197" s="1484">
        <f t="shared" si="38"/>
        <v>1345.707402518568</v>
      </c>
      <c r="P197" s="1484">
        <f t="shared" si="38"/>
        <v>1345.707402518568</v>
      </c>
      <c r="Q197" s="1484">
        <f t="shared" si="38"/>
        <v>1345.707402518568</v>
      </c>
      <c r="R197" s="1484">
        <f t="shared" si="38"/>
        <v>6728.5370125928412</v>
      </c>
      <c r="S197" s="1484">
        <f t="shared" si="38"/>
        <v>6728.5370125928412</v>
      </c>
      <c r="T197" s="1484">
        <f t="shared" si="38"/>
        <v>0</v>
      </c>
      <c r="U197" s="1484">
        <f t="shared" si="38"/>
        <v>0</v>
      </c>
      <c r="V197" s="1484">
        <f t="shared" si="38"/>
        <v>0</v>
      </c>
      <c r="W197" s="1484">
        <f t="shared" si="38"/>
        <v>0</v>
      </c>
      <c r="X197" s="1484">
        <f t="shared" si="38"/>
        <v>0</v>
      </c>
      <c r="Y197" s="1484">
        <f t="shared" si="38"/>
        <v>0</v>
      </c>
      <c r="Z197" s="1484">
        <f t="shared" si="38"/>
        <v>0</v>
      </c>
      <c r="AA197" s="1484">
        <f t="shared" si="38"/>
        <v>0</v>
      </c>
      <c r="AC197" s="1461">
        <v>1000</v>
      </c>
    </row>
    <row r="198" spans="2:29" x14ac:dyDescent="0.25">
      <c r="B198" s="244" t="s">
        <v>1032</v>
      </c>
      <c r="C198" s="47" t="s">
        <v>1008</v>
      </c>
      <c r="D198" s="53" t="s">
        <v>1006</v>
      </c>
      <c r="E198" s="298" t="s">
        <v>254</v>
      </c>
      <c r="F198" s="286">
        <v>3</v>
      </c>
      <c r="G198" s="1460">
        <v>0</v>
      </c>
      <c r="H198" s="1460">
        <v>0</v>
      </c>
      <c r="I198" s="1460">
        <v>0</v>
      </c>
      <c r="J198" s="1460">
        <v>0</v>
      </c>
      <c r="K198" s="1460">
        <v>0</v>
      </c>
      <c r="L198" s="1460">
        <v>0</v>
      </c>
      <c r="M198" s="1460">
        <v>0</v>
      </c>
      <c r="N198" s="1460">
        <v>0</v>
      </c>
      <c r="O198" s="1460">
        <v>0</v>
      </c>
      <c r="P198" s="1460">
        <v>0</v>
      </c>
      <c r="Q198" s="1460">
        <v>0</v>
      </c>
      <c r="R198" s="1460">
        <v>0</v>
      </c>
      <c r="S198" s="1460">
        <v>0</v>
      </c>
      <c r="T198" s="1460">
        <v>0</v>
      </c>
      <c r="U198" s="1460">
        <v>0</v>
      </c>
      <c r="V198" s="1460">
        <v>0</v>
      </c>
      <c r="W198" s="1460">
        <v>0</v>
      </c>
      <c r="X198" s="1460">
        <v>0</v>
      </c>
      <c r="Y198" s="1460">
        <v>0</v>
      </c>
      <c r="Z198" s="1460">
        <v>0</v>
      </c>
      <c r="AA198" s="1460">
        <v>0</v>
      </c>
    </row>
    <row r="199" spans="2:29" ht="14.4" thickBot="1" x14ac:dyDescent="0.3">
      <c r="B199" s="245" t="s">
        <v>1033</v>
      </c>
      <c r="C199" s="48" t="s">
        <v>1034</v>
      </c>
      <c r="D199" s="55" t="s">
        <v>1006</v>
      </c>
      <c r="E199" s="1445" t="s">
        <v>254</v>
      </c>
      <c r="F199" s="287">
        <v>3</v>
      </c>
      <c r="G199" s="1462">
        <f t="shared" ref="G199:L199" si="39">SUM(G197:G198)</f>
        <v>0</v>
      </c>
      <c r="H199" s="1462">
        <f t="shared" si="39"/>
        <v>0</v>
      </c>
      <c r="I199" s="1462">
        <f t="shared" si="39"/>
        <v>0</v>
      </c>
      <c r="J199" s="1462">
        <f t="shared" si="39"/>
        <v>0</v>
      </c>
      <c r="K199" s="1462">
        <f t="shared" si="39"/>
        <v>0</v>
      </c>
      <c r="L199" s="1462">
        <f t="shared" si="39"/>
        <v>0</v>
      </c>
      <c r="M199" s="1462">
        <f>(SUM(M197:M198))</f>
        <v>1345.707402518568</v>
      </c>
      <c r="N199" s="1462">
        <f t="shared" ref="N199:AA199" si="40">(SUM(N197:N198))</f>
        <v>1345.707402518568</v>
      </c>
      <c r="O199" s="1462">
        <f t="shared" si="40"/>
        <v>1345.707402518568</v>
      </c>
      <c r="P199" s="1462">
        <f t="shared" si="40"/>
        <v>1345.707402518568</v>
      </c>
      <c r="Q199" s="1462">
        <f t="shared" si="40"/>
        <v>1345.707402518568</v>
      </c>
      <c r="R199" s="1462">
        <f t="shared" si="40"/>
        <v>6728.5370125928412</v>
      </c>
      <c r="S199" s="1462">
        <f t="shared" si="40"/>
        <v>6728.5370125928412</v>
      </c>
      <c r="T199" s="1462">
        <f t="shared" si="40"/>
        <v>0</v>
      </c>
      <c r="U199" s="1462">
        <f t="shared" si="40"/>
        <v>0</v>
      </c>
      <c r="V199" s="1462">
        <f t="shared" si="40"/>
        <v>0</v>
      </c>
      <c r="W199" s="1462">
        <f t="shared" si="40"/>
        <v>0</v>
      </c>
      <c r="X199" s="1462">
        <f t="shared" si="40"/>
        <v>0</v>
      </c>
      <c r="Y199" s="1462">
        <f t="shared" si="40"/>
        <v>0</v>
      </c>
      <c r="Z199" s="1462">
        <f t="shared" si="40"/>
        <v>0</v>
      </c>
      <c r="AA199" s="1462">
        <f t="shared" si="40"/>
        <v>0</v>
      </c>
    </row>
    <row r="200" spans="2:29" ht="14.4" thickBot="1" x14ac:dyDescent="0.3">
      <c r="B200" s="246"/>
      <c r="C200" s="247"/>
      <c r="D200" s="57"/>
      <c r="E200" s="248"/>
      <c r="F200" s="249"/>
      <c r="G200" s="258"/>
      <c r="H200" s="258"/>
      <c r="I200" s="258"/>
      <c r="J200" s="258"/>
      <c r="K200" s="258"/>
      <c r="L200" s="258"/>
      <c r="M200" s="258"/>
      <c r="N200" s="258"/>
      <c r="O200" s="258"/>
      <c r="P200" s="258"/>
      <c r="Q200" s="258"/>
      <c r="R200" s="258"/>
      <c r="S200" s="258"/>
      <c r="T200" s="258"/>
      <c r="U200" s="258"/>
      <c r="V200" s="258"/>
      <c r="W200" s="258"/>
      <c r="X200" s="258"/>
      <c r="Y200" s="258"/>
      <c r="Z200" s="258"/>
      <c r="AA200" s="258"/>
    </row>
    <row r="201" spans="2:29" ht="69.599999999999994" thickBot="1" x14ac:dyDescent="0.3">
      <c r="B201" s="210" t="s">
        <v>1035</v>
      </c>
      <c r="G201" s="1530" t="s">
        <v>1018</v>
      </c>
      <c r="H201" s="1592"/>
      <c r="I201" s="1592"/>
      <c r="J201" s="1592"/>
      <c r="K201" s="1592"/>
      <c r="L201" s="1592"/>
      <c r="M201" s="1592"/>
      <c r="N201" s="1592"/>
      <c r="O201" s="1592"/>
      <c r="P201" s="1592"/>
      <c r="Q201" s="1531"/>
      <c r="R201" s="1530" t="s">
        <v>1019</v>
      </c>
      <c r="S201" s="1592"/>
      <c r="T201" s="1592"/>
      <c r="U201" s="1592"/>
      <c r="V201" s="1592"/>
      <c r="W201" s="1592"/>
      <c r="X201" s="1592"/>
      <c r="Y201" s="1592"/>
      <c r="Z201" s="1592"/>
      <c r="AA201" s="1531"/>
    </row>
    <row r="202" spans="2:29" ht="42" thickBot="1" x14ac:dyDescent="0.3">
      <c r="B202" s="251" t="s">
        <v>1020</v>
      </c>
      <c r="C202" s="252" t="s">
        <v>1002</v>
      </c>
      <c r="D202" s="252" t="s">
        <v>1003</v>
      </c>
      <c r="E202" s="252" t="s">
        <v>117</v>
      </c>
      <c r="F202" s="253" t="s">
        <v>118</v>
      </c>
      <c r="G202" s="251" t="s">
        <v>119</v>
      </c>
      <c r="H202" s="252" t="s">
        <v>120</v>
      </c>
      <c r="I202" s="252" t="s">
        <v>121</v>
      </c>
      <c r="J202" s="252" t="s">
        <v>122</v>
      </c>
      <c r="K202" s="252" t="s">
        <v>123</v>
      </c>
      <c r="L202" s="252" t="s">
        <v>124</v>
      </c>
      <c r="M202" s="252" t="s">
        <v>125</v>
      </c>
      <c r="N202" s="252" t="s">
        <v>126</v>
      </c>
      <c r="O202" s="252" t="s">
        <v>127</v>
      </c>
      <c r="P202" s="252" t="s">
        <v>128</v>
      </c>
      <c r="Q202" s="253" t="s">
        <v>129</v>
      </c>
      <c r="R202" s="256" t="s">
        <v>1021</v>
      </c>
      <c r="S202" s="254" t="s">
        <v>1022</v>
      </c>
      <c r="T202" s="254" t="s">
        <v>1023</v>
      </c>
      <c r="U202" s="254" t="s">
        <v>1024</v>
      </c>
      <c r="V202" s="254" t="s">
        <v>1025</v>
      </c>
      <c r="W202" s="254" t="s">
        <v>1026</v>
      </c>
      <c r="X202" s="254" t="s">
        <v>1027</v>
      </c>
      <c r="Y202" s="254" t="s">
        <v>1028</v>
      </c>
      <c r="Z202" s="254" t="s">
        <v>1029</v>
      </c>
      <c r="AA202" s="255" t="s">
        <v>1030</v>
      </c>
    </row>
    <row r="203" spans="2:29" x14ac:dyDescent="0.25">
      <c r="B203" s="243" t="s">
        <v>1036</v>
      </c>
      <c r="C203" s="47" t="s">
        <v>1037</v>
      </c>
      <c r="D203" s="53" t="s">
        <v>811</v>
      </c>
      <c r="E203" s="298" t="s">
        <v>254</v>
      </c>
      <c r="F203" s="286">
        <v>3</v>
      </c>
      <c r="G203" s="1463">
        <f>0</f>
        <v>0</v>
      </c>
      <c r="H203" s="1463">
        <f>0</f>
        <v>0</v>
      </c>
      <c r="I203" s="1463">
        <f>0</f>
        <v>0</v>
      </c>
      <c r="J203" s="1463">
        <f>0</f>
        <v>0</v>
      </c>
      <c r="K203" s="1463">
        <f>0</f>
        <v>0</v>
      </c>
      <c r="L203" s="1463">
        <f>0</f>
        <v>0</v>
      </c>
      <c r="M203" s="1463">
        <f>0</f>
        <v>0</v>
      </c>
      <c r="N203" s="1463">
        <f>0</f>
        <v>0</v>
      </c>
      <c r="O203" s="1463">
        <f>0</f>
        <v>0</v>
      </c>
      <c r="P203" s="1463">
        <f>0</f>
        <v>0</v>
      </c>
      <c r="Q203" s="1463">
        <f>0</f>
        <v>0</v>
      </c>
      <c r="R203" s="1463">
        <f>0</f>
        <v>0</v>
      </c>
      <c r="S203" s="1463">
        <f>0</f>
        <v>0</v>
      </c>
      <c r="T203" s="1463">
        <f>0</f>
        <v>0</v>
      </c>
      <c r="U203" s="1463">
        <f>0</f>
        <v>0</v>
      </c>
      <c r="V203" s="1463">
        <f>0</f>
        <v>0</v>
      </c>
      <c r="W203" s="1463">
        <f>0</f>
        <v>0</v>
      </c>
      <c r="X203" s="1463">
        <f>0</f>
        <v>0</v>
      </c>
      <c r="Y203" s="1463">
        <f>0</f>
        <v>0</v>
      </c>
      <c r="Z203" s="1463">
        <f>0</f>
        <v>0</v>
      </c>
      <c r="AA203" s="1463">
        <f>0</f>
        <v>0</v>
      </c>
      <c r="AC203" s="1461">
        <v>1000</v>
      </c>
    </row>
    <row r="204" spans="2:29" x14ac:dyDescent="0.25">
      <c r="B204" s="244" t="s">
        <v>1038</v>
      </c>
      <c r="C204" s="47" t="s">
        <v>1037</v>
      </c>
      <c r="D204" s="53" t="s">
        <v>806</v>
      </c>
      <c r="E204" s="298" t="s">
        <v>254</v>
      </c>
      <c r="F204" s="286">
        <v>3</v>
      </c>
      <c r="G204" s="1463">
        <f>0</f>
        <v>0</v>
      </c>
      <c r="H204" s="1463">
        <f>0</f>
        <v>0</v>
      </c>
      <c r="I204" s="1463">
        <f>0</f>
        <v>0</v>
      </c>
      <c r="J204" s="1463">
        <f>0</f>
        <v>0</v>
      </c>
      <c r="K204" s="1463">
        <f>0</f>
        <v>0</v>
      </c>
      <c r="L204" s="1463">
        <f>0</f>
        <v>0</v>
      </c>
      <c r="M204" s="1463">
        <f>0</f>
        <v>0</v>
      </c>
      <c r="N204" s="1463">
        <f>0</f>
        <v>0</v>
      </c>
      <c r="O204" s="1463">
        <f>0</f>
        <v>0</v>
      </c>
      <c r="P204" s="1463">
        <f>0</f>
        <v>0</v>
      </c>
      <c r="Q204" s="1463">
        <f>0</f>
        <v>0</v>
      </c>
      <c r="R204" s="1463">
        <f>0</f>
        <v>0</v>
      </c>
      <c r="S204" s="1463">
        <f>0</f>
        <v>0</v>
      </c>
      <c r="T204" s="1463">
        <f>0</f>
        <v>0</v>
      </c>
      <c r="U204" s="1463">
        <f>0</f>
        <v>0</v>
      </c>
      <c r="V204" s="1463">
        <f>0</f>
        <v>0</v>
      </c>
      <c r="W204" s="1463">
        <f>0</f>
        <v>0</v>
      </c>
      <c r="X204" s="1463">
        <f>0</f>
        <v>0</v>
      </c>
      <c r="Y204" s="1463">
        <f>0</f>
        <v>0</v>
      </c>
      <c r="Z204" s="1463">
        <f>0</f>
        <v>0</v>
      </c>
      <c r="AA204" s="1463">
        <f>0</f>
        <v>0</v>
      </c>
    </row>
    <row r="205" spans="2:29" x14ac:dyDescent="0.25">
      <c r="B205" s="244" t="s">
        <v>1039</v>
      </c>
      <c r="C205" s="47" t="s">
        <v>1037</v>
      </c>
      <c r="D205" s="53" t="s">
        <v>1006</v>
      </c>
      <c r="E205" s="298" t="s">
        <v>254</v>
      </c>
      <c r="F205" s="286">
        <v>3</v>
      </c>
      <c r="G205" s="1464">
        <f t="shared" ref="G205:L205" si="41">SUM(G203:G204)</f>
        <v>0</v>
      </c>
      <c r="H205" s="1464">
        <f t="shared" si="41"/>
        <v>0</v>
      </c>
      <c r="I205" s="1464">
        <f t="shared" si="41"/>
        <v>0</v>
      </c>
      <c r="J205" s="1464">
        <f t="shared" si="41"/>
        <v>0</v>
      </c>
      <c r="K205" s="1464">
        <f t="shared" si="41"/>
        <v>0</v>
      </c>
      <c r="L205" s="1464">
        <f t="shared" si="41"/>
        <v>0</v>
      </c>
      <c r="M205" s="1464">
        <f>(SUM(M203:M204))</f>
        <v>0</v>
      </c>
      <c r="N205" s="1464">
        <f t="shared" ref="N205:AA205" si="42">(SUM(N203:N204))</f>
        <v>0</v>
      </c>
      <c r="O205" s="1464">
        <f t="shared" si="42"/>
        <v>0</v>
      </c>
      <c r="P205" s="1464">
        <f t="shared" si="42"/>
        <v>0</v>
      </c>
      <c r="Q205" s="1464">
        <f t="shared" si="42"/>
        <v>0</v>
      </c>
      <c r="R205" s="1464">
        <f t="shared" si="42"/>
        <v>0</v>
      </c>
      <c r="S205" s="1464">
        <f t="shared" si="42"/>
        <v>0</v>
      </c>
      <c r="T205" s="1464">
        <f t="shared" si="42"/>
        <v>0</v>
      </c>
      <c r="U205" s="1464">
        <f t="shared" si="42"/>
        <v>0</v>
      </c>
      <c r="V205" s="1464">
        <f t="shared" si="42"/>
        <v>0</v>
      </c>
      <c r="W205" s="1464">
        <f t="shared" si="42"/>
        <v>0</v>
      </c>
      <c r="X205" s="1464">
        <f t="shared" si="42"/>
        <v>0</v>
      </c>
      <c r="Y205" s="1464">
        <f t="shared" si="42"/>
        <v>0</v>
      </c>
      <c r="Z205" s="1464">
        <f t="shared" si="42"/>
        <v>0</v>
      </c>
      <c r="AA205" s="1464">
        <f t="shared" si="42"/>
        <v>0</v>
      </c>
    </row>
    <row r="206" spans="2:29" x14ac:dyDescent="0.25">
      <c r="B206" s="243" t="s">
        <v>1040</v>
      </c>
      <c r="C206" s="47" t="s">
        <v>1041</v>
      </c>
      <c r="D206" s="53" t="s">
        <v>811</v>
      </c>
      <c r="E206" s="298" t="s">
        <v>254</v>
      </c>
      <c r="F206" s="286">
        <v>3</v>
      </c>
      <c r="G206" s="1463">
        <f>0</f>
        <v>0</v>
      </c>
      <c r="H206" s="1463">
        <f>0</f>
        <v>0</v>
      </c>
      <c r="I206" s="1463">
        <f>0</f>
        <v>0</v>
      </c>
      <c r="J206" s="1463">
        <f>0</f>
        <v>0</v>
      </c>
      <c r="K206" s="1463">
        <f>0</f>
        <v>0</v>
      </c>
      <c r="L206" s="1463">
        <f>0</f>
        <v>0</v>
      </c>
      <c r="M206" s="1485">
        <v>77.048940000000002</v>
      </c>
      <c r="N206" s="1485">
        <v>75.430499999999995</v>
      </c>
      <c r="O206" s="1485">
        <v>75.888959999999997</v>
      </c>
      <c r="P206" s="1485">
        <v>76.34742</v>
      </c>
      <c r="Q206" s="1485">
        <v>76.576650000000001</v>
      </c>
      <c r="R206" s="1485">
        <v>5388.983534</v>
      </c>
      <c r="S206" s="1485">
        <v>5201.9921599999998</v>
      </c>
      <c r="T206" s="1485">
        <v>5011.0860199999997</v>
      </c>
      <c r="U206" s="1485">
        <v>5011.0860199999997</v>
      </c>
      <c r="V206" s="1463">
        <f>0</f>
        <v>0</v>
      </c>
      <c r="W206" s="1463">
        <f>0</f>
        <v>0</v>
      </c>
      <c r="X206" s="1463">
        <f>0</f>
        <v>0</v>
      </c>
      <c r="Y206" s="1463">
        <f>0</f>
        <v>0</v>
      </c>
      <c r="Z206" s="1463">
        <f>0</f>
        <v>0</v>
      </c>
      <c r="AA206" s="1463">
        <f>0</f>
        <v>0</v>
      </c>
    </row>
    <row r="207" spans="2:29" x14ac:dyDescent="0.25">
      <c r="B207" s="244" t="s">
        <v>1042</v>
      </c>
      <c r="C207" s="47" t="s">
        <v>1041</v>
      </c>
      <c r="D207" s="53" t="s">
        <v>806</v>
      </c>
      <c r="E207" s="298" t="s">
        <v>254</v>
      </c>
      <c r="F207" s="286">
        <v>3</v>
      </c>
      <c r="G207" s="1463">
        <f>0</f>
        <v>0</v>
      </c>
      <c r="H207" s="1463">
        <f>0</f>
        <v>0</v>
      </c>
      <c r="I207" s="1463">
        <f>0</f>
        <v>0</v>
      </c>
      <c r="J207" s="1463">
        <f>0</f>
        <v>0</v>
      </c>
      <c r="K207" s="1463">
        <f>0</f>
        <v>0</v>
      </c>
      <c r="L207" s="1463">
        <f>0</f>
        <v>0</v>
      </c>
      <c r="M207" s="1485">
        <v>157.3506222222222</v>
      </c>
      <c r="N207" s="1485">
        <v>157.73086666666663</v>
      </c>
      <c r="O207" s="1485">
        <v>158.61975555555557</v>
      </c>
      <c r="P207" s="1485">
        <v>159.50864444444446</v>
      </c>
      <c r="Q207" s="1485">
        <v>159.95308888888889</v>
      </c>
      <c r="R207" s="1485">
        <v>1183.0893955555553</v>
      </c>
      <c r="S207" s="1485">
        <v>782.91853333333336</v>
      </c>
      <c r="T207" s="1485">
        <v>389.1851999999999</v>
      </c>
      <c r="U207" s="1485">
        <v>399.48519999999991</v>
      </c>
      <c r="V207" s="1463">
        <f>0</f>
        <v>0</v>
      </c>
      <c r="W207" s="1463">
        <f>0</f>
        <v>0</v>
      </c>
      <c r="X207" s="1463">
        <f>0</f>
        <v>0</v>
      </c>
      <c r="Y207" s="1463">
        <f>0</f>
        <v>0</v>
      </c>
      <c r="Z207" s="1463">
        <f>0</f>
        <v>0</v>
      </c>
      <c r="AA207" s="1463">
        <f>0</f>
        <v>0</v>
      </c>
    </row>
    <row r="208" spans="2:29" x14ac:dyDescent="0.25">
      <c r="B208" s="244" t="s">
        <v>1043</v>
      </c>
      <c r="C208" s="47" t="s">
        <v>1041</v>
      </c>
      <c r="D208" s="53" t="s">
        <v>1006</v>
      </c>
      <c r="E208" s="298" t="s">
        <v>254</v>
      </c>
      <c r="F208" s="286">
        <v>3</v>
      </c>
      <c r="G208" s="1464">
        <f t="shared" ref="G208:K208" si="43">SUM(G206:G207)</f>
        <v>0</v>
      </c>
      <c r="H208" s="1464">
        <f t="shared" si="43"/>
        <v>0</v>
      </c>
      <c r="I208" s="1464">
        <f t="shared" si="43"/>
        <v>0</v>
      </c>
      <c r="J208" s="1464">
        <f t="shared" si="43"/>
        <v>0</v>
      </c>
      <c r="K208" s="1464">
        <f t="shared" si="43"/>
        <v>0</v>
      </c>
      <c r="L208" s="1464">
        <f t="shared" ref="L208:AA208" si="44">SUM(L206:L207)</f>
        <v>0</v>
      </c>
      <c r="M208" s="1464">
        <f t="shared" si="44"/>
        <v>234.39956222222219</v>
      </c>
      <c r="N208" s="1464">
        <f t="shared" si="44"/>
        <v>233.16136666666662</v>
      </c>
      <c r="O208" s="1464">
        <f t="shared" si="44"/>
        <v>234.50871555555557</v>
      </c>
      <c r="P208" s="1464">
        <f t="shared" si="44"/>
        <v>235.85606444444446</v>
      </c>
      <c r="Q208" s="1464">
        <f t="shared" si="44"/>
        <v>236.52973888888889</v>
      </c>
      <c r="R208" s="1464">
        <f t="shared" si="44"/>
        <v>6572.0729295555557</v>
      </c>
      <c r="S208" s="1464">
        <f t="shared" si="44"/>
        <v>5984.9106933333333</v>
      </c>
      <c r="T208" s="1464">
        <f t="shared" si="44"/>
        <v>5400.2712199999996</v>
      </c>
      <c r="U208" s="1464">
        <f t="shared" si="44"/>
        <v>5410.5712199999998</v>
      </c>
      <c r="V208" s="1464">
        <f t="shared" si="44"/>
        <v>0</v>
      </c>
      <c r="W208" s="1464">
        <f t="shared" si="44"/>
        <v>0</v>
      </c>
      <c r="X208" s="1464">
        <f t="shared" si="44"/>
        <v>0</v>
      </c>
      <c r="Y208" s="1464">
        <f t="shared" si="44"/>
        <v>0</v>
      </c>
      <c r="Z208" s="1464">
        <f t="shared" si="44"/>
        <v>0</v>
      </c>
      <c r="AA208" s="1464">
        <f t="shared" si="44"/>
        <v>0</v>
      </c>
    </row>
    <row r="209" spans="2:29" x14ac:dyDescent="0.25">
      <c r="B209" s="243" t="s">
        <v>1044</v>
      </c>
      <c r="C209" s="47" t="s">
        <v>1045</v>
      </c>
      <c r="D209" s="53" t="s">
        <v>811</v>
      </c>
      <c r="E209" s="298" t="s">
        <v>254</v>
      </c>
      <c r="F209" s="286">
        <v>3</v>
      </c>
      <c r="G209" s="1463">
        <f>0</f>
        <v>0</v>
      </c>
      <c r="H209" s="1463">
        <f>0</f>
        <v>0</v>
      </c>
      <c r="I209" s="1463">
        <f>0</f>
        <v>0</v>
      </c>
      <c r="J209" s="1463">
        <f>0</f>
        <v>0</v>
      </c>
      <c r="K209" s="1463">
        <f>0</f>
        <v>0</v>
      </c>
      <c r="L209" s="1463">
        <f>0</f>
        <v>0</v>
      </c>
      <c r="M209" s="1485">
        <v>3312.433866400926</v>
      </c>
      <c r="N209" s="1485">
        <v>6499.1708130889219</v>
      </c>
      <c r="O209" s="1485">
        <v>4339.7149421085196</v>
      </c>
      <c r="P209" s="1485">
        <v>4521.8857477667143</v>
      </c>
      <c r="Q209" s="1485">
        <v>10409.23321449546</v>
      </c>
      <c r="R209" s="1485">
        <v>53878.251248640256</v>
      </c>
      <c r="S209" s="1485">
        <v>52222.571164573339</v>
      </c>
      <c r="T209" s="1485">
        <v>71261.97559278307</v>
      </c>
      <c r="U209" s="1485">
        <v>96829.618665920643</v>
      </c>
      <c r="V209" s="1463">
        <f>0</f>
        <v>0</v>
      </c>
      <c r="W209" s="1463">
        <f>0</f>
        <v>0</v>
      </c>
      <c r="X209" s="1463">
        <f>0</f>
        <v>0</v>
      </c>
      <c r="Y209" s="1463">
        <f>0</f>
        <v>0</v>
      </c>
      <c r="Z209" s="1463">
        <f>0</f>
        <v>0</v>
      </c>
      <c r="AA209" s="1463">
        <f>0</f>
        <v>0</v>
      </c>
    </row>
    <row r="210" spans="2:29" x14ac:dyDescent="0.25">
      <c r="B210" s="244" t="s">
        <v>1046</v>
      </c>
      <c r="C210" s="47" t="s">
        <v>1045</v>
      </c>
      <c r="D210" s="53" t="s">
        <v>806</v>
      </c>
      <c r="E210" s="298" t="s">
        <v>254</v>
      </c>
      <c r="F210" s="286">
        <v>3</v>
      </c>
      <c r="G210" s="1463">
        <f>0</f>
        <v>0</v>
      </c>
      <c r="H210" s="1463">
        <f>0</f>
        <v>0</v>
      </c>
      <c r="I210" s="1463">
        <f>0</f>
        <v>0</v>
      </c>
      <c r="J210" s="1463">
        <f>0</f>
        <v>0</v>
      </c>
      <c r="K210" s="1463">
        <f>0</f>
        <v>0</v>
      </c>
      <c r="L210" s="1463">
        <f>0</f>
        <v>0</v>
      </c>
      <c r="M210" s="1485">
        <v>0</v>
      </c>
      <c r="N210" s="1485">
        <v>0</v>
      </c>
      <c r="O210" s="1485">
        <v>0</v>
      </c>
      <c r="P210" s="1485">
        <v>0</v>
      </c>
      <c r="Q210" s="1485">
        <v>0</v>
      </c>
      <c r="R210" s="1485">
        <v>0</v>
      </c>
      <c r="S210" s="1485">
        <v>0</v>
      </c>
      <c r="T210" s="1485">
        <v>0</v>
      </c>
      <c r="U210" s="1485">
        <v>0</v>
      </c>
      <c r="V210" s="1463">
        <f>0</f>
        <v>0</v>
      </c>
      <c r="W210" s="1463">
        <f>0</f>
        <v>0</v>
      </c>
      <c r="X210" s="1463">
        <f>0</f>
        <v>0</v>
      </c>
      <c r="Y210" s="1463">
        <f>0</f>
        <v>0</v>
      </c>
      <c r="Z210" s="1463">
        <f>0</f>
        <v>0</v>
      </c>
      <c r="AA210" s="1463">
        <f>0</f>
        <v>0</v>
      </c>
    </row>
    <row r="211" spans="2:29" x14ac:dyDescent="0.25">
      <c r="B211" s="244" t="s">
        <v>1047</v>
      </c>
      <c r="C211" s="47" t="s">
        <v>1045</v>
      </c>
      <c r="D211" s="53" t="s">
        <v>1006</v>
      </c>
      <c r="E211" s="298" t="s">
        <v>254</v>
      </c>
      <c r="F211" s="286">
        <v>3</v>
      </c>
      <c r="G211" s="1464">
        <f t="shared" ref="G211:K211" si="45">SUM(G209:G210)</f>
        <v>0</v>
      </c>
      <c r="H211" s="1464">
        <f t="shared" si="45"/>
        <v>0</v>
      </c>
      <c r="I211" s="1464">
        <f t="shared" si="45"/>
        <v>0</v>
      </c>
      <c r="J211" s="1464">
        <f t="shared" si="45"/>
        <v>0</v>
      </c>
      <c r="K211" s="1464">
        <f t="shared" si="45"/>
        <v>0</v>
      </c>
      <c r="L211" s="1464">
        <f t="shared" ref="L211:AA211" si="46">SUM(L209:L210)</f>
        <v>0</v>
      </c>
      <c r="M211" s="1464">
        <f t="shared" si="46"/>
        <v>3312.433866400926</v>
      </c>
      <c r="N211" s="1464">
        <f t="shared" si="46"/>
        <v>6499.1708130889219</v>
      </c>
      <c r="O211" s="1464">
        <f t="shared" si="46"/>
        <v>4339.7149421085196</v>
      </c>
      <c r="P211" s="1464">
        <f t="shared" si="46"/>
        <v>4521.8857477667143</v>
      </c>
      <c r="Q211" s="1464">
        <f t="shared" si="46"/>
        <v>10409.23321449546</v>
      </c>
      <c r="R211" s="1464">
        <f t="shared" si="46"/>
        <v>53878.251248640256</v>
      </c>
      <c r="S211" s="1464">
        <f t="shared" si="46"/>
        <v>52222.571164573339</v>
      </c>
      <c r="T211" s="1464">
        <f t="shared" si="46"/>
        <v>71261.97559278307</v>
      </c>
      <c r="U211" s="1464">
        <f t="shared" si="46"/>
        <v>96829.618665920643</v>
      </c>
      <c r="V211" s="1464">
        <f t="shared" si="46"/>
        <v>0</v>
      </c>
      <c r="W211" s="1464">
        <f t="shared" si="46"/>
        <v>0</v>
      </c>
      <c r="X211" s="1464">
        <f t="shared" si="46"/>
        <v>0</v>
      </c>
      <c r="Y211" s="1464">
        <f t="shared" si="46"/>
        <v>0</v>
      </c>
      <c r="Z211" s="1464">
        <f t="shared" si="46"/>
        <v>0</v>
      </c>
      <c r="AA211" s="1464">
        <f t="shared" si="46"/>
        <v>0</v>
      </c>
    </row>
    <row r="212" spans="2:29" x14ac:dyDescent="0.25">
      <c r="B212" s="243" t="s">
        <v>1048</v>
      </c>
      <c r="C212" s="47" t="s">
        <v>1049</v>
      </c>
      <c r="D212" s="53" t="s">
        <v>811</v>
      </c>
      <c r="E212" s="298" t="s">
        <v>254</v>
      </c>
      <c r="F212" s="286">
        <v>3</v>
      </c>
      <c r="G212" s="1463">
        <f>0</f>
        <v>0</v>
      </c>
      <c r="H212" s="1463">
        <f>0</f>
        <v>0</v>
      </c>
      <c r="I212" s="1463">
        <f>0</f>
        <v>0</v>
      </c>
      <c r="J212" s="1463">
        <f>0</f>
        <v>0</v>
      </c>
      <c r="K212" s="1463">
        <f>0</f>
        <v>0</v>
      </c>
      <c r="L212" s="1463">
        <f>0</f>
        <v>0</v>
      </c>
      <c r="M212" s="1463">
        <f>0</f>
        <v>0</v>
      </c>
      <c r="N212" s="1463">
        <f>0</f>
        <v>0</v>
      </c>
      <c r="O212" s="1463">
        <f>0</f>
        <v>0</v>
      </c>
      <c r="P212" s="1463">
        <f>0</f>
        <v>0</v>
      </c>
      <c r="Q212" s="1463">
        <f>0</f>
        <v>0</v>
      </c>
      <c r="R212" s="1463">
        <f>0</f>
        <v>0</v>
      </c>
      <c r="S212" s="1463">
        <f>0</f>
        <v>0</v>
      </c>
      <c r="T212" s="1463">
        <f>0</f>
        <v>0</v>
      </c>
      <c r="U212" s="1463">
        <f>0</f>
        <v>0</v>
      </c>
      <c r="V212" s="1463">
        <f>0</f>
        <v>0</v>
      </c>
      <c r="W212" s="1463">
        <f>0</f>
        <v>0</v>
      </c>
      <c r="X212" s="1463">
        <f>0</f>
        <v>0</v>
      </c>
      <c r="Y212" s="1463">
        <f>0</f>
        <v>0</v>
      </c>
      <c r="Z212" s="1463">
        <f>0</f>
        <v>0</v>
      </c>
      <c r="AA212" s="1463">
        <f>0</f>
        <v>0</v>
      </c>
    </row>
    <row r="213" spans="2:29" x14ac:dyDescent="0.25">
      <c r="B213" s="244" t="s">
        <v>1050</v>
      </c>
      <c r="C213" s="47" t="s">
        <v>1049</v>
      </c>
      <c r="D213" s="53" t="s">
        <v>806</v>
      </c>
      <c r="E213" s="298" t="s">
        <v>254</v>
      </c>
      <c r="F213" s="286">
        <v>3</v>
      </c>
      <c r="G213" s="1463">
        <f>0</f>
        <v>0</v>
      </c>
      <c r="H213" s="1463">
        <f>0</f>
        <v>0</v>
      </c>
      <c r="I213" s="1463">
        <f>0</f>
        <v>0</v>
      </c>
      <c r="J213" s="1463">
        <f>0</f>
        <v>0</v>
      </c>
      <c r="K213" s="1463">
        <f>0</f>
        <v>0</v>
      </c>
      <c r="L213" s="1463">
        <f>0</f>
        <v>0</v>
      </c>
      <c r="M213" s="1463">
        <f>0</f>
        <v>0</v>
      </c>
      <c r="N213" s="1463">
        <f>0</f>
        <v>0</v>
      </c>
      <c r="O213" s="1463">
        <f>0</f>
        <v>0</v>
      </c>
      <c r="P213" s="1463">
        <f>0</f>
        <v>0</v>
      </c>
      <c r="Q213" s="1463">
        <f>0</f>
        <v>0</v>
      </c>
      <c r="R213" s="1463">
        <f>0</f>
        <v>0</v>
      </c>
      <c r="S213" s="1463">
        <f>0</f>
        <v>0</v>
      </c>
      <c r="T213" s="1463">
        <f>0</f>
        <v>0</v>
      </c>
      <c r="U213" s="1463">
        <f>0</f>
        <v>0</v>
      </c>
      <c r="V213" s="1463">
        <f>0</f>
        <v>0</v>
      </c>
      <c r="W213" s="1463">
        <f>0</f>
        <v>0</v>
      </c>
      <c r="X213" s="1463">
        <f>0</f>
        <v>0</v>
      </c>
      <c r="Y213" s="1463">
        <f>0</f>
        <v>0</v>
      </c>
      <c r="Z213" s="1463">
        <f>0</f>
        <v>0</v>
      </c>
      <c r="AA213" s="1463">
        <f>0</f>
        <v>0</v>
      </c>
    </row>
    <row r="214" spans="2:29" x14ac:dyDescent="0.25">
      <c r="B214" s="244" t="s">
        <v>1051</v>
      </c>
      <c r="C214" s="47" t="s">
        <v>1049</v>
      </c>
      <c r="D214" s="53" t="s">
        <v>1006</v>
      </c>
      <c r="E214" s="298" t="s">
        <v>254</v>
      </c>
      <c r="F214" s="286">
        <v>3</v>
      </c>
      <c r="G214" s="1464">
        <f t="shared" ref="G214:AA214" si="47">SUM(G212:G213)</f>
        <v>0</v>
      </c>
      <c r="H214" s="1464">
        <f t="shared" si="47"/>
        <v>0</v>
      </c>
      <c r="I214" s="1464">
        <f t="shared" si="47"/>
        <v>0</v>
      </c>
      <c r="J214" s="1464">
        <f t="shared" si="47"/>
        <v>0</v>
      </c>
      <c r="K214" s="1464">
        <f t="shared" si="47"/>
        <v>0</v>
      </c>
      <c r="L214" s="1464">
        <f t="shared" si="47"/>
        <v>0</v>
      </c>
      <c r="M214" s="1464">
        <f t="shared" si="47"/>
        <v>0</v>
      </c>
      <c r="N214" s="1464">
        <f t="shared" si="47"/>
        <v>0</v>
      </c>
      <c r="O214" s="1464">
        <f t="shared" si="47"/>
        <v>0</v>
      </c>
      <c r="P214" s="1464">
        <f t="shared" si="47"/>
        <v>0</v>
      </c>
      <c r="Q214" s="1464">
        <f t="shared" si="47"/>
        <v>0</v>
      </c>
      <c r="R214" s="1464">
        <f t="shared" si="47"/>
        <v>0</v>
      </c>
      <c r="S214" s="1464">
        <f t="shared" si="47"/>
        <v>0</v>
      </c>
      <c r="T214" s="1464">
        <f t="shared" si="47"/>
        <v>0</v>
      </c>
      <c r="U214" s="1464">
        <f t="shared" si="47"/>
        <v>0</v>
      </c>
      <c r="V214" s="1464">
        <f t="shared" si="47"/>
        <v>0</v>
      </c>
      <c r="W214" s="1464">
        <f t="shared" si="47"/>
        <v>0</v>
      </c>
      <c r="X214" s="1464">
        <f t="shared" si="47"/>
        <v>0</v>
      </c>
      <c r="Y214" s="1464">
        <f t="shared" si="47"/>
        <v>0</v>
      </c>
      <c r="Z214" s="1464">
        <f t="shared" si="47"/>
        <v>0</v>
      </c>
      <c r="AA214" s="1464">
        <f t="shared" si="47"/>
        <v>0</v>
      </c>
    </row>
    <row r="215" spans="2:29" x14ac:dyDescent="0.25">
      <c r="B215" s="243" t="s">
        <v>1052</v>
      </c>
      <c r="C215" s="47" t="s">
        <v>1053</v>
      </c>
      <c r="D215" s="53" t="s">
        <v>811</v>
      </c>
      <c r="E215" s="298" t="s">
        <v>254</v>
      </c>
      <c r="F215" s="286">
        <v>3</v>
      </c>
      <c r="G215" s="1463">
        <f>0</f>
        <v>0</v>
      </c>
      <c r="H215" s="1463">
        <f>0</f>
        <v>0</v>
      </c>
      <c r="I215" s="1463">
        <f>0</f>
        <v>0</v>
      </c>
      <c r="J215" s="1463">
        <f>0</f>
        <v>0</v>
      </c>
      <c r="K215" s="1463">
        <f>0</f>
        <v>0</v>
      </c>
      <c r="L215" s="1463">
        <f>0</f>
        <v>0</v>
      </c>
      <c r="M215" s="1463">
        <f>0</f>
        <v>0</v>
      </c>
      <c r="N215" s="1463">
        <f>0</f>
        <v>0</v>
      </c>
      <c r="O215" s="1463">
        <f>0</f>
        <v>0</v>
      </c>
      <c r="P215" s="1463">
        <f>0</f>
        <v>0</v>
      </c>
      <c r="Q215" s="1463">
        <f>0</f>
        <v>0</v>
      </c>
      <c r="R215" s="1463">
        <f>0</f>
        <v>0</v>
      </c>
      <c r="S215" s="1463">
        <f>0</f>
        <v>0</v>
      </c>
      <c r="T215" s="1463">
        <f>0</f>
        <v>0</v>
      </c>
      <c r="U215" s="1463">
        <f>0</f>
        <v>0</v>
      </c>
      <c r="V215" s="1463">
        <f>0</f>
        <v>0</v>
      </c>
      <c r="W215" s="1463">
        <f>0</f>
        <v>0</v>
      </c>
      <c r="X215" s="1463">
        <f>0</f>
        <v>0</v>
      </c>
      <c r="Y215" s="1463">
        <f>0</f>
        <v>0</v>
      </c>
      <c r="Z215" s="1463">
        <f>0</f>
        <v>0</v>
      </c>
      <c r="AA215" s="1463">
        <f>0</f>
        <v>0</v>
      </c>
    </row>
    <row r="216" spans="2:29" x14ac:dyDescent="0.25">
      <c r="B216" s="244" t="s">
        <v>1054</v>
      </c>
      <c r="C216" s="47" t="s">
        <v>1053</v>
      </c>
      <c r="D216" s="53" t="s">
        <v>806</v>
      </c>
      <c r="E216" s="298" t="s">
        <v>254</v>
      </c>
      <c r="F216" s="286">
        <v>3</v>
      </c>
      <c r="G216" s="1463">
        <f>0</f>
        <v>0</v>
      </c>
      <c r="H216" s="1463">
        <f>0</f>
        <v>0</v>
      </c>
      <c r="I216" s="1463">
        <f>0</f>
        <v>0</v>
      </c>
      <c r="J216" s="1463">
        <f>0</f>
        <v>0</v>
      </c>
      <c r="K216" s="1463">
        <f>0</f>
        <v>0</v>
      </c>
      <c r="L216" s="1463">
        <f>0</f>
        <v>0</v>
      </c>
      <c r="M216" s="1463">
        <f>0</f>
        <v>0</v>
      </c>
      <c r="N216" s="1463">
        <f>0</f>
        <v>0</v>
      </c>
      <c r="O216" s="1463">
        <f>0</f>
        <v>0</v>
      </c>
      <c r="P216" s="1463">
        <f>0</f>
        <v>0</v>
      </c>
      <c r="Q216" s="1463">
        <f>0</f>
        <v>0</v>
      </c>
      <c r="R216" s="1463">
        <f>0</f>
        <v>0</v>
      </c>
      <c r="S216" s="1463">
        <f>0</f>
        <v>0</v>
      </c>
      <c r="T216" s="1463">
        <f>0</f>
        <v>0</v>
      </c>
      <c r="U216" s="1463">
        <f>0</f>
        <v>0</v>
      </c>
      <c r="V216" s="1463">
        <f>0</f>
        <v>0</v>
      </c>
      <c r="W216" s="1463">
        <f>0</f>
        <v>0</v>
      </c>
      <c r="X216" s="1463">
        <f>0</f>
        <v>0</v>
      </c>
      <c r="Y216" s="1463">
        <f>0</f>
        <v>0</v>
      </c>
      <c r="Z216" s="1463">
        <f>0</f>
        <v>0</v>
      </c>
      <c r="AA216" s="1463">
        <f>0</f>
        <v>0</v>
      </c>
    </row>
    <row r="217" spans="2:29" x14ac:dyDescent="0.25">
      <c r="B217" s="244" t="s">
        <v>1055</v>
      </c>
      <c r="C217" s="47" t="s">
        <v>1053</v>
      </c>
      <c r="D217" s="53" t="s">
        <v>1006</v>
      </c>
      <c r="E217" s="298" t="s">
        <v>254</v>
      </c>
      <c r="F217" s="286">
        <v>3</v>
      </c>
      <c r="G217" s="1464">
        <f t="shared" ref="G217:AA217" si="48">SUM(G215:G216)</f>
        <v>0</v>
      </c>
      <c r="H217" s="1464">
        <f t="shared" si="48"/>
        <v>0</v>
      </c>
      <c r="I217" s="1464">
        <f t="shared" si="48"/>
        <v>0</v>
      </c>
      <c r="J217" s="1464">
        <f t="shared" si="48"/>
        <v>0</v>
      </c>
      <c r="K217" s="1464">
        <f t="shared" si="48"/>
        <v>0</v>
      </c>
      <c r="L217" s="1464">
        <f t="shared" si="48"/>
        <v>0</v>
      </c>
      <c r="M217" s="1464">
        <f t="shared" si="48"/>
        <v>0</v>
      </c>
      <c r="N217" s="1464">
        <f t="shared" si="48"/>
        <v>0</v>
      </c>
      <c r="O217" s="1464">
        <f t="shared" si="48"/>
        <v>0</v>
      </c>
      <c r="P217" s="1464">
        <f t="shared" si="48"/>
        <v>0</v>
      </c>
      <c r="Q217" s="1464">
        <f t="shared" si="48"/>
        <v>0</v>
      </c>
      <c r="R217" s="1464">
        <f t="shared" si="48"/>
        <v>0</v>
      </c>
      <c r="S217" s="1464">
        <f t="shared" si="48"/>
        <v>0</v>
      </c>
      <c r="T217" s="1464">
        <f t="shared" si="48"/>
        <v>0</v>
      </c>
      <c r="U217" s="1464">
        <f t="shared" si="48"/>
        <v>0</v>
      </c>
      <c r="V217" s="1464">
        <f t="shared" si="48"/>
        <v>0</v>
      </c>
      <c r="W217" s="1464">
        <f t="shared" si="48"/>
        <v>0</v>
      </c>
      <c r="X217" s="1464">
        <f t="shared" si="48"/>
        <v>0</v>
      </c>
      <c r="Y217" s="1464">
        <f t="shared" si="48"/>
        <v>0</v>
      </c>
      <c r="Z217" s="1464">
        <f t="shared" si="48"/>
        <v>0</v>
      </c>
      <c r="AA217" s="1465">
        <f t="shared" si="48"/>
        <v>0</v>
      </c>
    </row>
    <row r="218" spans="2:29" ht="14.4" thickBot="1" x14ac:dyDescent="0.3">
      <c r="B218" s="245" t="s">
        <v>1056</v>
      </c>
      <c r="C218" s="48" t="s">
        <v>1057</v>
      </c>
      <c r="D218" s="55" t="s">
        <v>1006</v>
      </c>
      <c r="E218" s="1445" t="s">
        <v>254</v>
      </c>
      <c r="F218" s="287">
        <v>3</v>
      </c>
      <c r="G218" s="1462">
        <f t="shared" ref="G218:AA218" si="49">SUM(G217,G214,G211,G208,G205)</f>
        <v>0</v>
      </c>
      <c r="H218" s="1462">
        <f t="shared" si="49"/>
        <v>0</v>
      </c>
      <c r="I218" s="1462">
        <f t="shared" si="49"/>
        <v>0</v>
      </c>
      <c r="J218" s="1462">
        <f t="shared" si="49"/>
        <v>0</v>
      </c>
      <c r="K218" s="1462">
        <f t="shared" si="49"/>
        <v>0</v>
      </c>
      <c r="L218" s="1462">
        <f t="shared" si="49"/>
        <v>0</v>
      </c>
      <c r="M218" s="1462">
        <f t="shared" si="49"/>
        <v>3546.8334286231484</v>
      </c>
      <c r="N218" s="1462">
        <f t="shared" si="49"/>
        <v>6732.3321797555882</v>
      </c>
      <c r="O218" s="1462">
        <f t="shared" si="49"/>
        <v>4574.2236576640753</v>
      </c>
      <c r="P218" s="1462">
        <f t="shared" si="49"/>
        <v>4757.7418122111585</v>
      </c>
      <c r="Q218" s="1462">
        <f t="shared" si="49"/>
        <v>10645.762953384348</v>
      </c>
      <c r="R218" s="1462">
        <f t="shared" si="49"/>
        <v>60450.324178195813</v>
      </c>
      <c r="S218" s="1462">
        <f t="shared" si="49"/>
        <v>58207.48185790667</v>
      </c>
      <c r="T218" s="1462">
        <f t="shared" si="49"/>
        <v>76662.246812783065</v>
      </c>
      <c r="U218" s="1462">
        <f t="shared" si="49"/>
        <v>102240.18988592064</v>
      </c>
      <c r="V218" s="1462">
        <f t="shared" si="49"/>
        <v>0</v>
      </c>
      <c r="W218" s="1462">
        <f t="shared" si="49"/>
        <v>0</v>
      </c>
      <c r="X218" s="1462">
        <f t="shared" si="49"/>
        <v>0</v>
      </c>
      <c r="Y218" s="1462">
        <f t="shared" si="49"/>
        <v>0</v>
      </c>
      <c r="Z218" s="1462">
        <f t="shared" si="49"/>
        <v>0</v>
      </c>
      <c r="AA218" s="1466">
        <f t="shared" si="49"/>
        <v>0</v>
      </c>
    </row>
    <row r="219" spans="2:29" ht="14.4" thickBot="1" x14ac:dyDescent="0.3">
      <c r="B219" s="246"/>
      <c r="C219" s="247"/>
      <c r="D219" s="57"/>
      <c r="E219" s="248"/>
      <c r="F219" s="249"/>
      <c r="G219" s="258"/>
      <c r="H219" s="258"/>
      <c r="I219" s="258"/>
      <c r="J219" s="258"/>
      <c r="K219" s="258"/>
      <c r="L219" s="258"/>
      <c r="M219" s="258"/>
      <c r="N219" s="258"/>
      <c r="O219" s="258"/>
      <c r="P219" s="258"/>
      <c r="Q219" s="258"/>
      <c r="R219" s="258"/>
      <c r="S219" s="258"/>
      <c r="T219" s="258"/>
      <c r="U219" s="258"/>
      <c r="V219" s="258"/>
      <c r="W219" s="258"/>
      <c r="X219" s="258"/>
      <c r="Y219" s="258"/>
      <c r="Z219" s="258"/>
      <c r="AA219" s="258"/>
    </row>
    <row r="220" spans="2:29" ht="55.8" thickBot="1" x14ac:dyDescent="0.3">
      <c r="B220" s="210" t="s">
        <v>1058</v>
      </c>
      <c r="G220" s="1530" t="s">
        <v>1018</v>
      </c>
      <c r="H220" s="1592"/>
      <c r="I220" s="1592"/>
      <c r="J220" s="1592"/>
      <c r="K220" s="1592"/>
      <c r="L220" s="1592"/>
      <c r="M220" s="1592"/>
      <c r="N220" s="1592"/>
      <c r="O220" s="1592"/>
      <c r="P220" s="1592"/>
      <c r="Q220" s="1531"/>
      <c r="R220" s="1530" t="s">
        <v>1019</v>
      </c>
      <c r="S220" s="1592"/>
      <c r="T220" s="1592"/>
      <c r="U220" s="1592"/>
      <c r="V220" s="1592"/>
      <c r="W220" s="1592"/>
      <c r="X220" s="1592"/>
      <c r="Y220" s="1592"/>
      <c r="Z220" s="1592"/>
      <c r="AA220" s="1531"/>
    </row>
    <row r="221" spans="2:29" ht="42" thickBot="1" x14ac:dyDescent="0.3">
      <c r="B221" s="1134" t="s">
        <v>1020</v>
      </c>
      <c r="C221" s="1135" t="s">
        <v>1002</v>
      </c>
      <c r="D221" s="1135" t="s">
        <v>1003</v>
      </c>
      <c r="E221" s="1135" t="s">
        <v>117</v>
      </c>
      <c r="F221" s="1136" t="s">
        <v>118</v>
      </c>
      <c r="G221" s="251" t="s">
        <v>119</v>
      </c>
      <c r="H221" s="252" t="s">
        <v>120</v>
      </c>
      <c r="I221" s="252" t="s">
        <v>121</v>
      </c>
      <c r="J221" s="252" t="s">
        <v>122</v>
      </c>
      <c r="K221" s="252" t="s">
        <v>123</v>
      </c>
      <c r="L221" s="252" t="s">
        <v>124</v>
      </c>
      <c r="M221" s="252" t="s">
        <v>125</v>
      </c>
      <c r="N221" s="252" t="s">
        <v>126</v>
      </c>
      <c r="O221" s="252" t="s">
        <v>127</v>
      </c>
      <c r="P221" s="252" t="s">
        <v>128</v>
      </c>
      <c r="Q221" s="253" t="s">
        <v>129</v>
      </c>
      <c r="R221" s="256" t="s">
        <v>1021</v>
      </c>
      <c r="S221" s="254" t="s">
        <v>1022</v>
      </c>
      <c r="T221" s="254" t="s">
        <v>1023</v>
      </c>
      <c r="U221" s="254" t="s">
        <v>1024</v>
      </c>
      <c r="V221" s="254" t="s">
        <v>1025</v>
      </c>
      <c r="W221" s="254" t="s">
        <v>1026</v>
      </c>
      <c r="X221" s="254" t="s">
        <v>1027</v>
      </c>
      <c r="Y221" s="254" t="s">
        <v>1028</v>
      </c>
      <c r="Z221" s="254" t="s">
        <v>1029</v>
      </c>
      <c r="AA221" s="255" t="s">
        <v>1030</v>
      </c>
    </row>
    <row r="222" spans="2:29" x14ac:dyDescent="0.25">
      <c r="B222" s="1129" t="s">
        <v>1059</v>
      </c>
      <c r="C222" s="1130" t="s">
        <v>1060</v>
      </c>
      <c r="D222" s="1131" t="s">
        <v>811</v>
      </c>
      <c r="E222" s="1137" t="s">
        <v>1061</v>
      </c>
      <c r="F222" s="1133">
        <v>3</v>
      </c>
      <c r="G222" s="1463">
        <v>0</v>
      </c>
      <c r="H222" s="1463">
        <v>0</v>
      </c>
      <c r="I222" s="1463">
        <v>0</v>
      </c>
      <c r="J222" s="1463">
        <v>0</v>
      </c>
      <c r="K222" s="1463">
        <v>0</v>
      </c>
      <c r="L222" s="1463">
        <v>0</v>
      </c>
      <c r="M222" s="1486">
        <v>2.8124329213599184</v>
      </c>
      <c r="N222" s="1486">
        <v>2.6886448706014385</v>
      </c>
      <c r="O222" s="1486">
        <v>2.570305298771661</v>
      </c>
      <c r="P222" s="1486">
        <v>2.4571743933649004</v>
      </c>
      <c r="Q222" s="1486">
        <v>2.3490228971218521</v>
      </c>
      <c r="R222" s="1486">
        <v>10.28230816651393</v>
      </c>
      <c r="S222" s="1486">
        <v>8.2100719313191934</v>
      </c>
      <c r="T222" s="1486">
        <v>6.5554620641454759</v>
      </c>
      <c r="U222" s="1486">
        <v>5.234312589944035</v>
      </c>
      <c r="V222" s="1486">
        <v>4.1794198518969443</v>
      </c>
      <c r="W222" s="1486">
        <v>2.0916356667906526</v>
      </c>
      <c r="X222" s="1486">
        <v>0</v>
      </c>
      <c r="Y222" s="1486">
        <v>0</v>
      </c>
      <c r="Z222" s="1486">
        <v>0</v>
      </c>
      <c r="AA222" s="1486">
        <v>0</v>
      </c>
      <c r="AC222" s="1461">
        <v>1000000</v>
      </c>
    </row>
    <row r="223" spans="2:29" x14ac:dyDescent="0.25">
      <c r="B223" s="244" t="s">
        <v>1062</v>
      </c>
      <c r="C223" s="47" t="s">
        <v>1063</v>
      </c>
      <c r="D223" s="53" t="s">
        <v>811</v>
      </c>
      <c r="E223" s="298" t="s">
        <v>1061</v>
      </c>
      <c r="F223" s="286">
        <v>3</v>
      </c>
      <c r="G223" s="1463">
        <v>0</v>
      </c>
      <c r="H223" s="1463">
        <v>0</v>
      </c>
      <c r="I223" s="1463">
        <v>0</v>
      </c>
      <c r="J223" s="1463">
        <v>0</v>
      </c>
      <c r="K223" s="1463">
        <v>0</v>
      </c>
      <c r="L223" s="1463">
        <v>0</v>
      </c>
      <c r="M223" s="1463">
        <v>0</v>
      </c>
      <c r="N223" s="1463">
        <v>0</v>
      </c>
      <c r="O223" s="1463">
        <v>0</v>
      </c>
      <c r="P223" s="1463">
        <v>0</v>
      </c>
      <c r="Q223" s="1463">
        <v>0</v>
      </c>
      <c r="R223" s="1463">
        <v>0</v>
      </c>
      <c r="S223" s="1463">
        <v>0</v>
      </c>
      <c r="T223" s="1463">
        <v>0</v>
      </c>
      <c r="U223" s="1463">
        <v>0</v>
      </c>
      <c r="V223" s="1463">
        <v>0</v>
      </c>
      <c r="W223" s="1463">
        <v>0</v>
      </c>
      <c r="X223" s="1463">
        <v>0</v>
      </c>
      <c r="Y223" s="1463">
        <v>0</v>
      </c>
      <c r="Z223" s="1463">
        <v>0</v>
      </c>
      <c r="AA223" s="1463">
        <v>0</v>
      </c>
    </row>
    <row r="224" spans="2:29" x14ac:dyDescent="0.25">
      <c r="B224" s="244" t="s">
        <v>1064</v>
      </c>
      <c r="C224" s="47" t="s">
        <v>1065</v>
      </c>
      <c r="D224" s="53" t="s">
        <v>811</v>
      </c>
      <c r="E224" s="298" t="s">
        <v>1061</v>
      </c>
      <c r="F224" s="286">
        <v>3</v>
      </c>
      <c r="G224" s="1463">
        <v>0</v>
      </c>
      <c r="H224" s="1463">
        <v>0</v>
      </c>
      <c r="I224" s="1463">
        <v>0</v>
      </c>
      <c r="J224" s="1463">
        <v>0</v>
      </c>
      <c r="K224" s="1463">
        <v>0</v>
      </c>
      <c r="L224" s="1463">
        <v>0</v>
      </c>
      <c r="M224" s="1463">
        <v>0</v>
      </c>
      <c r="N224" s="1463">
        <v>0</v>
      </c>
      <c r="O224" s="1463">
        <v>0</v>
      </c>
      <c r="P224" s="1463">
        <v>0</v>
      </c>
      <c r="Q224" s="1463">
        <v>0</v>
      </c>
      <c r="R224" s="1463">
        <v>0</v>
      </c>
      <c r="S224" s="1463">
        <v>0</v>
      </c>
      <c r="T224" s="1463">
        <v>0</v>
      </c>
      <c r="U224" s="1463">
        <v>0</v>
      </c>
      <c r="V224" s="1463">
        <v>0</v>
      </c>
      <c r="W224" s="1463">
        <v>0</v>
      </c>
      <c r="X224" s="1463">
        <v>0</v>
      </c>
      <c r="Y224" s="1463">
        <v>0</v>
      </c>
      <c r="Z224" s="1463">
        <v>0</v>
      </c>
      <c r="AA224" s="1463">
        <v>0</v>
      </c>
    </row>
    <row r="225" spans="2:27" x14ac:dyDescent="0.25">
      <c r="B225" s="244" t="s">
        <v>1066</v>
      </c>
      <c r="C225" s="47" t="s">
        <v>1067</v>
      </c>
      <c r="D225" s="53" t="s">
        <v>811</v>
      </c>
      <c r="E225" s="298" t="s">
        <v>1061</v>
      </c>
      <c r="F225" s="286">
        <v>3</v>
      </c>
      <c r="G225" s="1463">
        <v>0</v>
      </c>
      <c r="H225" s="1463">
        <v>0</v>
      </c>
      <c r="I225" s="1463">
        <v>0</v>
      </c>
      <c r="J225" s="1463">
        <v>0</v>
      </c>
      <c r="K225" s="1463">
        <v>0</v>
      </c>
      <c r="L225" s="1463">
        <v>0</v>
      </c>
      <c r="M225" s="1486">
        <v>2.8124329213599184</v>
      </c>
      <c r="N225" s="1486">
        <v>2.6886448706014385</v>
      </c>
      <c r="O225" s="1486">
        <v>2.570305298771661</v>
      </c>
      <c r="P225" s="1486">
        <v>2.4571743933649004</v>
      </c>
      <c r="Q225" s="1486">
        <v>2.3490228971218521</v>
      </c>
      <c r="R225" s="1486">
        <v>10.28230816651393</v>
      </c>
      <c r="S225" s="1486">
        <v>8.2100719313191934</v>
      </c>
      <c r="T225" s="1486">
        <v>6.5554620641454759</v>
      </c>
      <c r="U225" s="1486">
        <v>5.234312589944035</v>
      </c>
      <c r="V225" s="1486">
        <v>4.1794198518969443</v>
      </c>
      <c r="W225" s="1486">
        <v>2.0916356667906526</v>
      </c>
      <c r="X225" s="1486">
        <v>0</v>
      </c>
      <c r="Y225" s="1486">
        <v>0</v>
      </c>
      <c r="Z225" s="1486">
        <v>0</v>
      </c>
      <c r="AA225" s="1486">
        <v>0</v>
      </c>
    </row>
    <row r="226" spans="2:27" x14ac:dyDescent="0.25">
      <c r="B226" s="244" t="s">
        <v>1068</v>
      </c>
      <c r="C226" s="47" t="s">
        <v>1060</v>
      </c>
      <c r="D226" s="53" t="s">
        <v>806</v>
      </c>
      <c r="E226" s="298" t="s">
        <v>1061</v>
      </c>
      <c r="F226" s="286">
        <v>3</v>
      </c>
      <c r="G226" s="1463">
        <v>0</v>
      </c>
      <c r="H226" s="1463">
        <v>0</v>
      </c>
      <c r="I226" s="1463">
        <v>0</v>
      </c>
      <c r="J226" s="1463">
        <v>0</v>
      </c>
      <c r="K226" s="1463">
        <v>0</v>
      </c>
      <c r="L226" s="1463">
        <v>0</v>
      </c>
      <c r="M226" s="1486">
        <v>0</v>
      </c>
      <c r="N226" s="1486">
        <v>0</v>
      </c>
      <c r="O226" s="1486">
        <v>0</v>
      </c>
      <c r="P226" s="1486">
        <v>0</v>
      </c>
      <c r="Q226" s="1486">
        <v>0</v>
      </c>
      <c r="R226" s="1486">
        <v>0</v>
      </c>
      <c r="S226" s="1486">
        <v>0</v>
      </c>
      <c r="T226" s="1486">
        <v>0</v>
      </c>
      <c r="U226" s="1486">
        <v>0</v>
      </c>
      <c r="V226" s="1486">
        <v>0</v>
      </c>
      <c r="W226" s="1486">
        <v>0</v>
      </c>
      <c r="X226" s="1486">
        <v>0</v>
      </c>
      <c r="Y226" s="1486">
        <v>0</v>
      </c>
      <c r="Z226" s="1486">
        <v>0</v>
      </c>
      <c r="AA226" s="1486">
        <v>0</v>
      </c>
    </row>
    <row r="227" spans="2:27" x14ac:dyDescent="0.25">
      <c r="B227" s="244" t="s">
        <v>1069</v>
      </c>
      <c r="C227" s="47" t="s">
        <v>1063</v>
      </c>
      <c r="D227" s="53" t="s">
        <v>806</v>
      </c>
      <c r="E227" s="298" t="s">
        <v>1061</v>
      </c>
      <c r="F227" s="286">
        <v>3</v>
      </c>
      <c r="G227" s="1463">
        <v>0</v>
      </c>
      <c r="H227" s="1463">
        <v>0</v>
      </c>
      <c r="I227" s="1463">
        <v>0</v>
      </c>
      <c r="J227" s="1463">
        <v>0</v>
      </c>
      <c r="K227" s="1463">
        <v>0</v>
      </c>
      <c r="L227" s="1463">
        <v>0</v>
      </c>
      <c r="M227" s="1463">
        <v>0</v>
      </c>
      <c r="N227" s="1463">
        <v>0</v>
      </c>
      <c r="O227" s="1463">
        <v>0</v>
      </c>
      <c r="P227" s="1463">
        <v>0</v>
      </c>
      <c r="Q227" s="1463">
        <v>0</v>
      </c>
      <c r="R227" s="1463">
        <v>0</v>
      </c>
      <c r="S227" s="1463">
        <v>0</v>
      </c>
      <c r="T227" s="1463">
        <v>0</v>
      </c>
      <c r="U227" s="1463">
        <v>0</v>
      </c>
      <c r="V227" s="1463">
        <v>0</v>
      </c>
      <c r="W227" s="1463">
        <v>0</v>
      </c>
      <c r="X227" s="1463">
        <v>0</v>
      </c>
      <c r="Y227" s="1463">
        <v>0</v>
      </c>
      <c r="Z227" s="1463">
        <v>0</v>
      </c>
      <c r="AA227" s="1463">
        <v>0</v>
      </c>
    </row>
    <row r="228" spans="2:27" x14ac:dyDescent="0.25">
      <c r="B228" s="244" t="s">
        <v>1070</v>
      </c>
      <c r="C228" s="47" t="s">
        <v>1065</v>
      </c>
      <c r="D228" s="53" t="s">
        <v>806</v>
      </c>
      <c r="E228" s="298" t="s">
        <v>1061</v>
      </c>
      <c r="F228" s="286">
        <v>3</v>
      </c>
      <c r="G228" s="1463">
        <v>0</v>
      </c>
      <c r="H228" s="1463">
        <v>0</v>
      </c>
      <c r="I228" s="1463">
        <v>0</v>
      </c>
      <c r="J228" s="1463">
        <v>0</v>
      </c>
      <c r="K228" s="1463">
        <v>0</v>
      </c>
      <c r="L228" s="1463">
        <v>0</v>
      </c>
      <c r="M228" s="1463">
        <v>0</v>
      </c>
      <c r="N228" s="1463">
        <v>0</v>
      </c>
      <c r="O228" s="1463">
        <v>0</v>
      </c>
      <c r="P228" s="1463">
        <v>0</v>
      </c>
      <c r="Q228" s="1463">
        <v>0</v>
      </c>
      <c r="R228" s="1463">
        <v>0</v>
      </c>
      <c r="S228" s="1463">
        <v>0</v>
      </c>
      <c r="T228" s="1463">
        <v>0</v>
      </c>
      <c r="U228" s="1463">
        <v>0</v>
      </c>
      <c r="V228" s="1463">
        <v>0</v>
      </c>
      <c r="W228" s="1463">
        <v>0</v>
      </c>
      <c r="X228" s="1463">
        <v>0</v>
      </c>
      <c r="Y228" s="1463">
        <v>0</v>
      </c>
      <c r="Z228" s="1463">
        <v>0</v>
      </c>
      <c r="AA228" s="1463">
        <v>0</v>
      </c>
    </row>
    <row r="229" spans="2:27" x14ac:dyDescent="0.25">
      <c r="B229" s="244" t="s">
        <v>1071</v>
      </c>
      <c r="C229" s="47" t="s">
        <v>1067</v>
      </c>
      <c r="D229" s="53" t="s">
        <v>806</v>
      </c>
      <c r="E229" s="298" t="s">
        <v>1061</v>
      </c>
      <c r="F229" s="286">
        <v>3</v>
      </c>
      <c r="G229" s="1463">
        <v>0</v>
      </c>
      <c r="H229" s="1463">
        <v>0</v>
      </c>
      <c r="I229" s="1463">
        <v>0</v>
      </c>
      <c r="J229" s="1463">
        <v>0</v>
      </c>
      <c r="K229" s="1463">
        <v>0</v>
      </c>
      <c r="L229" s="1463">
        <v>0</v>
      </c>
      <c r="M229" s="1486">
        <v>0</v>
      </c>
      <c r="N229" s="1486">
        <v>0</v>
      </c>
      <c r="O229" s="1486">
        <v>0</v>
      </c>
      <c r="P229" s="1486">
        <v>0</v>
      </c>
      <c r="Q229" s="1486">
        <v>0</v>
      </c>
      <c r="R229" s="1486">
        <v>0</v>
      </c>
      <c r="S229" s="1486">
        <v>0</v>
      </c>
      <c r="T229" s="1486">
        <v>0</v>
      </c>
      <c r="U229" s="1486">
        <v>0</v>
      </c>
      <c r="V229" s="1486">
        <v>0</v>
      </c>
      <c r="W229" s="1486">
        <v>0</v>
      </c>
      <c r="X229" s="1486">
        <v>0</v>
      </c>
      <c r="Y229" s="1486">
        <v>0</v>
      </c>
      <c r="Z229" s="1486">
        <v>0</v>
      </c>
      <c r="AA229" s="1486">
        <v>0</v>
      </c>
    </row>
    <row r="230" spans="2:27" x14ac:dyDescent="0.25">
      <c r="B230" s="244" t="s">
        <v>1072</v>
      </c>
      <c r="C230" s="47" t="s">
        <v>1060</v>
      </c>
      <c r="D230" s="53" t="s">
        <v>1006</v>
      </c>
      <c r="E230" s="298" t="s">
        <v>1061</v>
      </c>
      <c r="F230" s="286">
        <v>3</v>
      </c>
      <c r="G230" s="1464">
        <v>0</v>
      </c>
      <c r="H230" s="1464">
        <v>0</v>
      </c>
      <c r="I230" s="1464">
        <v>0</v>
      </c>
      <c r="J230" s="1464">
        <v>0</v>
      </c>
      <c r="K230" s="1464">
        <v>0</v>
      </c>
      <c r="L230" s="1464">
        <v>0</v>
      </c>
      <c r="M230" s="1464">
        <v>2.8124329213599184</v>
      </c>
      <c r="N230" s="1464">
        <v>2.6886448706014385</v>
      </c>
      <c r="O230" s="1464">
        <v>2.570305298771661</v>
      </c>
      <c r="P230" s="1464">
        <v>2.4571743933649004</v>
      </c>
      <c r="Q230" s="1464">
        <v>2.3490228971218521</v>
      </c>
      <c r="R230" s="1464">
        <v>10.28230816651393</v>
      </c>
      <c r="S230" s="1464">
        <v>8.2100719313191934</v>
      </c>
      <c r="T230" s="1464">
        <v>6.5554620641454759</v>
      </c>
      <c r="U230" s="1464">
        <v>5.234312589944035</v>
      </c>
      <c r="V230" s="1464">
        <v>4.1794198518969443</v>
      </c>
      <c r="W230" s="1464">
        <v>2.0916356667906526</v>
      </c>
      <c r="X230" s="1464">
        <v>0</v>
      </c>
      <c r="Y230" s="1464">
        <v>0</v>
      </c>
      <c r="Z230" s="1464">
        <v>0</v>
      </c>
      <c r="AA230" s="1464">
        <v>0</v>
      </c>
    </row>
    <row r="231" spans="2:27" x14ac:dyDescent="0.25">
      <c r="B231" s="244" t="s">
        <v>1073</v>
      </c>
      <c r="C231" s="47" t="s">
        <v>1074</v>
      </c>
      <c r="D231" s="53" t="s">
        <v>811</v>
      </c>
      <c r="E231" s="298" t="s">
        <v>1061</v>
      </c>
      <c r="F231" s="286">
        <v>3</v>
      </c>
      <c r="G231" s="1463">
        <v>0</v>
      </c>
      <c r="H231" s="1463">
        <v>0</v>
      </c>
      <c r="I231" s="1463">
        <v>0</v>
      </c>
      <c r="J231" s="1463">
        <v>0</v>
      </c>
      <c r="K231" s="1463">
        <v>0</v>
      </c>
      <c r="L231" s="1463">
        <v>0</v>
      </c>
      <c r="M231" s="1486">
        <v>0.38540989891565647</v>
      </c>
      <c r="N231" s="1486">
        <v>0.38540989891565647</v>
      </c>
      <c r="O231" s="1486">
        <v>0.38540989891565647</v>
      </c>
      <c r="P231" s="1486">
        <v>0.38540989891565647</v>
      </c>
      <c r="Q231" s="1486">
        <v>0.38540989891565647</v>
      </c>
      <c r="R231" s="1486">
        <v>1.9270494945782823</v>
      </c>
      <c r="S231" s="1486">
        <v>1.9270494945782823</v>
      </c>
      <c r="T231" s="1486">
        <v>0</v>
      </c>
      <c r="U231" s="1486">
        <v>0</v>
      </c>
      <c r="V231" s="1486">
        <v>0</v>
      </c>
      <c r="W231" s="1486">
        <v>0</v>
      </c>
      <c r="X231" s="1486">
        <v>0</v>
      </c>
      <c r="Y231" s="1486">
        <v>0</v>
      </c>
      <c r="Z231" s="1486">
        <v>0</v>
      </c>
      <c r="AA231" s="1486">
        <v>0</v>
      </c>
    </row>
    <row r="232" spans="2:27" x14ac:dyDescent="0.25">
      <c r="B232" s="244" t="s">
        <v>1075</v>
      </c>
      <c r="C232" s="47" t="s">
        <v>1076</v>
      </c>
      <c r="D232" s="53" t="s">
        <v>811</v>
      </c>
      <c r="E232" s="298" t="s">
        <v>1061</v>
      </c>
      <c r="F232" s="286">
        <v>3</v>
      </c>
      <c r="G232" s="1463">
        <v>0</v>
      </c>
      <c r="H232" s="1463">
        <v>0</v>
      </c>
      <c r="I232" s="1463">
        <v>0</v>
      </c>
      <c r="J232" s="1463">
        <v>0</v>
      </c>
      <c r="K232" s="1463">
        <v>0</v>
      </c>
      <c r="L232" s="1463">
        <v>0</v>
      </c>
      <c r="M232" s="1463">
        <v>0</v>
      </c>
      <c r="N232" s="1463">
        <v>0</v>
      </c>
      <c r="O232" s="1463">
        <v>0</v>
      </c>
      <c r="P232" s="1463">
        <v>0</v>
      </c>
      <c r="Q232" s="1463">
        <v>0</v>
      </c>
      <c r="R232" s="1463">
        <v>0</v>
      </c>
      <c r="S232" s="1463">
        <v>0</v>
      </c>
      <c r="T232" s="1463">
        <v>0</v>
      </c>
      <c r="U232" s="1463">
        <v>0</v>
      </c>
      <c r="V232" s="1463">
        <v>0</v>
      </c>
      <c r="W232" s="1463">
        <v>0</v>
      </c>
      <c r="X232" s="1463">
        <v>0</v>
      </c>
      <c r="Y232" s="1463">
        <v>0</v>
      </c>
      <c r="Z232" s="1463">
        <v>0</v>
      </c>
      <c r="AA232" s="1463">
        <v>0</v>
      </c>
    </row>
    <row r="233" spans="2:27" x14ac:dyDescent="0.25">
      <c r="B233" s="244" t="s">
        <v>1077</v>
      </c>
      <c r="C233" s="47" t="s">
        <v>1078</v>
      </c>
      <c r="D233" s="53" t="s">
        <v>811</v>
      </c>
      <c r="E233" s="298" t="s">
        <v>1061</v>
      </c>
      <c r="F233" s="286">
        <v>3</v>
      </c>
      <c r="G233" s="1463">
        <v>0</v>
      </c>
      <c r="H233" s="1463">
        <v>0</v>
      </c>
      <c r="I233" s="1463">
        <v>0</v>
      </c>
      <c r="J233" s="1463">
        <v>0</v>
      </c>
      <c r="K233" s="1463">
        <v>0</v>
      </c>
      <c r="L233" s="1463">
        <v>0</v>
      </c>
      <c r="M233" s="1463">
        <v>0</v>
      </c>
      <c r="N233" s="1463">
        <v>0</v>
      </c>
      <c r="O233" s="1463">
        <v>0</v>
      </c>
      <c r="P233" s="1463">
        <v>0</v>
      </c>
      <c r="Q233" s="1463">
        <v>0</v>
      </c>
      <c r="R233" s="1463">
        <v>0</v>
      </c>
      <c r="S233" s="1463">
        <v>0</v>
      </c>
      <c r="T233" s="1463">
        <v>0</v>
      </c>
      <c r="U233" s="1463">
        <v>0</v>
      </c>
      <c r="V233" s="1463">
        <v>0</v>
      </c>
      <c r="W233" s="1463">
        <v>0</v>
      </c>
      <c r="X233" s="1463">
        <v>0</v>
      </c>
      <c r="Y233" s="1463">
        <v>0</v>
      </c>
      <c r="Z233" s="1463">
        <v>0</v>
      </c>
      <c r="AA233" s="1463">
        <v>0</v>
      </c>
    </row>
    <row r="234" spans="2:27" x14ac:dyDescent="0.25">
      <c r="B234" s="244" t="s">
        <v>1079</v>
      </c>
      <c r="C234" s="47" t="s">
        <v>1080</v>
      </c>
      <c r="D234" s="53" t="s">
        <v>811</v>
      </c>
      <c r="E234" s="298" t="s">
        <v>1061</v>
      </c>
      <c r="F234" s="286">
        <v>3</v>
      </c>
      <c r="G234" s="1463">
        <v>0</v>
      </c>
      <c r="H234" s="1463">
        <v>0</v>
      </c>
      <c r="I234" s="1463">
        <v>0</v>
      </c>
      <c r="J234" s="1463">
        <v>0</v>
      </c>
      <c r="K234" s="1463">
        <v>0</v>
      </c>
      <c r="L234" s="1463">
        <v>0</v>
      </c>
      <c r="M234" s="1486">
        <v>0.38540989891565647</v>
      </c>
      <c r="N234" s="1486">
        <v>0.38540989891565647</v>
      </c>
      <c r="O234" s="1486">
        <v>0.38540989891565647</v>
      </c>
      <c r="P234" s="1486">
        <v>0.38540989891565647</v>
      </c>
      <c r="Q234" s="1486">
        <v>0.38540989891565647</v>
      </c>
      <c r="R234" s="1486">
        <v>1.9270494945782823</v>
      </c>
      <c r="S234" s="1486">
        <v>1.9270494945782823</v>
      </c>
      <c r="T234" s="1486">
        <v>0</v>
      </c>
      <c r="U234" s="1486">
        <v>0</v>
      </c>
      <c r="V234" s="1486">
        <v>0</v>
      </c>
      <c r="W234" s="1486">
        <v>0</v>
      </c>
      <c r="X234" s="1486">
        <v>0</v>
      </c>
      <c r="Y234" s="1486">
        <v>0</v>
      </c>
      <c r="Z234" s="1486">
        <v>0</v>
      </c>
      <c r="AA234" s="1486">
        <v>0</v>
      </c>
    </row>
    <row r="235" spans="2:27" x14ac:dyDescent="0.25">
      <c r="B235" s="244" t="s">
        <v>1081</v>
      </c>
      <c r="C235" s="47" t="s">
        <v>1074</v>
      </c>
      <c r="D235" s="53" t="s">
        <v>806</v>
      </c>
      <c r="E235" s="298" t="s">
        <v>1061</v>
      </c>
      <c r="F235" s="286">
        <v>3</v>
      </c>
      <c r="G235" s="1463">
        <v>0</v>
      </c>
      <c r="H235" s="1463">
        <v>0</v>
      </c>
      <c r="I235" s="1463">
        <v>0</v>
      </c>
      <c r="J235" s="1463">
        <v>0</v>
      </c>
      <c r="K235" s="1463">
        <v>0</v>
      </c>
      <c r="L235" s="1463">
        <v>0</v>
      </c>
      <c r="M235" s="1486">
        <v>0</v>
      </c>
      <c r="N235" s="1486">
        <v>0</v>
      </c>
      <c r="O235" s="1486">
        <v>0</v>
      </c>
      <c r="P235" s="1486">
        <v>0</v>
      </c>
      <c r="Q235" s="1486">
        <v>0</v>
      </c>
      <c r="R235" s="1486">
        <v>0</v>
      </c>
      <c r="S235" s="1486">
        <v>0</v>
      </c>
      <c r="T235" s="1486">
        <v>0</v>
      </c>
      <c r="U235" s="1486">
        <v>0</v>
      </c>
      <c r="V235" s="1486">
        <v>0</v>
      </c>
      <c r="W235" s="1486">
        <v>0</v>
      </c>
      <c r="X235" s="1486">
        <v>0</v>
      </c>
      <c r="Y235" s="1486">
        <v>0</v>
      </c>
      <c r="Z235" s="1486">
        <v>0</v>
      </c>
      <c r="AA235" s="1486">
        <v>0</v>
      </c>
    </row>
    <row r="236" spans="2:27" x14ac:dyDescent="0.25">
      <c r="B236" s="244" t="s">
        <v>1082</v>
      </c>
      <c r="C236" s="47" t="s">
        <v>1076</v>
      </c>
      <c r="D236" s="53" t="s">
        <v>806</v>
      </c>
      <c r="E236" s="298" t="s">
        <v>1061</v>
      </c>
      <c r="F236" s="286">
        <v>3</v>
      </c>
      <c r="G236" s="1463">
        <v>0</v>
      </c>
      <c r="H236" s="1463">
        <v>0</v>
      </c>
      <c r="I236" s="1463">
        <v>0</v>
      </c>
      <c r="J236" s="1463">
        <v>0</v>
      </c>
      <c r="K236" s="1463">
        <v>0</v>
      </c>
      <c r="L236" s="1463">
        <v>0</v>
      </c>
      <c r="M236" s="1463">
        <v>0</v>
      </c>
      <c r="N236" s="1463">
        <v>0</v>
      </c>
      <c r="O236" s="1463">
        <v>0</v>
      </c>
      <c r="P236" s="1463">
        <v>0</v>
      </c>
      <c r="Q236" s="1463">
        <v>0</v>
      </c>
      <c r="R236" s="1463">
        <v>0</v>
      </c>
      <c r="S236" s="1463">
        <v>0</v>
      </c>
      <c r="T236" s="1463">
        <v>0</v>
      </c>
      <c r="U236" s="1463">
        <v>0</v>
      </c>
      <c r="V236" s="1463">
        <v>0</v>
      </c>
      <c r="W236" s="1463">
        <v>0</v>
      </c>
      <c r="X236" s="1463">
        <v>0</v>
      </c>
      <c r="Y236" s="1463">
        <v>0</v>
      </c>
      <c r="Z236" s="1463">
        <v>0</v>
      </c>
      <c r="AA236" s="1463">
        <v>0</v>
      </c>
    </row>
    <row r="237" spans="2:27" x14ac:dyDescent="0.25">
      <c r="B237" s="244" t="s">
        <v>1083</v>
      </c>
      <c r="C237" s="47" t="s">
        <v>1084</v>
      </c>
      <c r="D237" s="53" t="s">
        <v>806</v>
      </c>
      <c r="E237" s="298" t="s">
        <v>1061</v>
      </c>
      <c r="F237" s="286">
        <v>3</v>
      </c>
      <c r="G237" s="1463">
        <v>0</v>
      </c>
      <c r="H237" s="1463">
        <v>0</v>
      </c>
      <c r="I237" s="1463">
        <v>0</v>
      </c>
      <c r="J237" s="1463">
        <v>0</v>
      </c>
      <c r="K237" s="1463">
        <v>0</v>
      </c>
      <c r="L237" s="1463">
        <v>0</v>
      </c>
      <c r="M237" s="1463">
        <v>0</v>
      </c>
      <c r="N237" s="1463">
        <v>0</v>
      </c>
      <c r="O237" s="1463">
        <v>0</v>
      </c>
      <c r="P237" s="1463">
        <v>0</v>
      </c>
      <c r="Q237" s="1463">
        <v>0</v>
      </c>
      <c r="R237" s="1463">
        <v>0</v>
      </c>
      <c r="S237" s="1463">
        <v>0</v>
      </c>
      <c r="T237" s="1463">
        <v>0</v>
      </c>
      <c r="U237" s="1463">
        <v>0</v>
      </c>
      <c r="V237" s="1463">
        <v>0</v>
      </c>
      <c r="W237" s="1463">
        <v>0</v>
      </c>
      <c r="X237" s="1463">
        <v>0</v>
      </c>
      <c r="Y237" s="1463">
        <v>0</v>
      </c>
      <c r="Z237" s="1463">
        <v>0</v>
      </c>
      <c r="AA237" s="1463">
        <v>0</v>
      </c>
    </row>
    <row r="238" spans="2:27" x14ac:dyDescent="0.25">
      <c r="B238" s="244" t="s">
        <v>1085</v>
      </c>
      <c r="C238" s="47" t="s">
        <v>1080</v>
      </c>
      <c r="D238" s="53" t="s">
        <v>806</v>
      </c>
      <c r="E238" s="298" t="s">
        <v>1061</v>
      </c>
      <c r="F238" s="286">
        <v>3</v>
      </c>
      <c r="G238" s="1463">
        <v>0</v>
      </c>
      <c r="H238" s="1463">
        <v>0</v>
      </c>
      <c r="I238" s="1463">
        <v>0</v>
      </c>
      <c r="J238" s="1463">
        <v>0</v>
      </c>
      <c r="K238" s="1463">
        <v>0</v>
      </c>
      <c r="L238" s="1463">
        <v>0</v>
      </c>
      <c r="M238" s="1486">
        <v>0</v>
      </c>
      <c r="N238" s="1486">
        <v>0</v>
      </c>
      <c r="O238" s="1486">
        <v>0</v>
      </c>
      <c r="P238" s="1486">
        <v>0</v>
      </c>
      <c r="Q238" s="1486">
        <v>0</v>
      </c>
      <c r="R238" s="1486">
        <v>0</v>
      </c>
      <c r="S238" s="1486">
        <v>0</v>
      </c>
      <c r="T238" s="1486">
        <v>0</v>
      </c>
      <c r="U238" s="1486">
        <v>0</v>
      </c>
      <c r="V238" s="1486">
        <v>0</v>
      </c>
      <c r="W238" s="1486">
        <v>0</v>
      </c>
      <c r="X238" s="1486">
        <v>0</v>
      </c>
      <c r="Y238" s="1486">
        <v>0</v>
      </c>
      <c r="Z238" s="1486">
        <v>0</v>
      </c>
      <c r="AA238" s="1486">
        <v>0</v>
      </c>
    </row>
    <row r="239" spans="2:27" x14ac:dyDescent="0.25">
      <c r="B239" s="244" t="s">
        <v>1086</v>
      </c>
      <c r="C239" s="47" t="s">
        <v>1074</v>
      </c>
      <c r="D239" s="53" t="s">
        <v>1006</v>
      </c>
      <c r="E239" s="298" t="s">
        <v>1061</v>
      </c>
      <c r="F239" s="286">
        <v>3</v>
      </c>
      <c r="G239" s="1464">
        <v>0</v>
      </c>
      <c r="H239" s="1464">
        <v>0</v>
      </c>
      <c r="I239" s="1464">
        <v>0</v>
      </c>
      <c r="J239" s="1464">
        <v>0</v>
      </c>
      <c r="K239" s="1464">
        <v>0</v>
      </c>
      <c r="L239" s="1464">
        <v>0</v>
      </c>
      <c r="M239" s="1464">
        <v>0.38540989891565647</v>
      </c>
      <c r="N239" s="1464">
        <v>0.38540989891565647</v>
      </c>
      <c r="O239" s="1464">
        <v>0.38540989891565647</v>
      </c>
      <c r="P239" s="1464">
        <v>0.38540989891565647</v>
      </c>
      <c r="Q239" s="1464">
        <v>0.38540989891565647</v>
      </c>
      <c r="R239" s="1464">
        <v>1.9270494945782823</v>
      </c>
      <c r="S239" s="1464">
        <v>1.9270494945782823</v>
      </c>
      <c r="T239" s="1464">
        <v>0</v>
      </c>
      <c r="U239" s="1464">
        <v>0</v>
      </c>
      <c r="V239" s="1464">
        <v>0</v>
      </c>
      <c r="W239" s="1464">
        <v>0</v>
      </c>
      <c r="X239" s="1464">
        <v>0</v>
      </c>
      <c r="Y239" s="1464">
        <v>0</v>
      </c>
      <c r="Z239" s="1464">
        <v>0</v>
      </c>
      <c r="AA239" s="1464">
        <v>0</v>
      </c>
    </row>
    <row r="240" spans="2:27" x14ac:dyDescent="0.25">
      <c r="B240" s="244" t="s">
        <v>1087</v>
      </c>
      <c r="C240" s="47" t="s">
        <v>1088</v>
      </c>
      <c r="D240" s="53" t="s">
        <v>811</v>
      </c>
      <c r="E240" s="298" t="s">
        <v>1061</v>
      </c>
      <c r="F240" s="286">
        <v>3</v>
      </c>
      <c r="G240" s="1463">
        <v>0</v>
      </c>
      <c r="H240" s="1463">
        <v>0</v>
      </c>
      <c r="I240" s="1463">
        <v>0</v>
      </c>
      <c r="J240" s="1463">
        <v>0</v>
      </c>
      <c r="K240" s="1463">
        <v>0</v>
      </c>
      <c r="L240" s="1463">
        <v>0</v>
      </c>
      <c r="M240" s="1487">
        <v>0.23370568881682324</v>
      </c>
      <c r="N240" s="1487">
        <v>0.23370568881682324</v>
      </c>
      <c r="O240" s="1487">
        <v>0.23370568881682324</v>
      </c>
      <c r="P240" s="1487">
        <v>0.23370568881682324</v>
      </c>
      <c r="Q240" s="1487">
        <v>0.23370568881682324</v>
      </c>
      <c r="R240" s="1487">
        <v>1.1685284440841162</v>
      </c>
      <c r="S240" s="1487">
        <v>1.1685284440841162</v>
      </c>
      <c r="T240" s="1487">
        <v>0</v>
      </c>
      <c r="U240" s="1487">
        <v>0</v>
      </c>
      <c r="V240" s="1487">
        <v>0</v>
      </c>
      <c r="W240" s="1487">
        <v>0</v>
      </c>
      <c r="X240" s="1487">
        <v>0</v>
      </c>
      <c r="Y240" s="1487">
        <v>0</v>
      </c>
      <c r="Z240" s="1487">
        <v>0</v>
      </c>
      <c r="AA240" s="1487">
        <v>0</v>
      </c>
    </row>
    <row r="241" spans="2:27" x14ac:dyDescent="0.25">
      <c r="B241" s="244" t="s">
        <v>1089</v>
      </c>
      <c r="C241" s="47" t="s">
        <v>1090</v>
      </c>
      <c r="D241" s="53" t="s">
        <v>811</v>
      </c>
      <c r="E241" s="298" t="s">
        <v>1061</v>
      </c>
      <c r="F241" s="286">
        <v>3</v>
      </c>
      <c r="G241" s="1463">
        <v>0</v>
      </c>
      <c r="H241" s="1463">
        <v>0</v>
      </c>
      <c r="I241" s="1463">
        <v>0</v>
      </c>
      <c r="J241" s="1463">
        <v>0</v>
      </c>
      <c r="K241" s="1463">
        <v>0</v>
      </c>
      <c r="L241" s="1463">
        <v>0</v>
      </c>
      <c r="M241" s="1463">
        <v>0</v>
      </c>
      <c r="N241" s="1463">
        <v>0</v>
      </c>
      <c r="O241" s="1463">
        <v>0</v>
      </c>
      <c r="P241" s="1463">
        <v>0</v>
      </c>
      <c r="Q241" s="1463">
        <v>0</v>
      </c>
      <c r="R241" s="1463">
        <v>0</v>
      </c>
      <c r="S241" s="1463">
        <v>0</v>
      </c>
      <c r="T241" s="1463">
        <v>0</v>
      </c>
      <c r="U241" s="1463">
        <v>0</v>
      </c>
      <c r="V241" s="1463">
        <v>0</v>
      </c>
      <c r="W241" s="1463">
        <v>0</v>
      </c>
      <c r="X241" s="1463">
        <v>0</v>
      </c>
      <c r="Y241" s="1463">
        <v>0</v>
      </c>
      <c r="Z241" s="1463">
        <v>0</v>
      </c>
      <c r="AA241" s="1463">
        <v>0</v>
      </c>
    </row>
    <row r="242" spans="2:27" x14ac:dyDescent="0.25">
      <c r="B242" s="244" t="s">
        <v>1091</v>
      </c>
      <c r="C242" s="47" t="s">
        <v>1092</v>
      </c>
      <c r="D242" s="53" t="s">
        <v>811</v>
      </c>
      <c r="E242" s="298" t="s">
        <v>1061</v>
      </c>
      <c r="F242" s="286">
        <v>3</v>
      </c>
      <c r="G242" s="1463">
        <v>0</v>
      </c>
      <c r="H242" s="1463">
        <v>0</v>
      </c>
      <c r="I242" s="1463">
        <v>0</v>
      </c>
      <c r="J242" s="1463">
        <v>0</v>
      </c>
      <c r="K242" s="1463">
        <v>0</v>
      </c>
      <c r="L242" s="1463">
        <v>0</v>
      </c>
      <c r="M242" s="1463">
        <v>0</v>
      </c>
      <c r="N242" s="1463">
        <v>0</v>
      </c>
      <c r="O242" s="1463">
        <v>0</v>
      </c>
      <c r="P242" s="1463">
        <v>0</v>
      </c>
      <c r="Q242" s="1463">
        <v>0</v>
      </c>
      <c r="R242" s="1463">
        <v>0</v>
      </c>
      <c r="S242" s="1463">
        <v>0</v>
      </c>
      <c r="T242" s="1463">
        <v>0</v>
      </c>
      <c r="U242" s="1463">
        <v>0</v>
      </c>
      <c r="V242" s="1463">
        <v>0</v>
      </c>
      <c r="W242" s="1463">
        <v>0</v>
      </c>
      <c r="X242" s="1463">
        <v>0</v>
      </c>
      <c r="Y242" s="1463">
        <v>0</v>
      </c>
      <c r="Z242" s="1463">
        <v>0</v>
      </c>
      <c r="AA242" s="1463">
        <v>0</v>
      </c>
    </row>
    <row r="243" spans="2:27" x14ac:dyDescent="0.25">
      <c r="B243" s="244" t="s">
        <v>1093</v>
      </c>
      <c r="C243" s="47" t="s">
        <v>1094</v>
      </c>
      <c r="D243" s="53" t="s">
        <v>811</v>
      </c>
      <c r="E243" s="298" t="s">
        <v>1061</v>
      </c>
      <c r="F243" s="286">
        <v>3</v>
      </c>
      <c r="G243" s="1463">
        <v>0</v>
      </c>
      <c r="H243" s="1463">
        <v>0</v>
      </c>
      <c r="I243" s="1463">
        <v>0</v>
      </c>
      <c r="J243" s="1463">
        <v>0</v>
      </c>
      <c r="K243" s="1463">
        <v>0</v>
      </c>
      <c r="L243" s="1463">
        <v>0</v>
      </c>
      <c r="M243" s="1486">
        <v>0.23370568881682324</v>
      </c>
      <c r="N243" s="1486">
        <v>0.23370568881682324</v>
      </c>
      <c r="O243" s="1486">
        <v>0.23370568881682324</v>
      </c>
      <c r="P243" s="1486">
        <v>0.23370568881682324</v>
      </c>
      <c r="Q243" s="1486">
        <v>0.23370568881682324</v>
      </c>
      <c r="R243" s="1486">
        <v>1.1685284440841162</v>
      </c>
      <c r="S243" s="1486">
        <v>1.1685284440841162</v>
      </c>
      <c r="T243" s="1486">
        <v>0</v>
      </c>
      <c r="U243" s="1486">
        <v>0</v>
      </c>
      <c r="V243" s="1486">
        <v>0</v>
      </c>
      <c r="W243" s="1486">
        <v>0</v>
      </c>
      <c r="X243" s="1486">
        <v>0</v>
      </c>
      <c r="Y243" s="1486">
        <v>0</v>
      </c>
      <c r="Z243" s="1486">
        <v>0</v>
      </c>
      <c r="AA243" s="1486">
        <v>0</v>
      </c>
    </row>
    <row r="244" spans="2:27" x14ac:dyDescent="0.25">
      <c r="B244" s="244" t="s">
        <v>1095</v>
      </c>
      <c r="C244" s="47" t="s">
        <v>1088</v>
      </c>
      <c r="D244" s="53" t="s">
        <v>806</v>
      </c>
      <c r="E244" s="298" t="s">
        <v>1061</v>
      </c>
      <c r="F244" s="286">
        <v>3</v>
      </c>
      <c r="G244" s="1463">
        <v>0</v>
      </c>
      <c r="H244" s="1463">
        <v>0</v>
      </c>
      <c r="I244" s="1463">
        <v>0</v>
      </c>
      <c r="J244" s="1463">
        <v>0</v>
      </c>
      <c r="K244" s="1463">
        <v>0</v>
      </c>
      <c r="L244" s="1463">
        <v>0</v>
      </c>
      <c r="M244" s="1487">
        <v>5.6769E-2</v>
      </c>
      <c r="N244" s="1487">
        <v>6.3537999999999997E-2</v>
      </c>
      <c r="O244" s="1487">
        <v>7.0306999999999994E-2</v>
      </c>
      <c r="P244" s="1487">
        <v>7.7076000000000006E-2</v>
      </c>
      <c r="Q244" s="1487">
        <v>8.3845000000000003E-2</v>
      </c>
      <c r="R244" s="1487">
        <v>0.52076</v>
      </c>
      <c r="S244" s="1487">
        <v>0.68998499999999996</v>
      </c>
      <c r="T244" s="1487">
        <v>1.9262034440841165</v>
      </c>
      <c r="U244" s="1487">
        <v>1.9262034440841165</v>
      </c>
      <c r="V244" s="1487">
        <v>1.9262034440841165</v>
      </c>
      <c r="W244" s="1487">
        <v>1.9262034440841165</v>
      </c>
      <c r="X244" s="1487">
        <v>1.9262034440841165</v>
      </c>
      <c r="Y244" s="1487">
        <v>1.9262034440841165</v>
      </c>
      <c r="Z244" s="1487">
        <v>1.9262034440841165</v>
      </c>
      <c r="AA244" s="1487">
        <v>1.9262034440841165</v>
      </c>
    </row>
    <row r="245" spans="2:27" x14ac:dyDescent="0.25">
      <c r="B245" s="244" t="s">
        <v>1096</v>
      </c>
      <c r="C245" s="47" t="s">
        <v>1090</v>
      </c>
      <c r="D245" s="53" t="s">
        <v>806</v>
      </c>
      <c r="E245" s="298" t="s">
        <v>1061</v>
      </c>
      <c r="F245" s="286">
        <v>3</v>
      </c>
      <c r="G245" s="1463">
        <v>0</v>
      </c>
      <c r="H245" s="1463">
        <v>0</v>
      </c>
      <c r="I245" s="1463">
        <v>0</v>
      </c>
      <c r="J245" s="1463">
        <v>0</v>
      </c>
      <c r="K245" s="1463">
        <v>0</v>
      </c>
      <c r="L245" s="1463">
        <v>0</v>
      </c>
      <c r="M245" s="1463">
        <v>0</v>
      </c>
      <c r="N245" s="1463">
        <v>0</v>
      </c>
      <c r="O245" s="1463">
        <v>0</v>
      </c>
      <c r="P245" s="1463">
        <v>0</v>
      </c>
      <c r="Q245" s="1463">
        <v>0</v>
      </c>
      <c r="R245" s="1463">
        <v>0</v>
      </c>
      <c r="S245" s="1463">
        <v>0</v>
      </c>
      <c r="T245" s="1463">
        <v>0</v>
      </c>
      <c r="U245" s="1463">
        <v>0</v>
      </c>
      <c r="V245" s="1463">
        <v>0</v>
      </c>
      <c r="W245" s="1463">
        <v>0</v>
      </c>
      <c r="X245" s="1463">
        <v>0</v>
      </c>
      <c r="Y245" s="1463">
        <v>0</v>
      </c>
      <c r="Z245" s="1463">
        <v>0</v>
      </c>
      <c r="AA245" s="1463">
        <v>0</v>
      </c>
    </row>
    <row r="246" spans="2:27" x14ac:dyDescent="0.25">
      <c r="B246" s="244" t="s">
        <v>1097</v>
      </c>
      <c r="C246" s="47" t="s">
        <v>1092</v>
      </c>
      <c r="D246" s="53" t="s">
        <v>806</v>
      </c>
      <c r="E246" s="298" t="s">
        <v>1061</v>
      </c>
      <c r="F246" s="286">
        <v>3</v>
      </c>
      <c r="G246" s="1463">
        <v>0</v>
      </c>
      <c r="H246" s="1463">
        <v>0</v>
      </c>
      <c r="I246" s="1463">
        <v>0</v>
      </c>
      <c r="J246" s="1463">
        <v>0</v>
      </c>
      <c r="K246" s="1463">
        <v>0</v>
      </c>
      <c r="L246" s="1463">
        <v>0</v>
      </c>
      <c r="M246" s="1463">
        <v>0</v>
      </c>
      <c r="N246" s="1463">
        <v>0</v>
      </c>
      <c r="O246" s="1463">
        <v>0</v>
      </c>
      <c r="P246" s="1463">
        <v>0</v>
      </c>
      <c r="Q246" s="1463">
        <v>0</v>
      </c>
      <c r="R246" s="1463">
        <v>0</v>
      </c>
      <c r="S246" s="1463">
        <v>0</v>
      </c>
      <c r="T246" s="1463">
        <v>0</v>
      </c>
      <c r="U246" s="1463">
        <v>0</v>
      </c>
      <c r="V246" s="1463">
        <v>0</v>
      </c>
      <c r="W246" s="1463">
        <v>0</v>
      </c>
      <c r="X246" s="1463">
        <v>0</v>
      </c>
      <c r="Y246" s="1463">
        <v>0</v>
      </c>
      <c r="Z246" s="1463">
        <v>0</v>
      </c>
      <c r="AA246" s="1463">
        <v>0</v>
      </c>
    </row>
    <row r="247" spans="2:27" x14ac:dyDescent="0.25">
      <c r="B247" s="244" t="s">
        <v>1098</v>
      </c>
      <c r="C247" s="47" t="s">
        <v>1094</v>
      </c>
      <c r="D247" s="53" t="s">
        <v>806</v>
      </c>
      <c r="E247" s="298" t="s">
        <v>1061</v>
      </c>
      <c r="F247" s="286">
        <v>3</v>
      </c>
      <c r="G247" s="1463">
        <v>0</v>
      </c>
      <c r="H247" s="1463">
        <v>0</v>
      </c>
      <c r="I247" s="1463">
        <v>0</v>
      </c>
      <c r="J247" s="1463">
        <v>0</v>
      </c>
      <c r="K247" s="1463">
        <v>0</v>
      </c>
      <c r="L247" s="1463">
        <v>0</v>
      </c>
      <c r="M247" s="1486">
        <v>5.6769E-2</v>
      </c>
      <c r="N247" s="1486">
        <v>6.3537999999999997E-2</v>
      </c>
      <c r="O247" s="1486">
        <v>7.0306999999999994E-2</v>
      </c>
      <c r="P247" s="1486">
        <v>7.7076000000000006E-2</v>
      </c>
      <c r="Q247" s="1486">
        <v>8.3845000000000003E-2</v>
      </c>
      <c r="R247" s="1486">
        <v>0.52076</v>
      </c>
      <c r="S247" s="1486">
        <v>0.68998499999999996</v>
      </c>
      <c r="T247" s="1486">
        <v>1.9262034440841165</v>
      </c>
      <c r="U247" s="1486">
        <v>1.9262034440841165</v>
      </c>
      <c r="V247" s="1486">
        <v>1.9262034440841165</v>
      </c>
      <c r="W247" s="1486">
        <v>1.9262034440841165</v>
      </c>
      <c r="X247" s="1486">
        <v>1.9262034440841165</v>
      </c>
      <c r="Y247" s="1486">
        <v>1.9262034440841165</v>
      </c>
      <c r="Z247" s="1486">
        <v>1.9262034440841165</v>
      </c>
      <c r="AA247" s="1486">
        <v>1.9262034440841165</v>
      </c>
    </row>
    <row r="248" spans="2:27" x14ac:dyDescent="0.25">
      <c r="B248" s="244" t="s">
        <v>1099</v>
      </c>
      <c r="C248" s="47" t="s">
        <v>1090</v>
      </c>
      <c r="D248" s="53" t="s">
        <v>1006</v>
      </c>
      <c r="E248" s="298" t="s">
        <v>1061</v>
      </c>
      <c r="F248" s="286">
        <v>3</v>
      </c>
      <c r="G248" s="1464">
        <v>0</v>
      </c>
      <c r="H248" s="1464">
        <v>0</v>
      </c>
      <c r="I248" s="1464">
        <v>0</v>
      </c>
      <c r="J248" s="1464">
        <v>0</v>
      </c>
      <c r="K248" s="1464">
        <v>0</v>
      </c>
      <c r="L248" s="1464">
        <v>0</v>
      </c>
      <c r="M248" s="1464">
        <v>0.52418037763364644</v>
      </c>
      <c r="N248" s="1464">
        <v>0.53094937763364647</v>
      </c>
      <c r="O248" s="1464">
        <v>0.53771837763364649</v>
      </c>
      <c r="P248" s="1464">
        <v>0.54448737763364652</v>
      </c>
      <c r="Q248" s="1464">
        <v>0.55125637763364654</v>
      </c>
      <c r="R248" s="1464">
        <v>2.8578168881682324</v>
      </c>
      <c r="S248" s="1464">
        <v>3.0270418881682324</v>
      </c>
      <c r="T248" s="1464">
        <v>1.9262034440841165</v>
      </c>
      <c r="U248" s="1464">
        <v>1.9262034440841165</v>
      </c>
      <c r="V248" s="1464">
        <v>1.9262034440841165</v>
      </c>
      <c r="W248" s="1464">
        <v>1.9262034440841165</v>
      </c>
      <c r="X248" s="1464">
        <v>1.9262034440841165</v>
      </c>
      <c r="Y248" s="1464">
        <v>1.9262034440841165</v>
      </c>
      <c r="Z248" s="1464">
        <v>1.9262034440841165</v>
      </c>
      <c r="AA248" s="1465">
        <v>1.9262034440841165</v>
      </c>
    </row>
    <row r="249" spans="2:27" x14ac:dyDescent="0.25">
      <c r="B249" s="244" t="s">
        <v>1100</v>
      </c>
      <c r="C249" s="47" t="s">
        <v>1101</v>
      </c>
      <c r="D249" s="53" t="s">
        <v>811</v>
      </c>
      <c r="E249" s="298" t="s">
        <v>1061</v>
      </c>
      <c r="F249" s="286">
        <v>3</v>
      </c>
      <c r="G249" s="1463">
        <v>0</v>
      </c>
      <c r="H249" s="1463">
        <v>0</v>
      </c>
      <c r="I249" s="1463">
        <v>0</v>
      </c>
      <c r="J249" s="1463">
        <v>0</v>
      </c>
      <c r="K249" s="1463">
        <v>0</v>
      </c>
      <c r="L249" s="1463">
        <v>0</v>
      </c>
      <c r="M249" s="1463">
        <v>0</v>
      </c>
      <c r="N249" s="1463">
        <v>0</v>
      </c>
      <c r="O249" s="1463">
        <v>0</v>
      </c>
      <c r="P249" s="1463">
        <v>0</v>
      </c>
      <c r="Q249" s="1463">
        <v>0</v>
      </c>
      <c r="R249" s="1463">
        <v>0</v>
      </c>
      <c r="S249" s="1463">
        <v>0</v>
      </c>
      <c r="T249" s="1463">
        <v>0</v>
      </c>
      <c r="U249" s="1463">
        <v>0</v>
      </c>
      <c r="V249" s="1463">
        <v>0</v>
      </c>
      <c r="W249" s="1463">
        <v>0</v>
      </c>
      <c r="X249" s="1463">
        <v>0</v>
      </c>
      <c r="Y249" s="1463">
        <v>0</v>
      </c>
      <c r="Z249" s="1463">
        <v>0</v>
      </c>
      <c r="AA249" s="1463">
        <v>0</v>
      </c>
    </row>
    <row r="250" spans="2:27" x14ac:dyDescent="0.25">
      <c r="B250" s="244" t="s">
        <v>1102</v>
      </c>
      <c r="C250" s="47" t="s">
        <v>1103</v>
      </c>
      <c r="D250" s="53" t="s">
        <v>811</v>
      </c>
      <c r="E250" s="298" t="s">
        <v>1061</v>
      </c>
      <c r="F250" s="286">
        <v>3</v>
      </c>
      <c r="G250" s="1463">
        <v>0</v>
      </c>
      <c r="H250" s="1463">
        <v>0</v>
      </c>
      <c r="I250" s="1463">
        <v>0</v>
      </c>
      <c r="J250" s="1463">
        <v>0</v>
      </c>
      <c r="K250" s="1463">
        <v>0</v>
      </c>
      <c r="L250" s="1463">
        <v>0</v>
      </c>
      <c r="M250" s="1486">
        <v>1.345707402518568</v>
      </c>
      <c r="N250" s="1486">
        <v>1.345707402518568</v>
      </c>
      <c r="O250" s="1486">
        <v>1.345707402518568</v>
      </c>
      <c r="P250" s="1486">
        <v>1.345707402518568</v>
      </c>
      <c r="Q250" s="1486">
        <v>1.345707402518568</v>
      </c>
      <c r="R250" s="1486">
        <v>6.7285370125928408</v>
      </c>
      <c r="S250" s="1486">
        <v>6.7285370125928408</v>
      </c>
      <c r="T250" s="1486">
        <v>0</v>
      </c>
      <c r="U250" s="1486">
        <v>0</v>
      </c>
      <c r="V250" s="1486">
        <v>0</v>
      </c>
      <c r="W250" s="1486">
        <v>0</v>
      </c>
      <c r="X250" s="1486">
        <v>0</v>
      </c>
      <c r="Y250" s="1486">
        <v>0</v>
      </c>
      <c r="Z250" s="1486">
        <v>0</v>
      </c>
      <c r="AA250" s="1486">
        <v>0</v>
      </c>
    </row>
    <row r="251" spans="2:27" x14ac:dyDescent="0.25">
      <c r="B251" s="244" t="s">
        <v>1104</v>
      </c>
      <c r="C251" s="47" t="s">
        <v>1105</v>
      </c>
      <c r="D251" s="53" t="s">
        <v>811</v>
      </c>
      <c r="E251" s="298" t="s">
        <v>1061</v>
      </c>
      <c r="F251" s="286">
        <v>3</v>
      </c>
      <c r="G251" s="1463">
        <v>0</v>
      </c>
      <c r="H251" s="1463">
        <v>0</v>
      </c>
      <c r="I251" s="1463">
        <v>0</v>
      </c>
      <c r="J251" s="1463">
        <v>0</v>
      </c>
      <c r="K251" s="1463">
        <v>0</v>
      </c>
      <c r="L251" s="1463">
        <v>0</v>
      </c>
      <c r="M251" s="1463">
        <v>0</v>
      </c>
      <c r="N251" s="1463">
        <v>0</v>
      </c>
      <c r="O251" s="1463">
        <v>0</v>
      </c>
      <c r="P251" s="1463">
        <v>0</v>
      </c>
      <c r="Q251" s="1463">
        <v>0</v>
      </c>
      <c r="R251" s="1463">
        <v>0</v>
      </c>
      <c r="S251" s="1463">
        <v>0</v>
      </c>
      <c r="T251" s="1463">
        <v>0</v>
      </c>
      <c r="U251" s="1463">
        <v>0</v>
      </c>
      <c r="V251" s="1463">
        <v>0</v>
      </c>
      <c r="W251" s="1463">
        <v>0</v>
      </c>
      <c r="X251" s="1463">
        <v>0</v>
      </c>
      <c r="Y251" s="1463">
        <v>0</v>
      </c>
      <c r="Z251" s="1463">
        <v>0</v>
      </c>
      <c r="AA251" s="1463">
        <v>0</v>
      </c>
    </row>
    <row r="252" spans="2:27" x14ac:dyDescent="0.25">
      <c r="B252" s="244" t="s">
        <v>1106</v>
      </c>
      <c r="C252" s="47" t="s">
        <v>1101</v>
      </c>
      <c r="D252" s="53" t="s">
        <v>806</v>
      </c>
      <c r="E252" s="298" t="s">
        <v>1061</v>
      </c>
      <c r="F252" s="286">
        <v>3</v>
      </c>
      <c r="G252" s="1463">
        <v>0</v>
      </c>
      <c r="H252" s="1463">
        <v>0</v>
      </c>
      <c r="I252" s="1463">
        <v>0</v>
      </c>
      <c r="J252" s="1463">
        <v>0</v>
      </c>
      <c r="K252" s="1463">
        <v>0</v>
      </c>
      <c r="L252" s="1463">
        <v>0</v>
      </c>
      <c r="M252" s="1463">
        <v>0</v>
      </c>
      <c r="N252" s="1463">
        <v>0</v>
      </c>
      <c r="O252" s="1463">
        <v>0</v>
      </c>
      <c r="P252" s="1463">
        <v>0</v>
      </c>
      <c r="Q252" s="1463">
        <v>0</v>
      </c>
      <c r="R252" s="1463">
        <v>0</v>
      </c>
      <c r="S252" s="1463">
        <v>0</v>
      </c>
      <c r="T252" s="1463">
        <v>0</v>
      </c>
      <c r="U252" s="1463">
        <v>0</v>
      </c>
      <c r="V252" s="1463">
        <v>0</v>
      </c>
      <c r="W252" s="1463">
        <v>0</v>
      </c>
      <c r="X252" s="1463">
        <v>0</v>
      </c>
      <c r="Y252" s="1463">
        <v>0</v>
      </c>
      <c r="Z252" s="1463">
        <v>0</v>
      </c>
      <c r="AA252" s="1463">
        <v>0</v>
      </c>
    </row>
    <row r="253" spans="2:27" x14ac:dyDescent="0.25">
      <c r="B253" s="244" t="s">
        <v>1107</v>
      </c>
      <c r="C253" s="47" t="s">
        <v>1103</v>
      </c>
      <c r="D253" s="53" t="s">
        <v>806</v>
      </c>
      <c r="E253" s="298" t="s">
        <v>1061</v>
      </c>
      <c r="F253" s="286">
        <v>3</v>
      </c>
      <c r="G253" s="1463">
        <v>0</v>
      </c>
      <c r="H253" s="1463">
        <v>0</v>
      </c>
      <c r="I253" s="1463">
        <v>0</v>
      </c>
      <c r="J253" s="1463">
        <v>0</v>
      </c>
      <c r="K253" s="1463">
        <v>0</v>
      </c>
      <c r="L253" s="1463">
        <v>0</v>
      </c>
      <c r="M253" s="1486">
        <v>0</v>
      </c>
      <c r="N253" s="1486">
        <v>0</v>
      </c>
      <c r="O253" s="1486">
        <v>0</v>
      </c>
      <c r="P253" s="1486">
        <v>0</v>
      </c>
      <c r="Q253" s="1486">
        <v>0</v>
      </c>
      <c r="R253" s="1486">
        <v>0</v>
      </c>
      <c r="S253" s="1486">
        <v>0</v>
      </c>
      <c r="T253" s="1486">
        <v>0</v>
      </c>
      <c r="U253" s="1486">
        <v>0</v>
      </c>
      <c r="V253" s="1486">
        <v>0</v>
      </c>
      <c r="W253" s="1486">
        <v>0</v>
      </c>
      <c r="X253" s="1486">
        <v>0</v>
      </c>
      <c r="Y253" s="1486">
        <v>0</v>
      </c>
      <c r="Z253" s="1486">
        <v>0</v>
      </c>
      <c r="AA253" s="1486">
        <v>0</v>
      </c>
    </row>
    <row r="254" spans="2:27" x14ac:dyDescent="0.25">
      <c r="B254" s="244" t="s">
        <v>1108</v>
      </c>
      <c r="C254" s="47" t="s">
        <v>1105</v>
      </c>
      <c r="D254" s="53" t="s">
        <v>806</v>
      </c>
      <c r="E254" s="298" t="s">
        <v>1061</v>
      </c>
      <c r="F254" s="286">
        <v>3</v>
      </c>
      <c r="G254" s="1463">
        <v>0</v>
      </c>
      <c r="H254" s="1463">
        <v>0</v>
      </c>
      <c r="I254" s="1463">
        <v>0</v>
      </c>
      <c r="J254" s="1463">
        <v>0</v>
      </c>
      <c r="K254" s="1463">
        <v>0</v>
      </c>
      <c r="L254" s="1463">
        <v>0</v>
      </c>
      <c r="M254" s="1463">
        <v>0</v>
      </c>
      <c r="N254" s="1463">
        <v>0</v>
      </c>
      <c r="O254" s="1463">
        <v>0</v>
      </c>
      <c r="P254" s="1463">
        <v>0</v>
      </c>
      <c r="Q254" s="1463">
        <v>0</v>
      </c>
      <c r="R254" s="1463">
        <v>0</v>
      </c>
      <c r="S254" s="1463">
        <v>0</v>
      </c>
      <c r="T254" s="1463">
        <v>0</v>
      </c>
      <c r="U254" s="1463">
        <v>0</v>
      </c>
      <c r="V254" s="1463">
        <v>0</v>
      </c>
      <c r="W254" s="1463">
        <v>0</v>
      </c>
      <c r="X254" s="1463">
        <v>0</v>
      </c>
      <c r="Y254" s="1463">
        <v>0</v>
      </c>
      <c r="Z254" s="1463">
        <v>0</v>
      </c>
      <c r="AA254" s="1463">
        <v>0</v>
      </c>
    </row>
    <row r="255" spans="2:27" x14ac:dyDescent="0.25">
      <c r="B255" s="244" t="s">
        <v>1109</v>
      </c>
      <c r="C255" s="47" t="s">
        <v>1101</v>
      </c>
      <c r="D255" s="53" t="s">
        <v>1006</v>
      </c>
      <c r="E255" s="298" t="s">
        <v>1061</v>
      </c>
      <c r="F255" s="286">
        <v>3</v>
      </c>
      <c r="G255" s="1464">
        <v>0</v>
      </c>
      <c r="H255" s="1464">
        <v>0</v>
      </c>
      <c r="I255" s="1464">
        <v>0</v>
      </c>
      <c r="J255" s="1464">
        <v>0</v>
      </c>
      <c r="K255" s="1464">
        <v>0</v>
      </c>
      <c r="L255" s="1464">
        <v>0</v>
      </c>
      <c r="M255" s="1464">
        <v>0</v>
      </c>
      <c r="N255" s="1464">
        <v>0</v>
      </c>
      <c r="O255" s="1464">
        <v>0</v>
      </c>
      <c r="P255" s="1464">
        <v>0</v>
      </c>
      <c r="Q255" s="1464">
        <v>0</v>
      </c>
      <c r="R255" s="1464">
        <v>0</v>
      </c>
      <c r="S255" s="1464">
        <v>0</v>
      </c>
      <c r="T255" s="1464">
        <v>0</v>
      </c>
      <c r="U255" s="1464">
        <v>0</v>
      </c>
      <c r="V255" s="1464">
        <v>0</v>
      </c>
      <c r="W255" s="1464">
        <v>0</v>
      </c>
      <c r="X255" s="1464">
        <v>0</v>
      </c>
      <c r="Y255" s="1464">
        <v>0</v>
      </c>
      <c r="Z255" s="1464">
        <v>0</v>
      </c>
      <c r="AA255" s="1465">
        <v>0</v>
      </c>
    </row>
    <row r="256" spans="2:27" x14ac:dyDescent="0.25">
      <c r="B256" s="244" t="s">
        <v>1110</v>
      </c>
      <c r="C256" s="47" t="s">
        <v>1103</v>
      </c>
      <c r="D256" s="53" t="s">
        <v>1006</v>
      </c>
      <c r="E256" s="298" t="s">
        <v>1061</v>
      </c>
      <c r="F256" s="286">
        <v>3</v>
      </c>
      <c r="G256" s="1464">
        <v>0</v>
      </c>
      <c r="H256" s="1464">
        <v>0</v>
      </c>
      <c r="I256" s="1464">
        <v>0</v>
      </c>
      <c r="J256" s="1464">
        <v>0</v>
      </c>
      <c r="K256" s="1464">
        <v>0</v>
      </c>
      <c r="L256" s="1464">
        <v>0</v>
      </c>
      <c r="M256" s="1464">
        <v>1.345707402518568</v>
      </c>
      <c r="N256" s="1464">
        <v>1.345707402518568</v>
      </c>
      <c r="O256" s="1464">
        <v>1.345707402518568</v>
      </c>
      <c r="P256" s="1464">
        <v>1.345707402518568</v>
      </c>
      <c r="Q256" s="1464">
        <v>1.345707402518568</v>
      </c>
      <c r="R256" s="1464">
        <v>6.7285370125928408</v>
      </c>
      <c r="S256" s="1464">
        <v>6.7285370125928408</v>
      </c>
      <c r="T256" s="1464">
        <v>0</v>
      </c>
      <c r="U256" s="1464">
        <v>0</v>
      </c>
      <c r="V256" s="1464">
        <v>0</v>
      </c>
      <c r="W256" s="1464">
        <v>0</v>
      </c>
      <c r="X256" s="1464">
        <v>0</v>
      </c>
      <c r="Y256" s="1464">
        <v>0</v>
      </c>
      <c r="Z256" s="1464">
        <v>0</v>
      </c>
      <c r="AA256" s="1465">
        <v>0</v>
      </c>
    </row>
    <row r="257" spans="2:27" x14ac:dyDescent="0.25">
      <c r="B257" s="244" t="s">
        <v>1111</v>
      </c>
      <c r="C257" s="47" t="s">
        <v>1105</v>
      </c>
      <c r="D257" s="53" t="s">
        <v>1006</v>
      </c>
      <c r="E257" s="298" t="s">
        <v>1061</v>
      </c>
      <c r="F257" s="286">
        <v>3</v>
      </c>
      <c r="G257" s="1464">
        <v>0</v>
      </c>
      <c r="H257" s="1464">
        <v>0</v>
      </c>
      <c r="I257" s="1464">
        <v>0</v>
      </c>
      <c r="J257" s="1464">
        <v>0</v>
      </c>
      <c r="K257" s="1464">
        <v>0</v>
      </c>
      <c r="L257" s="1464">
        <v>0</v>
      </c>
      <c r="M257" s="1464">
        <v>0</v>
      </c>
      <c r="N257" s="1464">
        <v>0</v>
      </c>
      <c r="O257" s="1464">
        <v>0</v>
      </c>
      <c r="P257" s="1464">
        <v>0</v>
      </c>
      <c r="Q257" s="1464">
        <v>0</v>
      </c>
      <c r="R257" s="1464">
        <v>0</v>
      </c>
      <c r="S257" s="1464">
        <v>0</v>
      </c>
      <c r="T257" s="1464">
        <v>0</v>
      </c>
      <c r="U257" s="1464">
        <v>0</v>
      </c>
      <c r="V257" s="1464">
        <v>0</v>
      </c>
      <c r="W257" s="1464">
        <v>0</v>
      </c>
      <c r="X257" s="1464">
        <v>0</v>
      </c>
      <c r="Y257" s="1464">
        <v>0</v>
      </c>
      <c r="Z257" s="1464">
        <v>0</v>
      </c>
      <c r="AA257" s="1465">
        <v>0</v>
      </c>
    </row>
    <row r="258" spans="2:27" x14ac:dyDescent="0.25">
      <c r="B258" s="244" t="s">
        <v>1112</v>
      </c>
      <c r="C258" s="47" t="s">
        <v>1113</v>
      </c>
      <c r="D258" s="53" t="s">
        <v>1006</v>
      </c>
      <c r="E258" s="298" t="s">
        <v>1061</v>
      </c>
      <c r="F258" s="286">
        <v>3</v>
      </c>
      <c r="G258" s="1462">
        <v>0</v>
      </c>
      <c r="H258" s="1462">
        <v>0</v>
      </c>
      <c r="I258" s="1462">
        <v>0</v>
      </c>
      <c r="J258" s="1462">
        <v>0</v>
      </c>
      <c r="K258" s="1462">
        <v>0</v>
      </c>
      <c r="L258" s="1462">
        <v>0</v>
      </c>
      <c r="M258" s="1462">
        <v>5.0677306004277893</v>
      </c>
      <c r="N258" s="1462">
        <v>4.9507115496693093</v>
      </c>
      <c r="O258" s="1462">
        <v>4.8391409778395316</v>
      </c>
      <c r="P258" s="1462">
        <v>4.7327790724327716</v>
      </c>
      <c r="Q258" s="1462">
        <v>4.6313965761897231</v>
      </c>
      <c r="R258" s="1462">
        <v>21.795711561853285</v>
      </c>
      <c r="S258" s="1462">
        <v>19.892700326658549</v>
      </c>
      <c r="T258" s="1462">
        <v>8.4816655082295931</v>
      </c>
      <c r="U258" s="1462">
        <v>7.1605160340281513</v>
      </c>
      <c r="V258" s="1462">
        <v>6.1056232959810606</v>
      </c>
      <c r="W258" s="1462">
        <v>4.0178391108747693</v>
      </c>
      <c r="X258" s="1462">
        <v>1.9262034440841165</v>
      </c>
      <c r="Y258" s="1462">
        <v>1.9262034440841165</v>
      </c>
      <c r="Z258" s="1462">
        <v>1.9262034440841165</v>
      </c>
      <c r="AA258" s="1462">
        <v>1.9262034440841165</v>
      </c>
    </row>
    <row r="259" spans="2:27" ht="14.4" thickBot="1" x14ac:dyDescent="0.3">
      <c r="B259" s="246"/>
      <c r="C259" s="247"/>
      <c r="D259" s="57"/>
      <c r="E259" s="248"/>
      <c r="F259" s="249"/>
      <c r="G259" s="258"/>
      <c r="H259" s="258"/>
      <c r="I259" s="258"/>
      <c r="J259" s="258"/>
      <c r="K259" s="258"/>
      <c r="L259" s="258"/>
      <c r="M259" s="258"/>
      <c r="N259" s="258"/>
      <c r="O259" s="258"/>
      <c r="P259" s="258"/>
      <c r="Q259" s="258"/>
      <c r="R259" s="258"/>
      <c r="S259" s="258"/>
      <c r="T259" s="258"/>
      <c r="U259" s="258"/>
      <c r="V259" s="258"/>
      <c r="W259" s="258"/>
      <c r="X259" s="258"/>
      <c r="Y259" s="258"/>
      <c r="Z259" s="258"/>
      <c r="AA259" s="258"/>
    </row>
    <row r="260" spans="2:27" ht="55.8" thickBot="1" x14ac:dyDescent="0.3">
      <c r="B260" s="210" t="s">
        <v>1114</v>
      </c>
      <c r="G260" s="1530" t="s">
        <v>1018</v>
      </c>
      <c r="H260" s="1592"/>
      <c r="I260" s="1592"/>
      <c r="J260" s="1592"/>
      <c r="K260" s="1592"/>
      <c r="L260" s="1592"/>
      <c r="M260" s="1592"/>
      <c r="N260" s="1592"/>
      <c r="O260" s="1592"/>
      <c r="P260" s="1592"/>
      <c r="Q260" s="1531"/>
      <c r="R260" s="1530" t="s">
        <v>1019</v>
      </c>
      <c r="S260" s="1592"/>
      <c r="T260" s="1592"/>
      <c r="U260" s="1592"/>
      <c r="V260" s="1592"/>
      <c r="W260" s="1592"/>
      <c r="X260" s="1592"/>
      <c r="Y260" s="1592"/>
      <c r="Z260" s="1592"/>
      <c r="AA260" s="1531"/>
    </row>
    <row r="261" spans="2:27" ht="42" thickBot="1" x14ac:dyDescent="0.3">
      <c r="B261" s="251" t="s">
        <v>1020</v>
      </c>
      <c r="C261" s="252" t="s">
        <v>1002</v>
      </c>
      <c r="D261" s="252" t="s">
        <v>1003</v>
      </c>
      <c r="E261" s="252" t="s">
        <v>117</v>
      </c>
      <c r="F261" s="253" t="s">
        <v>118</v>
      </c>
      <c r="G261" s="251" t="s">
        <v>119</v>
      </c>
      <c r="H261" s="252" t="s">
        <v>120</v>
      </c>
      <c r="I261" s="252" t="s">
        <v>121</v>
      </c>
      <c r="J261" s="252" t="s">
        <v>122</v>
      </c>
      <c r="K261" s="252" t="s">
        <v>123</v>
      </c>
      <c r="L261" s="252" t="s">
        <v>124</v>
      </c>
      <c r="M261" s="252" t="s">
        <v>125</v>
      </c>
      <c r="N261" s="252" t="s">
        <v>126</v>
      </c>
      <c r="O261" s="252" t="s">
        <v>127</v>
      </c>
      <c r="P261" s="252" t="s">
        <v>128</v>
      </c>
      <c r="Q261" s="253" t="s">
        <v>129</v>
      </c>
      <c r="R261" s="256" t="s">
        <v>1021</v>
      </c>
      <c r="S261" s="254" t="s">
        <v>1022</v>
      </c>
      <c r="T261" s="254" t="s">
        <v>1023</v>
      </c>
      <c r="U261" s="254" t="s">
        <v>1024</v>
      </c>
      <c r="V261" s="254" t="s">
        <v>1025</v>
      </c>
      <c r="W261" s="254" t="s">
        <v>1026</v>
      </c>
      <c r="X261" s="254" t="s">
        <v>1027</v>
      </c>
      <c r="Y261" s="254" t="s">
        <v>1028</v>
      </c>
      <c r="Z261" s="254" t="s">
        <v>1029</v>
      </c>
      <c r="AA261" s="255" t="s">
        <v>1030</v>
      </c>
    </row>
    <row r="262" spans="2:27" x14ac:dyDescent="0.25">
      <c r="B262" s="244" t="s">
        <v>1115</v>
      </c>
      <c r="C262" s="47" t="s">
        <v>1116</v>
      </c>
      <c r="D262" s="53" t="s">
        <v>811</v>
      </c>
      <c r="E262" s="298" t="s">
        <v>254</v>
      </c>
      <c r="F262" s="286">
        <v>3</v>
      </c>
      <c r="G262" s="1464">
        <f t="shared" ref="G262:L262" si="50">SUM(G203,G206,G209,G212,G215,G222,G231,G240)</f>
        <v>0</v>
      </c>
      <c r="H262" s="1464">
        <f t="shared" si="50"/>
        <v>0</v>
      </c>
      <c r="I262" s="1464">
        <f t="shared" si="50"/>
        <v>0</v>
      </c>
      <c r="J262" s="1464">
        <f t="shared" si="50"/>
        <v>0</v>
      </c>
      <c r="K262" s="1464">
        <f t="shared" si="50"/>
        <v>0</v>
      </c>
      <c r="L262" s="1464">
        <f t="shared" si="50"/>
        <v>0</v>
      </c>
      <c r="M262" s="1464">
        <f>SUM(M203,M206,M209,M212,M215,(M222*1000),(M231*1000),(M240*1000))</f>
        <v>6821.0313154933247</v>
      </c>
      <c r="N262" s="1464">
        <f t="shared" ref="N262:AA262" si="51">SUM(N203,N206,N209,N212,N215,(N222*1000),(N231*1000),(N240*1000))</f>
        <v>9882.3617714228403</v>
      </c>
      <c r="O262" s="1464">
        <f t="shared" si="51"/>
        <v>7605.0247886126608</v>
      </c>
      <c r="P262" s="1464">
        <f t="shared" si="51"/>
        <v>7674.5231488640948</v>
      </c>
      <c r="Q262" s="1464">
        <f t="shared" si="51"/>
        <v>13453.948349349792</v>
      </c>
      <c r="R262" s="1464">
        <f t="shared" si="51"/>
        <v>72645.120887816593</v>
      </c>
      <c r="S262" s="1464">
        <f t="shared" si="51"/>
        <v>68730.213194554934</v>
      </c>
      <c r="T262" s="1464">
        <f t="shared" si="51"/>
        <v>82828.523676928555</v>
      </c>
      <c r="U262" s="1464">
        <f t="shared" si="51"/>
        <v>107075.01727586468</v>
      </c>
      <c r="V262" s="1464">
        <f t="shared" si="51"/>
        <v>4179.4198518969442</v>
      </c>
      <c r="W262" s="1464">
        <f t="shared" si="51"/>
        <v>2091.6356667906525</v>
      </c>
      <c r="X262" s="1464">
        <f t="shared" si="51"/>
        <v>0</v>
      </c>
      <c r="Y262" s="1464">
        <f t="shared" si="51"/>
        <v>0</v>
      </c>
      <c r="Z262" s="1464">
        <f t="shared" si="51"/>
        <v>0</v>
      </c>
      <c r="AA262" s="1464">
        <f t="shared" si="51"/>
        <v>0</v>
      </c>
    </row>
    <row r="263" spans="2:27" x14ac:dyDescent="0.25">
      <c r="B263" s="244" t="s">
        <v>1117</v>
      </c>
      <c r="C263" s="47" t="s">
        <v>1116</v>
      </c>
      <c r="D263" s="53" t="s">
        <v>806</v>
      </c>
      <c r="E263" s="298" t="s">
        <v>254</v>
      </c>
      <c r="F263" s="286">
        <v>3</v>
      </c>
      <c r="G263" s="1464">
        <f t="shared" ref="G263:L263" si="52">SUM(G204,G207,G210,G213,G216,G226,G235,G244)</f>
        <v>0</v>
      </c>
      <c r="H263" s="1464">
        <f t="shared" si="52"/>
        <v>0</v>
      </c>
      <c r="I263" s="1464">
        <f t="shared" si="52"/>
        <v>0</v>
      </c>
      <c r="J263" s="1464">
        <f t="shared" si="52"/>
        <v>0</v>
      </c>
      <c r="K263" s="1464">
        <f t="shared" si="52"/>
        <v>0</v>
      </c>
      <c r="L263" s="1464">
        <f t="shared" si="52"/>
        <v>0</v>
      </c>
      <c r="M263" s="1464">
        <f>SUM(M204,M207,M210,M213,M216,(M226*1000),(M235*1000),(M244*1000))</f>
        <v>214.1196222222222</v>
      </c>
      <c r="N263" s="1464">
        <f t="shared" ref="N263:AA263" si="53">SUM(N204,N207,N210,N213,N216,(N226*1000),(N235*1000),(N244*1000))</f>
        <v>221.26886666666661</v>
      </c>
      <c r="O263" s="1464">
        <f t="shared" si="53"/>
        <v>228.92675555555556</v>
      </c>
      <c r="P263" s="1464">
        <f t="shared" si="53"/>
        <v>236.58464444444445</v>
      </c>
      <c r="Q263" s="1464">
        <f t="shared" si="53"/>
        <v>243.79808888888888</v>
      </c>
      <c r="R263" s="1464">
        <f t="shared" si="53"/>
        <v>1703.8493955555552</v>
      </c>
      <c r="S263" s="1464">
        <f t="shared" si="53"/>
        <v>1472.9035333333334</v>
      </c>
      <c r="T263" s="1464">
        <f t="shared" si="53"/>
        <v>2315.3886440841161</v>
      </c>
      <c r="U263" s="1464">
        <f t="shared" si="53"/>
        <v>2325.6886440841163</v>
      </c>
      <c r="V263" s="1464">
        <f t="shared" si="53"/>
        <v>1926.2034440841164</v>
      </c>
      <c r="W263" s="1464">
        <f t="shared" si="53"/>
        <v>1926.2034440841164</v>
      </c>
      <c r="X263" s="1464">
        <f t="shared" si="53"/>
        <v>1926.2034440841164</v>
      </c>
      <c r="Y263" s="1464">
        <f t="shared" si="53"/>
        <v>1926.2034440841164</v>
      </c>
      <c r="Z263" s="1464">
        <f t="shared" si="53"/>
        <v>1926.2034440841164</v>
      </c>
      <c r="AA263" s="1464">
        <f t="shared" si="53"/>
        <v>1926.2034440841164</v>
      </c>
    </row>
    <row r="264" spans="2:27" ht="14.4" thickBot="1" x14ac:dyDescent="0.3">
      <c r="B264" s="245" t="s">
        <v>1118</v>
      </c>
      <c r="C264" s="48" t="s">
        <v>1116</v>
      </c>
      <c r="D264" s="55" t="s">
        <v>1006</v>
      </c>
      <c r="E264" s="1445" t="s">
        <v>254</v>
      </c>
      <c r="F264" s="287">
        <v>3</v>
      </c>
      <c r="G264" s="1462">
        <f t="shared" ref="G264:L264" si="54">SUM(G262:G263)</f>
        <v>0</v>
      </c>
      <c r="H264" s="1462">
        <f t="shared" si="54"/>
        <v>0</v>
      </c>
      <c r="I264" s="1462">
        <f t="shared" si="54"/>
        <v>0</v>
      </c>
      <c r="J264" s="1462">
        <f t="shared" si="54"/>
        <v>0</v>
      </c>
      <c r="K264" s="1462">
        <f t="shared" si="54"/>
        <v>0</v>
      </c>
      <c r="L264" s="1462">
        <f t="shared" si="54"/>
        <v>0</v>
      </c>
      <c r="M264" s="1462">
        <f t="shared" ref="M264:AA264" si="55">SUM(M262:M263)</f>
        <v>7035.1509377155471</v>
      </c>
      <c r="N264" s="1462">
        <f t="shared" si="55"/>
        <v>10103.630638089508</v>
      </c>
      <c r="O264" s="1462">
        <f t="shared" si="55"/>
        <v>7833.9515441682161</v>
      </c>
      <c r="P264" s="1462">
        <f t="shared" si="55"/>
        <v>7911.1077933085389</v>
      </c>
      <c r="Q264" s="1462">
        <f t="shared" si="55"/>
        <v>13697.746438238681</v>
      </c>
      <c r="R264" s="1462">
        <f t="shared" si="55"/>
        <v>74348.970283372153</v>
      </c>
      <c r="S264" s="1462">
        <f t="shared" si="55"/>
        <v>70203.116727888264</v>
      </c>
      <c r="T264" s="1462">
        <f t="shared" si="55"/>
        <v>85143.912321012671</v>
      </c>
      <c r="U264" s="1462">
        <f t="shared" si="55"/>
        <v>109400.7059199488</v>
      </c>
      <c r="V264" s="1462">
        <f t="shared" si="55"/>
        <v>6105.6232959810604</v>
      </c>
      <c r="W264" s="1462">
        <f t="shared" si="55"/>
        <v>4017.8391108747692</v>
      </c>
      <c r="X264" s="1462">
        <f t="shared" si="55"/>
        <v>1926.2034440841164</v>
      </c>
      <c r="Y264" s="1462">
        <f t="shared" si="55"/>
        <v>1926.2034440841164</v>
      </c>
      <c r="Z264" s="1462">
        <f t="shared" si="55"/>
        <v>1926.2034440841164</v>
      </c>
      <c r="AA264" s="1462">
        <f t="shared" si="55"/>
        <v>1926.2034440841164</v>
      </c>
    </row>
    <row r="265" spans="2:27" ht="14.4" thickBot="1" x14ac:dyDescent="0.3">
      <c r="B265" s="246"/>
      <c r="C265" s="247"/>
      <c r="D265" s="57"/>
      <c r="E265" s="248"/>
      <c r="F265" s="249"/>
      <c r="G265" s="258"/>
      <c r="H265" s="258"/>
      <c r="I265" s="258"/>
      <c r="J265" s="258"/>
      <c r="K265" s="258"/>
      <c r="L265" s="258"/>
      <c r="M265" s="258"/>
      <c r="N265" s="258"/>
      <c r="O265" s="258"/>
      <c r="P265" s="258"/>
      <c r="Q265" s="258"/>
      <c r="R265" s="258"/>
      <c r="S265" s="258"/>
      <c r="T265" s="258"/>
      <c r="U265" s="258"/>
      <c r="V265" s="258"/>
      <c r="W265" s="258"/>
      <c r="X265" s="258"/>
      <c r="Y265" s="258"/>
      <c r="Z265" s="258"/>
      <c r="AA265" s="258"/>
    </row>
    <row r="266" spans="2:27" ht="55.8" thickBot="1" x14ac:dyDescent="0.3">
      <c r="B266" s="210" t="s">
        <v>1119</v>
      </c>
      <c r="G266" s="1530" t="s">
        <v>1018</v>
      </c>
      <c r="H266" s="1592"/>
      <c r="I266" s="1592"/>
      <c r="J266" s="1592"/>
      <c r="K266" s="1592"/>
      <c r="L266" s="1592"/>
      <c r="M266" s="1592"/>
      <c r="N266" s="1592"/>
      <c r="O266" s="1592"/>
      <c r="P266" s="1592"/>
      <c r="Q266" s="1531"/>
      <c r="R266" s="1530" t="s">
        <v>1019</v>
      </c>
      <c r="S266" s="1592"/>
      <c r="T266" s="1592"/>
      <c r="U266" s="1592"/>
      <c r="V266" s="1592"/>
      <c r="W266" s="1592"/>
      <c r="X266" s="1592"/>
      <c r="Y266" s="1592"/>
      <c r="Z266" s="1592"/>
      <c r="AA266" s="1531"/>
    </row>
    <row r="267" spans="2:27" ht="42" thickBot="1" x14ac:dyDescent="0.3">
      <c r="B267" s="251" t="s">
        <v>1020</v>
      </c>
      <c r="C267" s="252" t="s">
        <v>1120</v>
      </c>
      <c r="D267" s="252" t="s">
        <v>1003</v>
      </c>
      <c r="E267" s="252" t="s">
        <v>117</v>
      </c>
      <c r="F267" s="253" t="s">
        <v>118</v>
      </c>
      <c r="G267" s="251" t="s">
        <v>119</v>
      </c>
      <c r="H267" s="252" t="s">
        <v>120</v>
      </c>
      <c r="I267" s="252" t="s">
        <v>121</v>
      </c>
      <c r="J267" s="252" t="s">
        <v>122</v>
      </c>
      <c r="K267" s="252" t="s">
        <v>123</v>
      </c>
      <c r="L267" s="252" t="s">
        <v>124</v>
      </c>
      <c r="M267" s="252" t="s">
        <v>125</v>
      </c>
      <c r="N267" s="252" t="s">
        <v>126</v>
      </c>
      <c r="O267" s="252" t="s">
        <v>127</v>
      </c>
      <c r="P267" s="252" t="s">
        <v>128</v>
      </c>
      <c r="Q267" s="253" t="s">
        <v>129</v>
      </c>
      <c r="R267" s="256" t="s">
        <v>1021</v>
      </c>
      <c r="S267" s="254" t="s">
        <v>1022</v>
      </c>
      <c r="T267" s="254" t="s">
        <v>1023</v>
      </c>
      <c r="U267" s="254" t="s">
        <v>1024</v>
      </c>
      <c r="V267" s="254" t="s">
        <v>1025</v>
      </c>
      <c r="W267" s="254" t="s">
        <v>1026</v>
      </c>
      <c r="X267" s="254" t="s">
        <v>1027</v>
      </c>
      <c r="Y267" s="254" t="s">
        <v>1028</v>
      </c>
      <c r="Z267" s="254" t="s">
        <v>1029</v>
      </c>
      <c r="AA267" s="255" t="s">
        <v>1030</v>
      </c>
    </row>
    <row r="268" spans="2:27" x14ac:dyDescent="0.25">
      <c r="B268" s="1129" t="s">
        <v>1121</v>
      </c>
      <c r="C268" s="1130" t="s">
        <v>1122</v>
      </c>
      <c r="D268" s="1131" t="s">
        <v>1123</v>
      </c>
      <c r="E268" s="1132" t="s">
        <v>146</v>
      </c>
      <c r="F268" s="1133">
        <v>2</v>
      </c>
      <c r="G268" s="1467">
        <v>0</v>
      </c>
      <c r="H268" s="1467">
        <v>0</v>
      </c>
      <c r="I268" s="1467">
        <v>0</v>
      </c>
      <c r="J268" s="1467">
        <v>0</v>
      </c>
      <c r="K268" s="1467">
        <v>0</v>
      </c>
      <c r="L268" s="1467">
        <v>0</v>
      </c>
      <c r="M268" s="1467">
        <v>0</v>
      </c>
      <c r="N268" s="1467">
        <v>0</v>
      </c>
      <c r="O268" s="1467">
        <v>0</v>
      </c>
      <c r="P268" s="1467">
        <v>0</v>
      </c>
      <c r="Q268" s="1467">
        <v>0</v>
      </c>
      <c r="R268" s="1467">
        <v>0</v>
      </c>
      <c r="S268" s="1467">
        <v>0</v>
      </c>
      <c r="T268" s="1467">
        <v>0</v>
      </c>
      <c r="U268" s="1467">
        <v>0</v>
      </c>
      <c r="V268" s="1467">
        <v>0</v>
      </c>
      <c r="W268" s="1467">
        <v>0</v>
      </c>
      <c r="X268" s="1467">
        <v>0</v>
      </c>
      <c r="Y268" s="1467">
        <v>0</v>
      </c>
      <c r="Z268" s="1467">
        <v>0</v>
      </c>
      <c r="AA268" s="1467">
        <v>0</v>
      </c>
    </row>
    <row r="269" spans="2:27" x14ac:dyDescent="0.25">
      <c r="B269" s="244" t="s">
        <v>1124</v>
      </c>
      <c r="C269" s="47" t="s">
        <v>1125</v>
      </c>
      <c r="D269" s="53" t="s">
        <v>1123</v>
      </c>
      <c r="E269" s="54" t="s">
        <v>146</v>
      </c>
      <c r="F269" s="286">
        <v>2</v>
      </c>
      <c r="G269" s="1467">
        <f>'5. Options Benefits'!L$7+'5. Options Benefits'!L$10+'5. Options Benefits'!L$11+'5. Options Benefits'!L$12+'5. Options Benefits'!L$14+'5. Options Benefits'!L$15+'5. Options Benefits'!L$16+'5. Options Benefits'!L$17+'5. Options Benefits'!L$18+'5. Options Benefits'!L$19+'5. Options Benefits'!L$20</f>
        <v>0</v>
      </c>
      <c r="H269" s="1467">
        <f>'5. Options Benefits'!M$7+'5. Options Benefits'!M$10+'5. Options Benefits'!M$11+'5. Options Benefits'!M$12+'5. Options Benefits'!M$14+'5. Options Benefits'!M$15+'5. Options Benefits'!M$16+'5. Options Benefits'!M$17+'5. Options Benefits'!M$18+'5. Options Benefits'!M$19+'5. Options Benefits'!M$20</f>
        <v>0</v>
      </c>
      <c r="I269" s="1467">
        <f>'5. Options Benefits'!N$7+'5. Options Benefits'!N$10+'5. Options Benefits'!N$11+'5. Options Benefits'!N$12+'5. Options Benefits'!N$14+'5. Options Benefits'!N$15+'5. Options Benefits'!N$16+'5. Options Benefits'!N$17+'5. Options Benefits'!N$18+'5. Options Benefits'!N$19+'5. Options Benefits'!N$20</f>
        <v>0</v>
      </c>
      <c r="J269" s="1467">
        <f>'5. Options Benefits'!O$7+'5. Options Benefits'!O$10+'5. Options Benefits'!O$11+'5. Options Benefits'!O$12+'5. Options Benefits'!O$14+'5. Options Benefits'!O$15+'5. Options Benefits'!O$16+'5. Options Benefits'!O$17+'5. Options Benefits'!O$18+'5. Options Benefits'!O$19+'5. Options Benefits'!O$20</f>
        <v>0</v>
      </c>
      <c r="K269" s="1467">
        <f>'5. Options Benefits'!P$7+'5. Options Benefits'!P$10+'5. Options Benefits'!P$11+'5. Options Benefits'!P$12+'5. Options Benefits'!P$14+'5. Options Benefits'!P$15+'5. Options Benefits'!P$16+'5. Options Benefits'!P$17+'5. Options Benefits'!P$18+'5. Options Benefits'!P$19+'5. Options Benefits'!P$20</f>
        <v>0</v>
      </c>
      <c r="L269" s="1488">
        <f>'5. Options Benefits'!Q$7+'5. Options Benefits'!Q$10+'5. Options Benefits'!Q$11+'5. Options Benefits'!Q$12+'5. Options Benefits'!Q$14+'5. Options Benefits'!Q$15+'5. Options Benefits'!Q$16+'5. Options Benefits'!Q$17</f>
        <v>0</v>
      </c>
      <c r="M269" s="1488">
        <f>'5. Options Benefits'!R$7+'5. Options Benefits'!R$10+'5. Options Benefits'!R$11+'5. Options Benefits'!R$12+'5. Options Benefits'!R$14+'5. Options Benefits'!R$15+'5. Options Benefits'!R$16+'5. Options Benefits'!R$17</f>
        <v>5.2531736453847407E-2</v>
      </c>
      <c r="N269" s="1488">
        <f>'5. Options Benefits'!S$7+'5. Options Benefits'!S$10+'5. Options Benefits'!S$11+'5. Options Benefits'!S$12+'5. Options Benefits'!S$14+'5. Options Benefits'!S$15+'5. Options Benefits'!S$16+'5. Options Benefits'!S$17</f>
        <v>0.929057269800319</v>
      </c>
      <c r="O269" s="1488">
        <f>'5. Options Benefits'!T$7+'5. Options Benefits'!T$10+'5. Options Benefits'!T$11+'5. Options Benefits'!T$12+'5. Options Benefits'!T$14+'5. Options Benefits'!T$15+'5. Options Benefits'!T$16+'5. Options Benefits'!T$17</f>
        <v>1.8136271114794573</v>
      </c>
      <c r="P269" s="1488">
        <f>'5. Options Benefits'!U$7+'5. Options Benefits'!U$10+'5. Options Benefits'!U$11+'5. Options Benefits'!U$12+'5. Options Benefits'!U$14+'5. Options Benefits'!U$15+'5. Options Benefits'!U$16+'5. Options Benefits'!U$17</f>
        <v>2.7087097933881736</v>
      </c>
      <c r="Q269" s="1488">
        <f>'5. Options Benefits'!V$7+'5. Options Benefits'!V$10+'5. Options Benefits'!V$11+'5. Options Benefits'!V$12+'5. Options Benefits'!V$14+'5. Options Benefits'!V$15+'5. Options Benefits'!V$16+'5. Options Benefits'!V$17</f>
        <v>3.6150330561187873</v>
      </c>
      <c r="R269" s="1489">
        <f>('5. Options Benefits'!$AA$7+'5. Options Benefits'!$AA$10+'5. Options Benefits'!$AA$11+'5. Options Benefits'!$AA$12+'5. Options Benefits'!$AA$14+'5. Options Benefits'!$AA$15+'5. Options Benefits'!$AA$16+'5. Options Benefits'!$AA$17)-TBL8e_Supply_Demand_Benefit374332[[#This Row],[2029-30]]</f>
        <v>12.956288280094004</v>
      </c>
      <c r="S269" s="1489">
        <f>('5. Options Benefits'!$AF$7+'5. Options Benefits'!$AF$10+'5. Options Benefits'!$AF$11+'5. Options Benefits'!$AF$12+'5. Options Benefits'!$AF$14+'5. Options Benefits'!$AF$15+'5. Options Benefits'!$AF$16+'5. Options Benefits'!$AF$17)-TBL8e_Supply_Demand_Benefit374332[[#This Row],[2030-31 
to 
2034-35]]</f>
        <v>7.6059009977740573</v>
      </c>
      <c r="T269" s="1489">
        <f>('5. Options Benefits'!$AK$7+'5. Options Benefits'!$AK$10+'5. Options Benefits'!$AK$11+'5. Options Benefits'!$AK$12+'5. Options Benefits'!$AK$14+'5. Options Benefits'!$AK$15+'5. Options Benefits'!$AK$16+'5. Options Benefits'!$AK$17)-TBL8e_Supply_Demand_Benefit374332[[#This Row],[2035-36 
to 
2039-40]]</f>
        <v>16.514921111210995</v>
      </c>
      <c r="U269" s="1489">
        <f>('5. Options Benefits'!$AP$7+'5. Options Benefits'!$AP$10+'5. Options Benefits'!$AP$11+'5. Options Benefits'!$AP$12+'5. Options Benefits'!$AP$14+'5. Options Benefits'!$AP$15+'5. Options Benefits'!$AP$16+'5. Options Benefits'!$AP$17)-TBL8e_Supply_Demand_Benefit374332[[#This Row],[2040-41 
to 
2044-45]]</f>
        <v>11.049564260719006</v>
      </c>
      <c r="V269" s="1489">
        <f>('5. Options Benefits'!$AU$7+'5. Options Benefits'!$AU$10+'5. Options Benefits'!$AU$11+'5. Options Benefits'!$AU$12+'5. Options Benefits'!$AU$14+'5. Options Benefits'!$AU$15+'5. Options Benefits'!$AU$16+'5. Options Benefits'!$AU$17)-TBL8e_Supply_Demand_Benefit374332[[#This Row],[2045-46 
to 
2049-50]]</f>
        <v>19.825142060413757</v>
      </c>
      <c r="W269" s="1489">
        <f>('5. Options Benefits'!$AZ$7+'5. Options Benefits'!$AZ$10+'5. Options Benefits'!$AZ$11+'5. Options Benefits'!$AZ$12+'5. Options Benefits'!$AZ$14+'5. Options Benefits'!$AZ$15+'5. Options Benefits'!$AZ$16+'5. Options Benefits'!$AZ$17)-TBL8e_Supply_Demand_Benefit374332[[#This Row],[2050-51 
to 
2054-55]]</f>
        <v>6.6298584197493184</v>
      </c>
      <c r="X269" s="1489">
        <f>TBL8e_Supply_Demand_Benefit374332[[#This Row],[2055-56 
to 
2059-60]]</f>
        <v>6.6298584197493184</v>
      </c>
      <c r="Y269" s="1489">
        <f>TBL8e_Supply_Demand_Benefit374332[[#This Row],[2060-61 
to 
2064-65]]</f>
        <v>6.6298584197493184</v>
      </c>
      <c r="Z269" s="1489">
        <f>TBL8e_Supply_Demand_Benefit374332[[#This Row],[2065-66 
to 
2069-70]]</f>
        <v>6.6298584197493184</v>
      </c>
      <c r="AA269" s="1489">
        <f>TBL8e_Supply_Demand_Benefit374332[[#This Row],[2070-71 
to 
2074-75]]</f>
        <v>6.6298584197493184</v>
      </c>
    </row>
    <row r="270" spans="2:27" x14ac:dyDescent="0.25">
      <c r="B270" s="244" t="s">
        <v>1126</v>
      </c>
      <c r="C270" s="47" t="s">
        <v>1045</v>
      </c>
      <c r="D270" s="53" t="s">
        <v>1123</v>
      </c>
      <c r="E270" s="54" t="s">
        <v>146</v>
      </c>
      <c r="F270" s="286">
        <v>2</v>
      </c>
      <c r="G270" s="1467">
        <f>'5. Options Benefits'!L$6</f>
        <v>0</v>
      </c>
      <c r="H270" s="1467">
        <f>'5. Options Benefits'!M$6</f>
        <v>0</v>
      </c>
      <c r="I270" s="1467">
        <f>'5. Options Benefits'!N$6</f>
        <v>0</v>
      </c>
      <c r="J270" s="1467">
        <f>'5. Options Benefits'!O$6</f>
        <v>0</v>
      </c>
      <c r="K270" s="1467">
        <f>'5. Options Benefits'!P$6</f>
        <v>0</v>
      </c>
      <c r="L270" s="1488">
        <f>'5. Options Benefits'!Q$6</f>
        <v>0</v>
      </c>
      <c r="M270" s="1488">
        <f>'5. Options Benefits'!R$6</f>
        <v>0.11816332519755564</v>
      </c>
      <c r="N270" s="1488">
        <f>'5. Options Benefits'!S$6</f>
        <v>0.76917863108668938</v>
      </c>
      <c r="O270" s="1488">
        <f>'5. Options Benefits'!T$6</f>
        <v>1.451219970315992</v>
      </c>
      <c r="P270" s="1488">
        <f>'5. Options Benefits'!U$6</f>
        <v>1.9302609665400456</v>
      </c>
      <c r="Q270" s="1488">
        <f>'5. Options Benefits'!V$6</f>
        <v>2.3732168856927491</v>
      </c>
      <c r="R270" s="1489">
        <f>(SUM('5. Options Benefits'!$AA$6))-TBL8e_Supply_Demand_Benefit374332[[#This Row],[2029-30]]</f>
        <v>3.4067459732242891</v>
      </c>
      <c r="S270" s="1489">
        <f>(SUM('5. Options Benefits'!$AF$6))-TBL8e_Supply_Demand_Benefit374332[[#This Row],[2030-31 
to 
2034-35]]</f>
        <v>4.2103002559754721</v>
      </c>
      <c r="T270" s="1489">
        <f>(SUM('5. Options Benefits'!$AK$6))-TBL8e_Supply_Demand_Benefit374332[[#This Row],[2035-36 
to 
2039-40]]</f>
        <v>4.4354378039241347</v>
      </c>
      <c r="U270" s="1489">
        <f>(SUM('5. Options Benefits'!$AP$6))-TBL8e_Supply_Demand_Benefit374332[[#This Row],[2040-41 
to 
2044-45]]</f>
        <v>5.4511805512911149</v>
      </c>
      <c r="V270" s="1489">
        <f>U270</f>
        <v>5.4511805512911149</v>
      </c>
      <c r="W270" s="1489">
        <f t="shared" ref="W270:AA270" si="56">V270</f>
        <v>5.4511805512911149</v>
      </c>
      <c r="X270" s="1489">
        <f t="shared" si="56"/>
        <v>5.4511805512911149</v>
      </c>
      <c r="Y270" s="1489">
        <f t="shared" si="56"/>
        <v>5.4511805512911149</v>
      </c>
      <c r="Z270" s="1489">
        <f t="shared" si="56"/>
        <v>5.4511805512911149</v>
      </c>
      <c r="AA270" s="1489">
        <f t="shared" si="56"/>
        <v>5.4511805512911149</v>
      </c>
    </row>
    <row r="271" spans="2:27" x14ac:dyDescent="0.25">
      <c r="B271" s="244" t="s">
        <v>1127</v>
      </c>
      <c r="C271" s="47" t="s">
        <v>1128</v>
      </c>
      <c r="D271" s="53" t="s">
        <v>1123</v>
      </c>
      <c r="E271" s="54" t="s">
        <v>146</v>
      </c>
      <c r="F271" s="286">
        <v>2</v>
      </c>
      <c r="G271" s="1467">
        <v>0</v>
      </c>
      <c r="H271" s="1467">
        <v>0</v>
      </c>
      <c r="I271" s="1467">
        <v>0</v>
      </c>
      <c r="J271" s="1467">
        <v>0</v>
      </c>
      <c r="K271" s="1467">
        <v>0</v>
      </c>
      <c r="L271" s="1467">
        <v>0</v>
      </c>
      <c r="M271" s="1467">
        <v>0</v>
      </c>
      <c r="N271" s="1467">
        <v>0</v>
      </c>
      <c r="O271" s="1467">
        <v>0</v>
      </c>
      <c r="P271" s="1467">
        <v>0</v>
      </c>
      <c r="Q271" s="1467">
        <v>0</v>
      </c>
      <c r="R271" s="1467">
        <v>0</v>
      </c>
      <c r="S271" s="1467">
        <v>0</v>
      </c>
      <c r="T271" s="1467">
        <v>0</v>
      </c>
      <c r="U271" s="1467">
        <v>0</v>
      </c>
      <c r="V271" s="1467">
        <v>0</v>
      </c>
      <c r="W271" s="1467">
        <v>0</v>
      </c>
      <c r="X271" s="1467">
        <v>0</v>
      </c>
      <c r="Y271" s="1467">
        <v>0</v>
      </c>
      <c r="Z271" s="1467">
        <v>0</v>
      </c>
      <c r="AA271" s="1467">
        <v>0</v>
      </c>
    </row>
    <row r="272" spans="2:27" x14ac:dyDescent="0.25">
      <c r="B272" s="244" t="s">
        <v>1129</v>
      </c>
      <c r="C272" s="47" t="s">
        <v>1130</v>
      </c>
      <c r="D272" s="53" t="s">
        <v>1123</v>
      </c>
      <c r="E272" s="54" t="s">
        <v>146</v>
      </c>
      <c r="F272" s="286">
        <v>2</v>
      </c>
      <c r="G272" s="1468">
        <f>SUM(G273:G279)</f>
        <v>0</v>
      </c>
      <c r="H272" s="1468">
        <f t="shared" ref="H272:Z272" si="57">SUM(H273:H279)</f>
        <v>0</v>
      </c>
      <c r="I272" s="1468">
        <f t="shared" si="57"/>
        <v>0</v>
      </c>
      <c r="J272" s="1468">
        <f t="shared" si="57"/>
        <v>0</v>
      </c>
      <c r="K272" s="1468">
        <f t="shared" si="57"/>
        <v>0</v>
      </c>
      <c r="L272" s="1468">
        <f t="shared" si="57"/>
        <v>0</v>
      </c>
      <c r="M272" s="1468">
        <f t="shared" si="57"/>
        <v>0.89738819585268481</v>
      </c>
      <c r="N272" s="1468">
        <f t="shared" si="57"/>
        <v>2.5976841394882149</v>
      </c>
      <c r="O272" s="1468">
        <f t="shared" si="57"/>
        <v>4.3886125127199982</v>
      </c>
      <c r="P272" s="1468">
        <f t="shared" si="57"/>
        <v>6.268248494162405</v>
      </c>
      <c r="Q272" s="1468">
        <f t="shared" si="57"/>
        <v>8.2406228788835296</v>
      </c>
      <c r="R272" s="1468">
        <f t="shared" si="57"/>
        <v>9.1010409570590269</v>
      </c>
      <c r="S272" s="1468">
        <f t="shared" si="57"/>
        <v>19.573040840017484</v>
      </c>
      <c r="T272" s="1468">
        <f t="shared" si="57"/>
        <v>14.891853612882818</v>
      </c>
      <c r="U272" s="1468">
        <f t="shared" si="57"/>
        <v>20.245698074887876</v>
      </c>
      <c r="V272" s="1468">
        <f t="shared" si="57"/>
        <v>9.7999780807734744</v>
      </c>
      <c r="W272" s="1468">
        <f t="shared" si="57"/>
        <v>13.540949883831189</v>
      </c>
      <c r="X272" s="1468">
        <f t="shared" si="57"/>
        <v>5.673554957364642</v>
      </c>
      <c r="Y272" s="1468">
        <f t="shared" si="57"/>
        <v>12.379311979831208</v>
      </c>
      <c r="Z272" s="1468">
        <f t="shared" si="57"/>
        <v>6.1557930449069254</v>
      </c>
      <c r="AA272" s="1468">
        <f>SUM(AA273:AA279)</f>
        <v>12.6359802752568</v>
      </c>
    </row>
    <row r="273" spans="2:27" x14ac:dyDescent="0.25">
      <c r="B273" s="244" t="s">
        <v>1131</v>
      </c>
      <c r="C273" s="47" t="s">
        <v>1132</v>
      </c>
      <c r="D273" s="53" t="s">
        <v>1123</v>
      </c>
      <c r="E273" s="54" t="s">
        <v>146</v>
      </c>
      <c r="F273" s="286">
        <v>2</v>
      </c>
      <c r="G273" s="1467">
        <v>0</v>
      </c>
      <c r="H273" s="1467">
        <v>0</v>
      </c>
      <c r="I273" s="1467">
        <v>0</v>
      </c>
      <c r="J273" s="1467">
        <v>0</v>
      </c>
      <c r="K273" s="1467">
        <v>0</v>
      </c>
      <c r="L273" s="1467">
        <v>0</v>
      </c>
      <c r="M273" s="1467">
        <v>0</v>
      </c>
      <c r="N273" s="1467">
        <v>0</v>
      </c>
      <c r="O273" s="1467">
        <v>0</v>
      </c>
      <c r="P273" s="1467">
        <v>0</v>
      </c>
      <c r="Q273" s="1467">
        <v>0</v>
      </c>
      <c r="R273" s="1467">
        <v>0</v>
      </c>
      <c r="S273" s="1467">
        <v>0</v>
      </c>
      <c r="T273" s="1467">
        <v>0</v>
      </c>
      <c r="U273" s="1467">
        <v>0</v>
      </c>
      <c r="V273" s="1467">
        <v>0</v>
      </c>
      <c r="W273" s="1467">
        <v>0</v>
      </c>
      <c r="X273" s="1467">
        <v>0</v>
      </c>
      <c r="Y273" s="1467">
        <v>0</v>
      </c>
      <c r="Z273" s="1467">
        <v>0</v>
      </c>
      <c r="AA273" s="1467">
        <v>0</v>
      </c>
    </row>
    <row r="274" spans="2:27" x14ac:dyDescent="0.25">
      <c r="B274" s="244" t="s">
        <v>1133</v>
      </c>
      <c r="C274" s="47" t="s">
        <v>1134</v>
      </c>
      <c r="D274" s="53" t="s">
        <v>1123</v>
      </c>
      <c r="E274" s="54" t="s">
        <v>146</v>
      </c>
      <c r="F274" s="286">
        <v>2</v>
      </c>
      <c r="G274" s="1467">
        <v>0</v>
      </c>
      <c r="H274" s="1467">
        <v>0</v>
      </c>
      <c r="I274" s="1467">
        <v>0</v>
      </c>
      <c r="J274" s="1467">
        <v>0</v>
      </c>
      <c r="K274" s="1467">
        <v>0</v>
      </c>
      <c r="L274" s="1467">
        <v>0</v>
      </c>
      <c r="M274" s="1467">
        <v>0</v>
      </c>
      <c r="N274" s="1467">
        <v>0</v>
      </c>
      <c r="O274" s="1467">
        <v>0</v>
      </c>
      <c r="P274" s="1467">
        <v>0</v>
      </c>
      <c r="Q274" s="1467">
        <v>0</v>
      </c>
      <c r="R274" s="1467">
        <v>0</v>
      </c>
      <c r="S274" s="1467">
        <v>0</v>
      </c>
      <c r="T274" s="1467">
        <v>0</v>
      </c>
      <c r="U274" s="1467">
        <v>0</v>
      </c>
      <c r="V274" s="1467">
        <v>0</v>
      </c>
      <c r="W274" s="1467">
        <v>0</v>
      </c>
      <c r="X274" s="1467">
        <v>0</v>
      </c>
      <c r="Y274" s="1467">
        <v>0</v>
      </c>
      <c r="Z274" s="1467">
        <v>0</v>
      </c>
      <c r="AA274" s="1467">
        <v>0</v>
      </c>
    </row>
    <row r="275" spans="2:27" x14ac:dyDescent="0.25">
      <c r="B275" s="244" t="s">
        <v>1135</v>
      </c>
      <c r="C275" s="47" t="s">
        <v>1136</v>
      </c>
      <c r="D275" s="53" t="s">
        <v>1123</v>
      </c>
      <c r="E275" s="54" t="s">
        <v>146</v>
      </c>
      <c r="F275" s="286">
        <v>2</v>
      </c>
      <c r="G275" s="1467">
        <f>'5. Options Benefits'!L$9</f>
        <v>0</v>
      </c>
      <c r="H275" s="1467">
        <f>'5. Options Benefits'!M$9</f>
        <v>0</v>
      </c>
      <c r="I275" s="1467">
        <f>'5. Options Benefits'!N$9</f>
        <v>0</v>
      </c>
      <c r="J275" s="1467">
        <f>'5. Options Benefits'!O$9</f>
        <v>0</v>
      </c>
      <c r="K275" s="1467">
        <f>'5. Options Benefits'!P$9</f>
        <v>0</v>
      </c>
      <c r="L275" s="1488">
        <f>'5. Options Benefits'!Q$9</f>
        <v>0</v>
      </c>
      <c r="M275" s="1488">
        <f>'5. Options Benefits'!R$9</f>
        <v>0.67590083483410013</v>
      </c>
      <c r="N275" s="1488">
        <f>'5. Options Benefits'!S$9</f>
        <v>2.0124677845200307</v>
      </c>
      <c r="O275" s="1488">
        <f>'5. Options Benefits'!T$9</f>
        <v>3.3191775102725867</v>
      </c>
      <c r="P275" s="1488">
        <f>'5. Options Benefits'!U$9</f>
        <v>4.596527597252889</v>
      </c>
      <c r="Q275" s="1488">
        <f>'5. Options Benefits'!V$9</f>
        <v>5.8460874475670472</v>
      </c>
      <c r="R275" s="1489">
        <f>('5. Options Benefits'!$AA$9)-TBL8e_Supply_Demand_Benefit374332[[#This Row],[2029-30]]</f>
        <v>3.7509289151626373</v>
      </c>
      <c r="S275" s="1489">
        <f>('5. Options Benefits'!$AF$9)-TBL8e_Supply_Demand_Benefit374332[[#This Row],[2030-31 
to 
2034-35]]</f>
        <v>8.9727299117876402</v>
      </c>
      <c r="T275" s="1489">
        <f>('5. Options Benefits'!$AK$9)-TBL8e_Supply_Demand_Benefit374332[[#This Row],[2035-36 
to 
2039-40]]</f>
        <v>3.4826907287001259</v>
      </c>
      <c r="U275" s="1489">
        <f>('5. Options Benefits'!$AP$9)-TBL8e_Supply_Demand_Benefit374332[[#This Row],[2040-41 
to 
2044-45]]</f>
        <v>9.5564946498037653</v>
      </c>
      <c r="V275" s="1489">
        <f>('5. Options Benefits'!$AU$9)-TBL8e_Supply_Demand_Benefit374332[[#This Row],[2045-46 
to 
2049-50]]</f>
        <v>4.0714100811989535</v>
      </c>
      <c r="W275" s="1489">
        <f>('5. Options Benefits'!$AZ$9)-TBL8e_Supply_Demand_Benefit374332[[#This Row],[2050-51 
to 
2054-55]]</f>
        <v>9.8560471924234001</v>
      </c>
      <c r="X275" s="1489">
        <f>('5. Options Benefits'!$BE$9)-TBL8e_Supply_Demand_Benefit374332[[#This Row],[2055-56 
to 
2059-60]]</f>
        <v>3.990660825926609</v>
      </c>
      <c r="Y275" s="1489">
        <f>('5. Options Benefits'!$BJ$9)-TBL8e_Supply_Demand_Benefit374332[[#This Row],[2060-61 
to 
2064-65]]</f>
        <v>9.8549652984514857</v>
      </c>
      <c r="Z275" s="1489">
        <f>('5. Options Benefits'!$BO$9)-TBL8e_Supply_Demand_Benefit374332[[#This Row],[2065-66 
to 
2069-70]]</f>
        <v>3.9901594262953619</v>
      </c>
      <c r="AA275" s="1490">
        <f>('5. Options Benefits'!$BT$9)-TBL8e_Supply_Demand_Benefit374332[[#This Row],[2070-71 
to 
2074-75]]</f>
        <v>9.8534054350966134</v>
      </c>
    </row>
    <row r="276" spans="2:27" ht="27.6" x14ac:dyDescent="0.25">
      <c r="B276" s="244" t="s">
        <v>1137</v>
      </c>
      <c r="C276" s="47" t="s">
        <v>1138</v>
      </c>
      <c r="D276" s="53" t="s">
        <v>1123</v>
      </c>
      <c r="E276" s="54" t="s">
        <v>146</v>
      </c>
      <c r="F276" s="286">
        <v>2</v>
      </c>
      <c r="G276" s="1467">
        <v>0</v>
      </c>
      <c r="H276" s="1467">
        <v>0</v>
      </c>
      <c r="I276" s="1467">
        <v>0</v>
      </c>
      <c r="J276" s="1467">
        <v>0</v>
      </c>
      <c r="K276" s="1467">
        <v>0</v>
      </c>
      <c r="L276" s="1467">
        <v>0</v>
      </c>
      <c r="M276" s="1467">
        <v>0</v>
      </c>
      <c r="N276" s="1467">
        <v>0</v>
      </c>
      <c r="O276" s="1467">
        <v>0</v>
      </c>
      <c r="P276" s="1467">
        <v>0</v>
      </c>
      <c r="Q276" s="1467">
        <v>0</v>
      </c>
      <c r="R276" s="1467">
        <v>0</v>
      </c>
      <c r="S276" s="1467">
        <v>0</v>
      </c>
      <c r="T276" s="1467">
        <v>0</v>
      </c>
      <c r="U276" s="1467">
        <v>0</v>
      </c>
      <c r="V276" s="1467">
        <v>0</v>
      </c>
      <c r="W276" s="1467">
        <v>0</v>
      </c>
      <c r="X276" s="1467">
        <v>0</v>
      </c>
      <c r="Y276" s="1467">
        <v>0</v>
      </c>
      <c r="Z276" s="1467">
        <v>0</v>
      </c>
      <c r="AA276" s="1467">
        <v>0</v>
      </c>
    </row>
    <row r="277" spans="2:27" ht="27.6" x14ac:dyDescent="0.25">
      <c r="B277" s="244" t="s">
        <v>1139</v>
      </c>
      <c r="C277" s="47" t="s">
        <v>1140</v>
      </c>
      <c r="D277" s="53" t="s">
        <v>1123</v>
      </c>
      <c r="E277" s="54" t="s">
        <v>146</v>
      </c>
      <c r="F277" s="286">
        <v>2</v>
      </c>
      <c r="G277" s="1467">
        <f>'5. Options Benefits'!L$8</f>
        <v>0</v>
      </c>
      <c r="H277" s="1467">
        <f>'5. Options Benefits'!M$8</f>
        <v>0</v>
      </c>
      <c r="I277" s="1467">
        <f>'5. Options Benefits'!N$8</f>
        <v>0</v>
      </c>
      <c r="J277" s="1467">
        <f>'5. Options Benefits'!O$8</f>
        <v>0</v>
      </c>
      <c r="K277" s="1467">
        <f>'5. Options Benefits'!P$8</f>
        <v>0</v>
      </c>
      <c r="L277" s="1488">
        <f>'5. Options Benefits'!Q$8</f>
        <v>0</v>
      </c>
      <c r="M277" s="1488">
        <f>'5. Options Benefits'!R$8</f>
        <v>0.13666656515766601</v>
      </c>
      <c r="N277" s="1488">
        <f>'5. Options Benefits'!S$8</f>
        <v>0.27007255081391845</v>
      </c>
      <c r="O277" s="1488">
        <f>'5. Options Benefits'!T$8</f>
        <v>0.40308625240248913</v>
      </c>
      <c r="P277" s="1488">
        <f>'5. Options Benefits'!U$8</f>
        <v>0.53409851183187318</v>
      </c>
      <c r="Q277" s="1488">
        <f>'5. Options Benefits'!V$8</f>
        <v>0.66618227039761269</v>
      </c>
      <c r="R277" s="1489">
        <f>('5. Options Benefits'!$AA$8)-TBL8e_Supply_Demand_Benefit374332[[#This Row],[2029-30]]</f>
        <v>0.62777166142440899</v>
      </c>
      <c r="S277" s="1489">
        <f>('5. Options Benefits'!$AF$8)-TBL8e_Supply_Demand_Benefit374332[[#This Row],[2030-31 
to 
2034-35]]</f>
        <v>1.26624937984344</v>
      </c>
      <c r="T277" s="1489">
        <f>('5. Options Benefits'!$AK$8)-TBL8e_Supply_Demand_Benefit374332[[#This Row],[2035-36 
to 
2039-40]]</f>
        <v>0.90994518703753924</v>
      </c>
      <c r="U277" s="1489">
        <f>('5. Options Benefits'!$AP$8)-TBL8e_Supply_Demand_Benefit374332[[#This Row],[2040-41 
to 
2044-45]]</f>
        <v>1.5323301116603059</v>
      </c>
      <c r="V277" s="1489">
        <f>('5. Options Benefits'!$AU$8)-TBL8e_Supply_Demand_Benefit374332[[#This Row],[2045-46 
to 
2049-50]]</f>
        <v>1.1764579120214167</v>
      </c>
      <c r="W277" s="1489">
        <f>('5. Options Benefits'!$AZ$8)-TBL8e_Supply_Demand_Benefit374332[[#This Row],[2050-51 
to 
2054-55]]</f>
        <v>1.7961708872777931</v>
      </c>
      <c r="X277" s="1489">
        <f>('5. Options Benefits'!$BE$8)-TBL8e_Supply_Demand_Benefit374332[[#This Row],[2055-56 
to 
2059-60]]</f>
        <v>1.4388472210960779</v>
      </c>
      <c r="Y277" s="1489">
        <f>('5. Options Benefits'!$BJ$8)-TBL8e_Supply_Demand_Benefit374332[[#This Row],[2060-61 
to 
2064-65]]</f>
        <v>2.0571266868269804</v>
      </c>
      <c r="Z277" s="1489">
        <f>('5. Options Benefits'!$BO$8)-TBL8e_Supply_Demand_Benefit374332[[#This Row],[2065-66 
to 
2069-70]]</f>
        <v>1.6984136240588219</v>
      </c>
      <c r="AA277" s="1490">
        <f>('5. Options Benefits'!$BT$8)-TBL8e_Supply_Demand_Benefit374332[[#This Row],[2070-71 
to 
2074-75]]</f>
        <v>2.3153548456074446</v>
      </c>
    </row>
    <row r="278" spans="2:27" ht="27.6" x14ac:dyDescent="0.25">
      <c r="B278" s="244" t="s">
        <v>1141</v>
      </c>
      <c r="C278" s="47" t="s">
        <v>1142</v>
      </c>
      <c r="D278" s="53" t="s">
        <v>1123</v>
      </c>
      <c r="E278" s="54" t="s">
        <v>146</v>
      </c>
      <c r="F278" s="286">
        <v>2</v>
      </c>
      <c r="G278" s="1467">
        <v>0</v>
      </c>
      <c r="H278" s="1467">
        <v>0</v>
      </c>
      <c r="I278" s="1467">
        <v>0</v>
      </c>
      <c r="J278" s="1467">
        <v>0</v>
      </c>
      <c r="K278" s="1467">
        <v>0</v>
      </c>
      <c r="L278" s="1467">
        <v>0</v>
      </c>
      <c r="M278" s="1467">
        <v>0</v>
      </c>
      <c r="N278" s="1467">
        <v>0</v>
      </c>
      <c r="O278" s="1467">
        <v>0</v>
      </c>
      <c r="P278" s="1467">
        <v>0</v>
      </c>
      <c r="Q278" s="1467">
        <v>0</v>
      </c>
      <c r="R278" s="1467">
        <v>0</v>
      </c>
      <c r="S278" s="1467">
        <v>0</v>
      </c>
      <c r="T278" s="1467">
        <v>0</v>
      </c>
      <c r="U278" s="1467">
        <v>0</v>
      </c>
      <c r="V278" s="1467">
        <v>0</v>
      </c>
      <c r="W278" s="1467">
        <v>0</v>
      </c>
      <c r="X278" s="1467">
        <v>0</v>
      </c>
      <c r="Y278" s="1467">
        <v>0</v>
      </c>
      <c r="Z278" s="1467">
        <v>0</v>
      </c>
      <c r="AA278" s="1467">
        <v>0</v>
      </c>
    </row>
    <row r="279" spans="2:27" ht="28.2" thickBot="1" x14ac:dyDescent="0.3">
      <c r="B279" s="245" t="s">
        <v>1143</v>
      </c>
      <c r="C279" s="48" t="s">
        <v>1144</v>
      </c>
      <c r="D279" s="55" t="s">
        <v>1123</v>
      </c>
      <c r="E279" s="56" t="s">
        <v>146</v>
      </c>
      <c r="F279" s="287">
        <v>2</v>
      </c>
      <c r="G279" s="1467">
        <f>'5. Options Benefits'!L$13</f>
        <v>0</v>
      </c>
      <c r="H279" s="1467">
        <f>'5. Options Benefits'!M$13</f>
        <v>0</v>
      </c>
      <c r="I279" s="1467">
        <f>'5. Options Benefits'!N$13</f>
        <v>0</v>
      </c>
      <c r="J279" s="1467">
        <f>'5. Options Benefits'!O$13</f>
        <v>0</v>
      </c>
      <c r="K279" s="1467">
        <f>'5. Options Benefits'!P$13</f>
        <v>0</v>
      </c>
      <c r="L279" s="1488">
        <f>'5. Options Benefits'!Q$13</f>
        <v>0</v>
      </c>
      <c r="M279" s="1488">
        <f>'5. Options Benefits'!R$13</f>
        <v>8.4820795860918591E-2</v>
      </c>
      <c r="N279" s="1488">
        <f>'5. Options Benefits'!S$13</f>
        <v>0.31514380415426557</v>
      </c>
      <c r="O279" s="1488">
        <f>'5. Options Benefits'!T$13</f>
        <v>0.66634875004492211</v>
      </c>
      <c r="P279" s="1488">
        <f>'5. Options Benefits'!U$13</f>
        <v>1.1376223850776428</v>
      </c>
      <c r="Q279" s="1488">
        <f>'5. Options Benefits'!V$13</f>
        <v>1.7283531609188691</v>
      </c>
      <c r="R279" s="1489">
        <f>('5. Options Benefits'!$AA$13)-TBL8e_Supply_Demand_Benefit374332[[#This Row],[2029-30]]</f>
        <v>4.7223403804719801</v>
      </c>
      <c r="S279" s="1489">
        <f>('5. Options Benefits'!$AF$13)-TBL8e_Supply_Demand_Benefit374332[[#This Row],[2030-31 
to 
2034-35]]</f>
        <v>9.3340615483864013</v>
      </c>
      <c r="T279" s="1489">
        <f>('5. Options Benefits'!$AK$13)-TBL8e_Supply_Demand_Benefit374332[[#This Row],[2035-36 
to 
2039-40]]</f>
        <v>10.499217697145152</v>
      </c>
      <c r="U279" s="1489">
        <f>('5. Options Benefits'!$AP$13)-TBL8e_Supply_Demand_Benefit374332[[#This Row],[2040-41 
to 
2044-45]]</f>
        <v>9.1568733134238052</v>
      </c>
      <c r="V279" s="1489">
        <f>('5. Options Benefits'!$AU$13)-TBL8e_Supply_Demand_Benefit374332[[#This Row],[2045-46 
to 
2049-50]]</f>
        <v>4.5521100875531051</v>
      </c>
      <c r="W279" s="1489">
        <f>('5. Options Benefits'!$AZ$13)-TBL8e_Supply_Demand_Benefit374332[[#This Row],[2050-51 
to 
2054-55]]</f>
        <v>1.8887318041299963</v>
      </c>
      <c r="X279" s="1489">
        <f>('5. Options Benefits'!$BE$13)-TBL8e_Supply_Demand_Benefit374332[[#This Row],[2055-56 
to 
2059-60]]</f>
        <v>0.24404691034195558</v>
      </c>
      <c r="Y279" s="1489">
        <f>('5. Options Benefits'!$BJ$13)-TBL8e_Supply_Demand_Benefit374332[[#This Row],[2060-61 
to 
2064-65]]</f>
        <v>0.46721999455274188</v>
      </c>
      <c r="Z279" s="1489">
        <f>TBL8e_Supply_Demand_Benefit374332[[#This Row],[2065-66 
to 
2069-70]]</f>
        <v>0.46721999455274188</v>
      </c>
      <c r="AA279" s="1489">
        <f>TBL8e_Supply_Demand_Benefit374332[[#This Row],[2070-71 
to 
2074-75]]</f>
        <v>0.46721999455274188</v>
      </c>
    </row>
    <row r="280" spans="2:27" ht="14.4" thickBot="1" x14ac:dyDescent="0.3">
      <c r="B280" s="246"/>
      <c r="C280" s="247"/>
      <c r="D280" s="57"/>
      <c r="E280" s="248"/>
      <c r="F280" s="249"/>
      <c r="G280" s="258"/>
      <c r="H280" s="258"/>
      <c r="I280" s="258"/>
      <c r="J280" s="258"/>
      <c r="K280" s="258"/>
      <c r="L280" s="258"/>
      <c r="M280" s="258"/>
      <c r="N280" s="258"/>
      <c r="O280" s="258"/>
      <c r="P280" s="258"/>
      <c r="Q280" s="258"/>
      <c r="R280" s="258"/>
      <c r="S280" s="258"/>
      <c r="T280" s="258"/>
      <c r="U280" s="258"/>
      <c r="V280" s="258"/>
      <c r="W280" s="258"/>
      <c r="X280" s="258"/>
      <c r="Y280" s="258"/>
      <c r="Z280" s="258"/>
      <c r="AA280" s="258"/>
    </row>
    <row r="281" spans="2:27" ht="55.8" thickBot="1" x14ac:dyDescent="0.3">
      <c r="B281" s="210" t="s">
        <v>1145</v>
      </c>
      <c r="G281" s="1530" t="s">
        <v>1018</v>
      </c>
      <c r="H281" s="1592"/>
      <c r="I281" s="1592"/>
      <c r="J281" s="1592"/>
      <c r="K281" s="1592"/>
      <c r="L281" s="1592"/>
      <c r="M281" s="1592"/>
      <c r="N281" s="1592"/>
      <c r="O281" s="1592"/>
      <c r="P281" s="1592"/>
      <c r="Q281" s="1531"/>
      <c r="R281" s="1530" t="s">
        <v>1019</v>
      </c>
      <c r="S281" s="1592"/>
      <c r="T281" s="1592"/>
      <c r="U281" s="1592"/>
      <c r="V281" s="1592"/>
      <c r="W281" s="1592"/>
      <c r="X281" s="1592"/>
      <c r="Y281" s="1592"/>
      <c r="Z281" s="1592"/>
      <c r="AA281" s="1531"/>
    </row>
    <row r="282" spans="2:27" ht="42" thickBot="1" x14ac:dyDescent="0.3">
      <c r="B282" s="251" t="s">
        <v>1020</v>
      </c>
      <c r="C282" s="252" t="s">
        <v>1002</v>
      </c>
      <c r="D282" s="252" t="s">
        <v>1003</v>
      </c>
      <c r="E282" s="252" t="s">
        <v>117</v>
      </c>
      <c r="F282" s="253" t="s">
        <v>118</v>
      </c>
      <c r="G282" s="251" t="s">
        <v>119</v>
      </c>
      <c r="H282" s="252" t="s">
        <v>120</v>
      </c>
      <c r="I282" s="252" t="s">
        <v>121</v>
      </c>
      <c r="J282" s="252" t="s">
        <v>122</v>
      </c>
      <c r="K282" s="252" t="s">
        <v>123</v>
      </c>
      <c r="L282" s="252" t="s">
        <v>124</v>
      </c>
      <c r="M282" s="252" t="s">
        <v>125</v>
      </c>
      <c r="N282" s="252" t="s">
        <v>126</v>
      </c>
      <c r="O282" s="252" t="s">
        <v>127</v>
      </c>
      <c r="P282" s="252" t="s">
        <v>128</v>
      </c>
      <c r="Q282" s="253" t="s">
        <v>129</v>
      </c>
      <c r="R282" s="256" t="s">
        <v>1021</v>
      </c>
      <c r="S282" s="254" t="s">
        <v>1022</v>
      </c>
      <c r="T282" s="254" t="s">
        <v>1023</v>
      </c>
      <c r="U282" s="254" t="s">
        <v>1024</v>
      </c>
      <c r="V282" s="254" t="s">
        <v>1025</v>
      </c>
      <c r="W282" s="254" t="s">
        <v>1026</v>
      </c>
      <c r="X282" s="254" t="s">
        <v>1027</v>
      </c>
      <c r="Y282" s="254" t="s">
        <v>1028</v>
      </c>
      <c r="Z282" s="254" t="s">
        <v>1029</v>
      </c>
      <c r="AA282" s="255" t="s">
        <v>1030</v>
      </c>
    </row>
    <row r="283" spans="2:27" x14ac:dyDescent="0.25">
      <c r="B283" s="244" t="s">
        <v>1146</v>
      </c>
      <c r="C283" s="47" t="s">
        <v>1147</v>
      </c>
      <c r="D283" s="53" t="s">
        <v>1006</v>
      </c>
      <c r="E283" s="298" t="s">
        <v>254</v>
      </c>
      <c r="F283" s="286">
        <v>3</v>
      </c>
      <c r="G283" s="1469">
        <v>0</v>
      </c>
      <c r="H283" s="1469">
        <v>0</v>
      </c>
      <c r="I283" s="1469">
        <v>0</v>
      </c>
      <c r="J283" s="1469">
        <v>0</v>
      </c>
      <c r="K283" s="1469">
        <v>0</v>
      </c>
      <c r="L283" s="1491">
        <v>0</v>
      </c>
      <c r="M283" s="1491">
        <v>6394.0414816888151</v>
      </c>
      <c r="N283" s="1491">
        <v>5455.819014941103</v>
      </c>
      <c r="O283" s="1491">
        <v>5526.7169827587659</v>
      </c>
      <c r="P283" s="1491">
        <v>5599.2159207438026</v>
      </c>
      <c r="Q283" s="1491">
        <v>5673.9751367660519</v>
      </c>
      <c r="R283" s="1491">
        <v>29381.429828607255</v>
      </c>
      <c r="S283" s="1491">
        <v>30988.002677195127</v>
      </c>
      <c r="T283" s="1491">
        <v>32523.432456223687</v>
      </c>
      <c r="U283" s="1491">
        <v>33910.843275681873</v>
      </c>
      <c r="V283" s="1491">
        <v>35290.78717333325</v>
      </c>
      <c r="W283" s="1491">
        <v>37106.792485620543</v>
      </c>
      <c r="X283" s="1491">
        <v>38998.461120660431</v>
      </c>
      <c r="Y283" s="1491">
        <v>40961.308755630867</v>
      </c>
      <c r="Z283" s="1491">
        <v>43006.189132890642</v>
      </c>
      <c r="AA283" s="1491">
        <v>45135.230372432219</v>
      </c>
    </row>
    <row r="284" spans="2:27" ht="14.4" thickBot="1" x14ac:dyDescent="0.3">
      <c r="B284" s="244" t="s">
        <v>1148</v>
      </c>
      <c r="C284" s="48" t="s">
        <v>1149</v>
      </c>
      <c r="D284" s="55" t="s">
        <v>1006</v>
      </c>
      <c r="E284" s="1445" t="s">
        <v>254</v>
      </c>
      <c r="F284" s="287">
        <v>3</v>
      </c>
      <c r="G284" s="1469">
        <v>0</v>
      </c>
      <c r="H284" s="1469">
        <v>0</v>
      </c>
      <c r="I284" s="1469">
        <v>0</v>
      </c>
      <c r="J284" s="1469">
        <v>0</v>
      </c>
      <c r="K284" s="1469">
        <v>0</v>
      </c>
      <c r="L284" s="1492">
        <v>0</v>
      </c>
      <c r="M284" s="1492">
        <v>3312.4338664009265</v>
      </c>
      <c r="N284" s="1492">
        <v>6499.1708130889228</v>
      </c>
      <c r="O284" s="1492">
        <v>4339.7149421085196</v>
      </c>
      <c r="P284" s="1492">
        <v>4521.8857477667161</v>
      </c>
      <c r="Q284" s="1492">
        <v>10409.233214495454</v>
      </c>
      <c r="R284" s="1491">
        <v>53878.251248640241</v>
      </c>
      <c r="S284" s="1491">
        <v>52222.571164573324</v>
      </c>
      <c r="T284" s="1491">
        <v>71261.975592783041</v>
      </c>
      <c r="U284" s="1491">
        <v>96829.618665920716</v>
      </c>
      <c r="V284" s="1491">
        <v>0</v>
      </c>
      <c r="W284" s="1491">
        <v>0</v>
      </c>
      <c r="X284" s="1491">
        <v>0</v>
      </c>
      <c r="Y284" s="1491">
        <v>0</v>
      </c>
      <c r="Z284" s="1491">
        <v>0</v>
      </c>
      <c r="AA284" s="1491">
        <v>0</v>
      </c>
    </row>
  </sheetData>
  <mergeCells count="36">
    <mergeCell ref="G281:Q281"/>
    <mergeCell ref="R281:AA281"/>
    <mergeCell ref="G5:Q5"/>
    <mergeCell ref="R5:AA5"/>
    <mergeCell ref="G11:Q11"/>
    <mergeCell ref="R11:AA11"/>
    <mergeCell ref="G30:Q30"/>
    <mergeCell ref="R30:AA30"/>
    <mergeCell ref="G70:Q70"/>
    <mergeCell ref="R70:AA70"/>
    <mergeCell ref="G76:Q76"/>
    <mergeCell ref="R76:AA76"/>
    <mergeCell ref="G91:Q91"/>
    <mergeCell ref="R91:AA91"/>
    <mergeCell ref="G100:Q100"/>
    <mergeCell ref="R100:AA100"/>
    <mergeCell ref="G106:Q106"/>
    <mergeCell ref="R106:AA106"/>
    <mergeCell ref="G125:Q125"/>
    <mergeCell ref="R125:AA125"/>
    <mergeCell ref="G260:Q260"/>
    <mergeCell ref="R260:AA260"/>
    <mergeCell ref="G266:Q266"/>
    <mergeCell ref="R266:AA266"/>
    <mergeCell ref="G165:Q165"/>
    <mergeCell ref="R165:AA165"/>
    <mergeCell ref="G171:Q171"/>
    <mergeCell ref="R171:AA171"/>
    <mergeCell ref="G186:Q186"/>
    <mergeCell ref="R186:AA186"/>
    <mergeCell ref="G195:Q195"/>
    <mergeCell ref="R195:AA195"/>
    <mergeCell ref="G201:Q201"/>
    <mergeCell ref="R201:AA201"/>
    <mergeCell ref="G220:Q220"/>
    <mergeCell ref="R220:AA220"/>
  </mergeCells>
  <pageMargins left="0.7" right="0.7" top="0.75" bottom="0.75" header="0.3" footer="0.3"/>
  <pageSetup paperSize="9" orientation="portrait"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workbookViewId="0"/>
  </sheetViews>
  <sheetFormatPr defaultRowHeight="15" x14ac:dyDescent="0.25"/>
  <cols>
    <col min="2" max="2" width="26.08984375" customWidth="1"/>
    <col min="3" max="3" width="21" customWidth="1"/>
    <col min="5" max="5" width="21.08984375" bestFit="1" customWidth="1"/>
    <col min="6" max="6" width="31.54296875" bestFit="1" customWidth="1"/>
    <col min="10" max="10" width="13.1796875" customWidth="1"/>
  </cols>
  <sheetData>
    <row r="2" spans="2:17" ht="15.6" x14ac:dyDescent="0.3">
      <c r="B2" s="1122" t="s">
        <v>1152</v>
      </c>
      <c r="C2" s="1122" t="s">
        <v>717</v>
      </c>
      <c r="E2" s="1349" t="s">
        <v>1153</v>
      </c>
      <c r="F2" s="1350" t="s">
        <v>1154</v>
      </c>
      <c r="G2" s="1350" t="s">
        <v>1155</v>
      </c>
      <c r="H2" s="1350" t="s">
        <v>1156</v>
      </c>
      <c r="I2" s="1350" t="s">
        <v>1157</v>
      </c>
      <c r="J2" s="1351" t="s">
        <v>1158</v>
      </c>
      <c r="L2" t="s">
        <v>15</v>
      </c>
      <c r="M2" t="s">
        <v>1159</v>
      </c>
      <c r="N2">
        <v>97</v>
      </c>
      <c r="O2" t="s">
        <v>1160</v>
      </c>
      <c r="P2" t="s">
        <v>1161</v>
      </c>
      <c r="Q2" t="s">
        <v>355</v>
      </c>
    </row>
    <row r="3" spans="2:17" ht="27.6" x14ac:dyDescent="0.3">
      <c r="B3" s="1123" t="s">
        <v>759</v>
      </c>
      <c r="C3" s="1124" t="s">
        <v>1162</v>
      </c>
      <c r="E3" s="1343" t="s">
        <v>1163</v>
      </c>
      <c r="F3" s="1344" t="s">
        <v>1164</v>
      </c>
      <c r="G3" s="1344">
        <v>63</v>
      </c>
      <c r="H3" s="1344" t="s">
        <v>1165</v>
      </c>
      <c r="I3" s="1344" t="s">
        <v>1166</v>
      </c>
      <c r="J3" s="1345" t="s">
        <v>1167</v>
      </c>
    </row>
    <row r="4" spans="2:17" ht="15.6" x14ac:dyDescent="0.3">
      <c r="B4" s="1125" t="s">
        <v>762</v>
      </c>
      <c r="C4" s="1126" t="s">
        <v>1162</v>
      </c>
      <c r="E4" s="1343" t="s">
        <v>1163</v>
      </c>
      <c r="F4" s="1344" t="s">
        <v>1168</v>
      </c>
      <c r="G4" s="1344">
        <v>62</v>
      </c>
      <c r="H4" s="1344" t="s">
        <v>1165</v>
      </c>
      <c r="I4" s="1344" t="s">
        <v>1169</v>
      </c>
      <c r="J4" s="1345" t="s">
        <v>1170</v>
      </c>
    </row>
    <row r="5" spans="2:17" ht="15.6" x14ac:dyDescent="0.3">
      <c r="B5" s="1125" t="s">
        <v>1171</v>
      </c>
      <c r="C5" s="1126" t="s">
        <v>1162</v>
      </c>
      <c r="E5" s="1343" t="s">
        <v>1163</v>
      </c>
      <c r="F5" s="1344" t="s">
        <v>1172</v>
      </c>
      <c r="G5" s="1344">
        <v>61</v>
      </c>
      <c r="H5" s="1344" t="s">
        <v>1165</v>
      </c>
      <c r="I5" s="1344" t="s">
        <v>1173</v>
      </c>
      <c r="J5" s="1345" t="s">
        <v>1174</v>
      </c>
    </row>
    <row r="6" spans="2:17" ht="15.6" x14ac:dyDescent="0.3">
      <c r="B6" s="1125" t="s">
        <v>763</v>
      </c>
      <c r="C6" s="1126" t="s">
        <v>1162</v>
      </c>
      <c r="E6" s="1343" t="s">
        <v>1163</v>
      </c>
      <c r="F6" s="1344" t="s">
        <v>1175</v>
      </c>
      <c r="G6" s="1344">
        <v>64</v>
      </c>
      <c r="H6" s="1344" t="s">
        <v>1165</v>
      </c>
      <c r="I6" s="1344" t="s">
        <v>1176</v>
      </c>
      <c r="J6" s="1345" t="s">
        <v>1177</v>
      </c>
    </row>
    <row r="7" spans="2:17" ht="15.6" x14ac:dyDescent="0.3">
      <c r="B7" s="1125" t="s">
        <v>764</v>
      </c>
      <c r="C7" s="1126" t="s">
        <v>1162</v>
      </c>
      <c r="E7" s="1343" t="s">
        <v>1163</v>
      </c>
      <c r="F7" s="1344" t="s">
        <v>1178</v>
      </c>
      <c r="G7" s="1344">
        <v>60</v>
      </c>
      <c r="H7" s="1344" t="s">
        <v>1165</v>
      </c>
      <c r="I7" s="1344" t="s">
        <v>1179</v>
      </c>
      <c r="J7" s="1345" t="s">
        <v>1180</v>
      </c>
    </row>
    <row r="8" spans="2:17" ht="28.8" x14ac:dyDescent="0.3">
      <c r="B8" s="1126" t="s">
        <v>766</v>
      </c>
      <c r="C8" s="1126" t="s">
        <v>1162</v>
      </c>
      <c r="E8" s="1343" t="s">
        <v>1163</v>
      </c>
      <c r="F8" s="1344" t="s">
        <v>1181</v>
      </c>
      <c r="G8" s="1344">
        <v>65</v>
      </c>
      <c r="H8" s="1344" t="s">
        <v>1165</v>
      </c>
      <c r="I8" s="1344" t="s">
        <v>1182</v>
      </c>
      <c r="J8" s="1345" t="s">
        <v>1183</v>
      </c>
    </row>
    <row r="9" spans="2:17" ht="15.6" x14ac:dyDescent="0.3">
      <c r="B9" s="1126" t="s">
        <v>767</v>
      </c>
      <c r="C9" s="1126" t="s">
        <v>1162</v>
      </c>
      <c r="E9" s="1343" t="s">
        <v>1163</v>
      </c>
      <c r="F9" s="1344" t="s">
        <v>1184</v>
      </c>
      <c r="G9" s="1344">
        <v>66</v>
      </c>
      <c r="H9" s="1344" t="s">
        <v>1165</v>
      </c>
      <c r="I9" s="1344" t="s">
        <v>1185</v>
      </c>
      <c r="J9" s="1345" t="s">
        <v>1186</v>
      </c>
    </row>
    <row r="10" spans="2:17" ht="15.6" x14ac:dyDescent="0.3">
      <c r="B10" s="1126" t="s">
        <v>768</v>
      </c>
      <c r="C10" s="1126" t="s">
        <v>1162</v>
      </c>
      <c r="E10" s="1343" t="s">
        <v>1163</v>
      </c>
      <c r="F10" s="1344" t="s">
        <v>1187</v>
      </c>
      <c r="G10" s="1344">
        <v>59</v>
      </c>
      <c r="H10" s="1344" t="s">
        <v>1165</v>
      </c>
      <c r="I10" s="1344" t="s">
        <v>1188</v>
      </c>
      <c r="J10" s="1345" t="s">
        <v>1189</v>
      </c>
    </row>
    <row r="11" spans="2:17" ht="15.6" x14ac:dyDescent="0.3">
      <c r="B11" s="1126" t="s">
        <v>1190</v>
      </c>
      <c r="C11" s="1126" t="s">
        <v>1162</v>
      </c>
      <c r="E11" s="1343" t="s">
        <v>1191</v>
      </c>
      <c r="F11" s="1344" t="s">
        <v>1192</v>
      </c>
      <c r="G11" s="1344"/>
      <c r="H11" s="1344" t="s">
        <v>1193</v>
      </c>
      <c r="I11" s="1344" t="s">
        <v>1194</v>
      </c>
      <c r="J11" s="1345" t="s">
        <v>1195</v>
      </c>
    </row>
    <row r="12" spans="2:17" ht="15.6" x14ac:dyDescent="0.3">
      <c r="B12" s="1125" t="s">
        <v>773</v>
      </c>
      <c r="C12" s="1126" t="s">
        <v>1162</v>
      </c>
      <c r="E12" s="1343" t="s">
        <v>1191</v>
      </c>
      <c r="F12" s="1344" t="s">
        <v>1196</v>
      </c>
      <c r="G12" s="1344"/>
      <c r="H12" s="1344" t="s">
        <v>1193</v>
      </c>
      <c r="I12" s="1344" t="s">
        <v>1197</v>
      </c>
      <c r="J12" s="1345" t="s">
        <v>1198</v>
      </c>
    </row>
    <row r="13" spans="2:17" ht="15.6" x14ac:dyDescent="0.3">
      <c r="B13" s="1126" t="s">
        <v>769</v>
      </c>
      <c r="C13" s="1126" t="s">
        <v>1162</v>
      </c>
      <c r="E13" s="1343" t="s">
        <v>1191</v>
      </c>
      <c r="F13" s="1344" t="s">
        <v>1199</v>
      </c>
      <c r="G13" s="1344"/>
      <c r="H13" s="1344" t="s">
        <v>1193</v>
      </c>
      <c r="I13" s="1344" t="s">
        <v>1200</v>
      </c>
      <c r="J13" s="1345" t="s">
        <v>1201</v>
      </c>
    </row>
    <row r="14" spans="2:17" ht="15.6" x14ac:dyDescent="0.3">
      <c r="B14" s="1125" t="s">
        <v>1202</v>
      </c>
      <c r="C14" s="1126" t="s">
        <v>1162</v>
      </c>
      <c r="E14" s="1343" t="s">
        <v>1191</v>
      </c>
      <c r="F14" s="1344" t="s">
        <v>1203</v>
      </c>
      <c r="G14" s="1344"/>
      <c r="H14" s="1344" t="s">
        <v>1193</v>
      </c>
      <c r="I14" s="1344" t="s">
        <v>1204</v>
      </c>
      <c r="J14" s="1345" t="s">
        <v>1205</v>
      </c>
    </row>
    <row r="15" spans="2:17" ht="15.6" x14ac:dyDescent="0.3">
      <c r="B15" s="1126" t="s">
        <v>770</v>
      </c>
      <c r="C15" s="1126" t="s">
        <v>1162</v>
      </c>
      <c r="E15" s="1343" t="s">
        <v>1191</v>
      </c>
      <c r="F15" s="1344" t="s">
        <v>1206</v>
      </c>
      <c r="G15" s="1344"/>
      <c r="H15" s="1344" t="s">
        <v>1193</v>
      </c>
      <c r="I15" s="1344" t="s">
        <v>1207</v>
      </c>
      <c r="J15" s="1345" t="s">
        <v>1208</v>
      </c>
    </row>
    <row r="16" spans="2:17" ht="15.6" x14ac:dyDescent="0.3">
      <c r="B16" s="1126" t="s">
        <v>1209</v>
      </c>
      <c r="C16" s="1126" t="s">
        <v>1162</v>
      </c>
      <c r="E16" s="1343" t="s">
        <v>1191</v>
      </c>
      <c r="F16" s="1344" t="s">
        <v>1210</v>
      </c>
      <c r="G16" s="1344"/>
      <c r="H16" s="1344" t="s">
        <v>1193</v>
      </c>
      <c r="I16" s="1344" t="s">
        <v>1211</v>
      </c>
      <c r="J16" s="1345" t="s">
        <v>1212</v>
      </c>
    </row>
    <row r="17" spans="2:10" ht="15.6" x14ac:dyDescent="0.3">
      <c r="B17" s="1126" t="s">
        <v>1213</v>
      </c>
      <c r="C17" s="1126" t="s">
        <v>1162</v>
      </c>
      <c r="E17" s="1343" t="s">
        <v>1191</v>
      </c>
      <c r="F17" s="1344" t="s">
        <v>1214</v>
      </c>
      <c r="G17" s="1344"/>
      <c r="H17" s="1344" t="s">
        <v>1193</v>
      </c>
      <c r="I17" s="1344" t="s">
        <v>1215</v>
      </c>
      <c r="J17" s="1345" t="s">
        <v>1216</v>
      </c>
    </row>
    <row r="18" spans="2:10" ht="15.6" x14ac:dyDescent="0.3">
      <c r="B18" s="1126" t="s">
        <v>1217</v>
      </c>
      <c r="C18" s="1126" t="s">
        <v>1162</v>
      </c>
      <c r="E18" s="1343" t="s">
        <v>1191</v>
      </c>
      <c r="F18" s="1344" t="s">
        <v>1218</v>
      </c>
      <c r="G18" s="1344"/>
      <c r="H18" s="1344" t="s">
        <v>1193</v>
      </c>
      <c r="I18" s="1344" t="s">
        <v>1219</v>
      </c>
      <c r="J18" s="1345" t="s">
        <v>1220</v>
      </c>
    </row>
    <row r="19" spans="2:10" ht="15.6" x14ac:dyDescent="0.3">
      <c r="B19" s="1125" t="s">
        <v>1221</v>
      </c>
      <c r="C19" s="1126" t="s">
        <v>1162</v>
      </c>
      <c r="E19" s="1343" t="s">
        <v>1191</v>
      </c>
      <c r="F19" s="1344" t="s">
        <v>1222</v>
      </c>
      <c r="G19" s="1344"/>
      <c r="H19" s="1344" t="s">
        <v>1193</v>
      </c>
      <c r="I19" s="1344" t="s">
        <v>1223</v>
      </c>
      <c r="J19" s="1345" t="s">
        <v>1224</v>
      </c>
    </row>
    <row r="20" spans="2:10" ht="15.6" x14ac:dyDescent="0.3">
      <c r="B20" s="1126" t="s">
        <v>1225</v>
      </c>
      <c r="C20" s="1126" t="s">
        <v>1162</v>
      </c>
      <c r="E20" s="1343" t="s">
        <v>1191</v>
      </c>
      <c r="F20" s="1344" t="s">
        <v>1226</v>
      </c>
      <c r="G20" s="1344"/>
      <c r="H20" s="1344" t="s">
        <v>1193</v>
      </c>
      <c r="I20" s="1344" t="s">
        <v>1227</v>
      </c>
      <c r="J20" s="1345" t="s">
        <v>1228</v>
      </c>
    </row>
    <row r="21" spans="2:10" ht="15.6" x14ac:dyDescent="0.3">
      <c r="B21" s="1125" t="s">
        <v>765</v>
      </c>
      <c r="C21" s="1126" t="s">
        <v>1162</v>
      </c>
      <c r="E21" s="1343" t="s">
        <v>1191</v>
      </c>
      <c r="F21" s="1344" t="s">
        <v>1229</v>
      </c>
      <c r="G21" s="1344"/>
      <c r="H21" s="1344" t="s">
        <v>1193</v>
      </c>
      <c r="I21" s="1344" t="s">
        <v>1230</v>
      </c>
      <c r="J21" s="1345" t="s">
        <v>1231</v>
      </c>
    </row>
    <row r="22" spans="2:10" ht="15.6" x14ac:dyDescent="0.3">
      <c r="B22" s="1126" t="s">
        <v>1232</v>
      </c>
      <c r="C22" s="1126" t="s">
        <v>1233</v>
      </c>
      <c r="E22" s="1343" t="s">
        <v>1191</v>
      </c>
      <c r="F22" s="1344" t="s">
        <v>1234</v>
      </c>
      <c r="G22" s="1344"/>
      <c r="H22" s="1344" t="s">
        <v>1193</v>
      </c>
      <c r="I22" s="1344" t="s">
        <v>1235</v>
      </c>
      <c r="J22" s="1345" t="s">
        <v>1236</v>
      </c>
    </row>
    <row r="23" spans="2:10" x14ac:dyDescent="0.25">
      <c r="B23" s="1125" t="s">
        <v>774</v>
      </c>
      <c r="C23" s="1125" t="s">
        <v>1233</v>
      </c>
      <c r="E23" s="1343" t="s">
        <v>1191</v>
      </c>
      <c r="F23" s="1344" t="s">
        <v>1237</v>
      </c>
      <c r="G23" s="1344"/>
      <c r="H23" s="1344" t="s">
        <v>1193</v>
      </c>
      <c r="I23" s="1344" t="s">
        <v>1238</v>
      </c>
      <c r="J23" s="1345" t="s">
        <v>1239</v>
      </c>
    </row>
    <row r="24" spans="2:10" ht="27.6" x14ac:dyDescent="0.25">
      <c r="B24" s="1125" t="s">
        <v>1240</v>
      </c>
      <c r="C24" s="1125" t="s">
        <v>1233</v>
      </c>
      <c r="E24" s="1343" t="s">
        <v>1191</v>
      </c>
      <c r="F24" s="1344" t="s">
        <v>1241</v>
      </c>
      <c r="G24" s="1344"/>
      <c r="H24" s="1344" t="s">
        <v>1193</v>
      </c>
      <c r="I24" s="1344" t="s">
        <v>1242</v>
      </c>
      <c r="J24" s="1345" t="s">
        <v>1243</v>
      </c>
    </row>
    <row r="25" spans="2:10" ht="27.6" x14ac:dyDescent="0.25">
      <c r="B25" s="1125" t="s">
        <v>1244</v>
      </c>
      <c r="C25" s="1125" t="s">
        <v>1233</v>
      </c>
      <c r="E25" s="1343" t="s">
        <v>1191</v>
      </c>
      <c r="F25" s="1344" t="s">
        <v>1245</v>
      </c>
      <c r="G25" s="1344"/>
      <c r="H25" s="1344" t="s">
        <v>1193</v>
      </c>
      <c r="I25" s="1344" t="s">
        <v>1246</v>
      </c>
      <c r="J25" s="1345" t="s">
        <v>1247</v>
      </c>
    </row>
    <row r="26" spans="2:10" x14ac:dyDescent="0.25">
      <c r="B26" s="1125" t="s">
        <v>1248</v>
      </c>
      <c r="C26" s="1125" t="s">
        <v>1249</v>
      </c>
      <c r="E26" s="1343" t="s">
        <v>1191</v>
      </c>
      <c r="F26" s="1344" t="s">
        <v>1250</v>
      </c>
      <c r="G26" s="1344"/>
      <c r="H26" s="1344" t="s">
        <v>1193</v>
      </c>
      <c r="I26" s="1344" t="s">
        <v>1251</v>
      </c>
      <c r="J26" s="1345" t="s">
        <v>1252</v>
      </c>
    </row>
    <row r="27" spans="2:10" ht="27.6" x14ac:dyDescent="0.25">
      <c r="B27" s="1125" t="s">
        <v>772</v>
      </c>
      <c r="C27" s="1125" t="s">
        <v>1249</v>
      </c>
      <c r="E27" s="1343" t="s">
        <v>1191</v>
      </c>
      <c r="F27" s="1344" t="s">
        <v>1253</v>
      </c>
      <c r="G27" s="1344"/>
      <c r="H27" s="1344" t="s">
        <v>1193</v>
      </c>
      <c r="I27" s="1344" t="s">
        <v>1254</v>
      </c>
      <c r="J27" s="1345" t="s">
        <v>1255</v>
      </c>
    </row>
    <row r="28" spans="2:10" x14ac:dyDescent="0.25">
      <c r="B28" s="1125" t="s">
        <v>1256</v>
      </c>
      <c r="C28" s="1125" t="s">
        <v>1249</v>
      </c>
      <c r="E28" s="1343" t="s">
        <v>1191</v>
      </c>
      <c r="F28" s="1344" t="s">
        <v>1257</v>
      </c>
      <c r="G28" s="1344"/>
      <c r="H28" s="1344" t="s">
        <v>1193</v>
      </c>
      <c r="I28" s="1344" t="s">
        <v>1258</v>
      </c>
      <c r="J28" s="1345" t="s">
        <v>1259</v>
      </c>
    </row>
    <row r="29" spans="2:10" ht="27.6" x14ac:dyDescent="0.25">
      <c r="B29" s="1125" t="s">
        <v>1260</v>
      </c>
      <c r="C29" s="1125" t="s">
        <v>1249</v>
      </c>
      <c r="E29" s="1343" t="s">
        <v>1191</v>
      </c>
      <c r="F29" s="1344" t="s">
        <v>1261</v>
      </c>
      <c r="G29" s="1344"/>
      <c r="H29" s="1344" t="s">
        <v>1193</v>
      </c>
      <c r="I29" s="1344" t="s">
        <v>1262</v>
      </c>
      <c r="J29" s="1345" t="s">
        <v>1263</v>
      </c>
    </row>
    <row r="30" spans="2:10" x14ac:dyDescent="0.25">
      <c r="B30" s="1125" t="s">
        <v>1264</v>
      </c>
      <c r="C30" s="1125" t="s">
        <v>1249</v>
      </c>
      <c r="E30" s="1343" t="s">
        <v>1191</v>
      </c>
      <c r="F30" s="1344" t="s">
        <v>1265</v>
      </c>
      <c r="G30" s="1344"/>
      <c r="H30" s="1344" t="s">
        <v>1193</v>
      </c>
      <c r="I30" s="1344" t="s">
        <v>1266</v>
      </c>
      <c r="J30" s="1345" t="s">
        <v>1267</v>
      </c>
    </row>
    <row r="31" spans="2:10" x14ac:dyDescent="0.25">
      <c r="B31" s="1125" t="s">
        <v>1268</v>
      </c>
      <c r="C31" s="1125" t="s">
        <v>1249</v>
      </c>
      <c r="E31" s="1343" t="s">
        <v>1191</v>
      </c>
      <c r="F31" s="1344" t="s">
        <v>1269</v>
      </c>
      <c r="G31" s="1344"/>
      <c r="H31" s="1344" t="s">
        <v>1193</v>
      </c>
      <c r="I31" s="1344" t="s">
        <v>1270</v>
      </c>
      <c r="J31" s="1345" t="s">
        <v>1271</v>
      </c>
    </row>
    <row r="32" spans="2:10" x14ac:dyDescent="0.25">
      <c r="B32" s="1125" t="s">
        <v>771</v>
      </c>
      <c r="C32" s="1125" t="s">
        <v>1249</v>
      </c>
      <c r="E32" s="1343" t="s">
        <v>1191</v>
      </c>
      <c r="F32" s="1344" t="s">
        <v>1272</v>
      </c>
      <c r="G32" s="1344"/>
      <c r="H32" s="1344" t="s">
        <v>1193</v>
      </c>
      <c r="I32" s="1344" t="s">
        <v>1273</v>
      </c>
      <c r="J32" s="1345" t="s">
        <v>1274</v>
      </c>
    </row>
    <row r="33" spans="2:10" x14ac:dyDescent="0.25">
      <c r="B33" s="1125" t="s">
        <v>1275</v>
      </c>
      <c r="C33" s="1125" t="s">
        <v>1276</v>
      </c>
      <c r="E33" s="1343" t="s">
        <v>1191</v>
      </c>
      <c r="F33" s="1344" t="s">
        <v>1277</v>
      </c>
      <c r="G33" s="1344"/>
      <c r="H33" s="1344" t="s">
        <v>1193</v>
      </c>
      <c r="I33" s="1344" t="s">
        <v>1278</v>
      </c>
      <c r="J33" s="1345" t="s">
        <v>1279</v>
      </c>
    </row>
    <row r="34" spans="2:10" x14ac:dyDescent="0.25">
      <c r="B34" s="1125" t="s">
        <v>1280</v>
      </c>
      <c r="C34" s="1125" t="s">
        <v>1276</v>
      </c>
      <c r="E34" s="1343" t="s">
        <v>1191</v>
      </c>
      <c r="F34" s="1344" t="s">
        <v>1281</v>
      </c>
      <c r="G34" s="1344"/>
      <c r="H34" s="1344" t="s">
        <v>1193</v>
      </c>
      <c r="I34" s="1344" t="s">
        <v>1282</v>
      </c>
      <c r="J34" s="1345" t="s">
        <v>1283</v>
      </c>
    </row>
    <row r="35" spans="2:10" x14ac:dyDescent="0.25">
      <c r="B35" s="1125" t="s">
        <v>1284</v>
      </c>
      <c r="C35" s="1125" t="s">
        <v>1276</v>
      </c>
      <c r="E35" s="1343" t="s">
        <v>1191</v>
      </c>
      <c r="F35" s="1344" t="s">
        <v>1285</v>
      </c>
      <c r="G35" s="1344"/>
      <c r="H35" s="1344" t="s">
        <v>1193</v>
      </c>
      <c r="I35" s="1344" t="s">
        <v>1286</v>
      </c>
      <c r="J35" s="1345" t="s">
        <v>1287</v>
      </c>
    </row>
    <row r="36" spans="2:10" x14ac:dyDescent="0.25">
      <c r="B36" s="1125" t="s">
        <v>1288</v>
      </c>
      <c r="C36" s="1125" t="s">
        <v>1276</v>
      </c>
      <c r="E36" s="1343" t="s">
        <v>1191</v>
      </c>
      <c r="F36" s="1344" t="s">
        <v>1289</v>
      </c>
      <c r="G36" s="1344"/>
      <c r="H36" s="1344" t="s">
        <v>1193</v>
      </c>
      <c r="I36" s="1344" t="s">
        <v>1290</v>
      </c>
      <c r="J36" s="1345" t="s">
        <v>1291</v>
      </c>
    </row>
    <row r="37" spans="2:10" x14ac:dyDescent="0.25">
      <c r="B37" s="1125" t="s">
        <v>1292</v>
      </c>
      <c r="C37" s="1125" t="s">
        <v>1276</v>
      </c>
      <c r="E37" s="1343" t="s">
        <v>1191</v>
      </c>
      <c r="F37" s="1344" t="s">
        <v>1293</v>
      </c>
      <c r="G37" s="1344"/>
      <c r="H37" s="1344" t="s">
        <v>1193</v>
      </c>
      <c r="I37" s="1344" t="s">
        <v>1294</v>
      </c>
      <c r="J37" s="1345" t="s">
        <v>1295</v>
      </c>
    </row>
    <row r="38" spans="2:10" x14ac:dyDescent="0.25">
      <c r="B38" s="1125" t="s">
        <v>1296</v>
      </c>
      <c r="C38" s="1125" t="s">
        <v>1276</v>
      </c>
      <c r="E38" s="1343" t="s">
        <v>15</v>
      </c>
      <c r="F38" s="1344" t="s">
        <v>1159</v>
      </c>
      <c r="G38" s="1344">
        <v>97</v>
      </c>
      <c r="H38" s="1344" t="s">
        <v>1160</v>
      </c>
      <c r="I38" s="1344" t="s">
        <v>1161</v>
      </c>
      <c r="J38" s="1345" t="s">
        <v>355</v>
      </c>
    </row>
    <row r="39" spans="2:10" x14ac:dyDescent="0.25">
      <c r="B39" s="1125" t="s">
        <v>1297</v>
      </c>
      <c r="C39" s="1125" t="s">
        <v>1276</v>
      </c>
      <c r="E39" s="1343" t="s">
        <v>1298</v>
      </c>
      <c r="F39" s="1344" t="s">
        <v>1299</v>
      </c>
      <c r="G39" s="1344">
        <v>54</v>
      </c>
      <c r="H39" s="1344" t="s">
        <v>1300</v>
      </c>
      <c r="I39" s="1344" t="s">
        <v>1300</v>
      </c>
      <c r="J39" s="1345" t="s">
        <v>1301</v>
      </c>
    </row>
    <row r="40" spans="2:10" x14ac:dyDescent="0.25">
      <c r="B40" s="1125" t="s">
        <v>1302</v>
      </c>
      <c r="C40" s="1125" t="s">
        <v>1276</v>
      </c>
      <c r="E40" s="1343" t="s">
        <v>1303</v>
      </c>
      <c r="F40" s="1344" t="s">
        <v>1304</v>
      </c>
      <c r="G40" s="1344">
        <v>203</v>
      </c>
      <c r="H40" s="1344" t="s">
        <v>1305</v>
      </c>
      <c r="I40" s="1344" t="s">
        <v>1306</v>
      </c>
      <c r="J40" s="1345" t="s">
        <v>1307</v>
      </c>
    </row>
    <row r="41" spans="2:10" x14ac:dyDescent="0.25">
      <c r="B41" s="1125" t="s">
        <v>778</v>
      </c>
      <c r="C41" s="1125" t="s">
        <v>1276</v>
      </c>
      <c r="E41" s="1343" t="s">
        <v>1303</v>
      </c>
      <c r="F41" s="1344" t="s">
        <v>1308</v>
      </c>
      <c r="G41" s="1344">
        <v>209</v>
      </c>
      <c r="H41" s="1344" t="s">
        <v>1305</v>
      </c>
      <c r="I41" s="1344" t="s">
        <v>1309</v>
      </c>
      <c r="J41" s="1345" t="s">
        <v>1310</v>
      </c>
    </row>
    <row r="42" spans="2:10" x14ac:dyDescent="0.25">
      <c r="B42" s="1125" t="s">
        <v>1311</v>
      </c>
      <c r="C42" s="1125" t="s">
        <v>1276</v>
      </c>
      <c r="E42" s="1343" t="s">
        <v>1303</v>
      </c>
      <c r="F42" s="1344" t="s">
        <v>1312</v>
      </c>
      <c r="G42" s="1344">
        <v>208</v>
      </c>
      <c r="H42" s="1344" t="s">
        <v>1305</v>
      </c>
      <c r="I42" s="1344" t="s">
        <v>1313</v>
      </c>
      <c r="J42" s="1345" t="s">
        <v>1314</v>
      </c>
    </row>
    <row r="43" spans="2:10" ht="27.6" x14ac:dyDescent="0.25">
      <c r="B43" s="1125" t="s">
        <v>775</v>
      </c>
      <c r="C43" s="1125" t="s">
        <v>1276</v>
      </c>
      <c r="E43" s="1343" t="s">
        <v>1303</v>
      </c>
      <c r="F43" s="1344" t="s">
        <v>1315</v>
      </c>
      <c r="G43" s="1344">
        <v>221</v>
      </c>
      <c r="H43" s="1344" t="s">
        <v>1305</v>
      </c>
      <c r="I43" s="1344" t="s">
        <v>1316</v>
      </c>
      <c r="J43" s="1345" t="s">
        <v>1317</v>
      </c>
    </row>
    <row r="44" spans="2:10" x14ac:dyDescent="0.25">
      <c r="B44" s="1125" t="s">
        <v>1318</v>
      </c>
      <c r="C44" s="1125" t="s">
        <v>1276</v>
      </c>
      <c r="E44" s="1343" t="s">
        <v>1303</v>
      </c>
      <c r="F44" s="1344" t="s">
        <v>1319</v>
      </c>
      <c r="G44" s="1344">
        <v>204</v>
      </c>
      <c r="H44" s="1344" t="s">
        <v>1305</v>
      </c>
      <c r="I44" s="1344" t="s">
        <v>1320</v>
      </c>
      <c r="J44" s="1345" t="s">
        <v>1321</v>
      </c>
    </row>
    <row r="45" spans="2:10" x14ac:dyDescent="0.25">
      <c r="B45" s="1125" t="s">
        <v>777</v>
      </c>
      <c r="C45" s="1125" t="s">
        <v>1276</v>
      </c>
      <c r="E45" s="1343" t="s">
        <v>1303</v>
      </c>
      <c r="F45" s="1344" t="s">
        <v>1322</v>
      </c>
      <c r="G45" s="1344">
        <v>205</v>
      </c>
      <c r="H45" s="1344" t="s">
        <v>1305</v>
      </c>
      <c r="I45" s="1344" t="s">
        <v>1323</v>
      </c>
      <c r="J45" s="1345" t="s">
        <v>1324</v>
      </c>
    </row>
    <row r="46" spans="2:10" ht="27.6" x14ac:dyDescent="0.25">
      <c r="B46" s="1125" t="s">
        <v>776</v>
      </c>
      <c r="C46" s="1125" t="s">
        <v>1276</v>
      </c>
      <c r="E46" s="1343" t="s">
        <v>1303</v>
      </c>
      <c r="F46" s="1344" t="s">
        <v>1325</v>
      </c>
      <c r="G46" s="1344">
        <v>215</v>
      </c>
      <c r="H46" s="1344" t="s">
        <v>1305</v>
      </c>
      <c r="I46" s="1344" t="s">
        <v>1326</v>
      </c>
      <c r="J46" s="1345" t="s">
        <v>1327</v>
      </c>
    </row>
    <row r="47" spans="2:10" x14ac:dyDescent="0.25">
      <c r="B47" s="1125" t="s">
        <v>1328</v>
      </c>
      <c r="C47" s="1125" t="s">
        <v>1276</v>
      </c>
      <c r="E47" s="1343" t="s">
        <v>1303</v>
      </c>
      <c r="F47" s="1344" t="s">
        <v>1329</v>
      </c>
      <c r="G47" s="1344">
        <v>210</v>
      </c>
      <c r="H47" s="1344" t="s">
        <v>1305</v>
      </c>
      <c r="I47" s="1344" t="s">
        <v>1330</v>
      </c>
      <c r="J47" s="1345" t="s">
        <v>1331</v>
      </c>
    </row>
    <row r="48" spans="2:10" x14ac:dyDescent="0.25">
      <c r="E48" s="1343" t="s">
        <v>1303</v>
      </c>
      <c r="F48" s="1344" t="s">
        <v>1332</v>
      </c>
      <c r="G48" s="1344">
        <v>217</v>
      </c>
      <c r="H48" s="1344" t="s">
        <v>1305</v>
      </c>
      <c r="I48" s="1344" t="s">
        <v>1333</v>
      </c>
      <c r="J48" s="1345" t="s">
        <v>1334</v>
      </c>
    </row>
    <row r="49" spans="5:10" x14ac:dyDescent="0.25">
      <c r="E49" s="1343" t="s">
        <v>1303</v>
      </c>
      <c r="F49" s="1344" t="s">
        <v>1335</v>
      </c>
      <c r="G49" s="1344">
        <v>207</v>
      </c>
      <c r="H49" s="1344" t="s">
        <v>1305</v>
      </c>
      <c r="I49" s="1344" t="s">
        <v>1336</v>
      </c>
      <c r="J49" s="1345" t="s">
        <v>1337</v>
      </c>
    </row>
    <row r="50" spans="5:10" x14ac:dyDescent="0.25">
      <c r="E50" s="1343" t="s">
        <v>1303</v>
      </c>
      <c r="F50" s="1344" t="s">
        <v>1338</v>
      </c>
      <c r="G50" s="1344">
        <v>220</v>
      </c>
      <c r="H50" s="1344" t="s">
        <v>1305</v>
      </c>
      <c r="I50" s="1344" t="s">
        <v>1339</v>
      </c>
      <c r="J50" s="1345" t="s">
        <v>1340</v>
      </c>
    </row>
    <row r="51" spans="5:10" x14ac:dyDescent="0.25">
      <c r="E51" s="1343" t="s">
        <v>1303</v>
      </c>
      <c r="F51" s="1344" t="s">
        <v>1341</v>
      </c>
      <c r="G51" s="1344">
        <v>214</v>
      </c>
      <c r="H51" s="1344" t="s">
        <v>1305</v>
      </c>
      <c r="I51" s="1344" t="s">
        <v>1342</v>
      </c>
      <c r="J51" s="1345" t="s">
        <v>1343</v>
      </c>
    </row>
    <row r="52" spans="5:10" x14ac:dyDescent="0.25">
      <c r="E52" s="1343" t="s">
        <v>1303</v>
      </c>
      <c r="F52" s="1344" t="s">
        <v>1344</v>
      </c>
      <c r="G52" s="1344">
        <v>226</v>
      </c>
      <c r="H52" s="1344" t="s">
        <v>1305</v>
      </c>
      <c r="I52" s="1344" t="s">
        <v>1345</v>
      </c>
      <c r="J52" s="1345" t="s">
        <v>1346</v>
      </c>
    </row>
    <row r="53" spans="5:10" x14ac:dyDescent="0.25">
      <c r="E53" s="1343" t="s">
        <v>1303</v>
      </c>
      <c r="F53" s="1344" t="s">
        <v>1347</v>
      </c>
      <c r="G53" s="1344">
        <v>213</v>
      </c>
      <c r="H53" s="1344" t="s">
        <v>1305</v>
      </c>
      <c r="I53" s="1344" t="s">
        <v>1348</v>
      </c>
      <c r="J53" s="1345" t="s">
        <v>1349</v>
      </c>
    </row>
    <row r="54" spans="5:10" x14ac:dyDescent="0.25">
      <c r="E54" s="1343" t="s">
        <v>1303</v>
      </c>
      <c r="F54" s="1344" t="s">
        <v>1350</v>
      </c>
      <c r="G54" s="1344">
        <v>206</v>
      </c>
      <c r="H54" s="1344" t="s">
        <v>1305</v>
      </c>
      <c r="I54" s="1344" t="s">
        <v>1351</v>
      </c>
      <c r="J54" s="1345" t="s">
        <v>1352</v>
      </c>
    </row>
    <row r="55" spans="5:10" x14ac:dyDescent="0.25">
      <c r="E55" s="1343" t="s">
        <v>1303</v>
      </c>
      <c r="F55" s="1344" t="s">
        <v>1353</v>
      </c>
      <c r="G55" s="1344">
        <v>223</v>
      </c>
      <c r="H55" s="1344" t="s">
        <v>1305</v>
      </c>
      <c r="I55" s="1344" t="s">
        <v>1354</v>
      </c>
      <c r="J55" s="1345" t="s">
        <v>1355</v>
      </c>
    </row>
    <row r="56" spans="5:10" x14ac:dyDescent="0.25">
      <c r="E56" s="1343" t="s">
        <v>1303</v>
      </c>
      <c r="F56" s="1344" t="s">
        <v>1356</v>
      </c>
      <c r="G56" s="1344">
        <v>216</v>
      </c>
      <c r="H56" s="1344" t="s">
        <v>1305</v>
      </c>
      <c r="I56" s="1344" t="s">
        <v>1357</v>
      </c>
      <c r="J56" s="1345" t="s">
        <v>1358</v>
      </c>
    </row>
    <row r="57" spans="5:10" x14ac:dyDescent="0.25">
      <c r="E57" s="1343" t="s">
        <v>1303</v>
      </c>
      <c r="F57" s="1344" t="s">
        <v>1359</v>
      </c>
      <c r="G57" s="1344">
        <v>225</v>
      </c>
      <c r="H57" s="1344" t="s">
        <v>1305</v>
      </c>
      <c r="I57" s="1344" t="s">
        <v>1360</v>
      </c>
      <c r="J57" s="1345" t="s">
        <v>1361</v>
      </c>
    </row>
    <row r="58" spans="5:10" x14ac:dyDescent="0.25">
      <c r="E58" s="1343" t="s">
        <v>1303</v>
      </c>
      <c r="F58" s="1344" t="s">
        <v>1362</v>
      </c>
      <c r="G58" s="1344">
        <v>224</v>
      </c>
      <c r="H58" s="1344" t="s">
        <v>1305</v>
      </c>
      <c r="I58" s="1344" t="s">
        <v>1363</v>
      </c>
      <c r="J58" s="1345" t="s">
        <v>1364</v>
      </c>
    </row>
    <row r="59" spans="5:10" x14ac:dyDescent="0.25">
      <c r="E59" s="1343" t="s">
        <v>1303</v>
      </c>
      <c r="F59" s="1344" t="s">
        <v>1365</v>
      </c>
      <c r="G59" s="1344">
        <v>211</v>
      </c>
      <c r="H59" s="1344" t="s">
        <v>1305</v>
      </c>
      <c r="I59" s="1344" t="s">
        <v>1366</v>
      </c>
      <c r="J59" s="1345" t="s">
        <v>1367</v>
      </c>
    </row>
    <row r="60" spans="5:10" x14ac:dyDescent="0.25">
      <c r="E60" s="1343" t="s">
        <v>1303</v>
      </c>
      <c r="F60" s="1344" t="s">
        <v>1368</v>
      </c>
      <c r="G60" s="1344">
        <v>222</v>
      </c>
      <c r="H60" s="1344" t="s">
        <v>1305</v>
      </c>
      <c r="I60" s="1344" t="s">
        <v>1369</v>
      </c>
      <c r="J60" s="1345" t="s">
        <v>1370</v>
      </c>
    </row>
    <row r="61" spans="5:10" x14ac:dyDescent="0.25">
      <c r="E61" s="1343" t="s">
        <v>1303</v>
      </c>
      <c r="F61" s="1344" t="s">
        <v>1371</v>
      </c>
      <c r="G61" s="1344">
        <v>212</v>
      </c>
      <c r="H61" s="1344" t="s">
        <v>1305</v>
      </c>
      <c r="I61" s="1344" t="s">
        <v>1372</v>
      </c>
      <c r="J61" s="1345" t="s">
        <v>1373</v>
      </c>
    </row>
    <row r="62" spans="5:10" x14ac:dyDescent="0.25">
      <c r="E62" s="1343" t="s">
        <v>1303</v>
      </c>
      <c r="F62" s="1344" t="s">
        <v>1374</v>
      </c>
      <c r="G62" s="1344">
        <v>219</v>
      </c>
      <c r="H62" s="1344" t="s">
        <v>1305</v>
      </c>
      <c r="I62" s="1344" t="s">
        <v>1375</v>
      </c>
      <c r="J62" s="1345" t="s">
        <v>1376</v>
      </c>
    </row>
    <row r="63" spans="5:10" x14ac:dyDescent="0.25">
      <c r="E63" s="1343" t="s">
        <v>1303</v>
      </c>
      <c r="F63" s="1344" t="s">
        <v>1377</v>
      </c>
      <c r="G63" s="1344">
        <v>218</v>
      </c>
      <c r="H63" s="1344" t="s">
        <v>1305</v>
      </c>
      <c r="I63" s="1344" t="s">
        <v>1378</v>
      </c>
      <c r="J63" s="1345" t="s">
        <v>1379</v>
      </c>
    </row>
    <row r="64" spans="5:10" x14ac:dyDescent="0.25">
      <c r="E64" s="1343" t="s">
        <v>1380</v>
      </c>
      <c r="F64" s="1344" t="s">
        <v>1381</v>
      </c>
      <c r="G64" s="1344">
        <v>56</v>
      </c>
      <c r="H64" s="1344" t="s">
        <v>1382</v>
      </c>
      <c r="I64" s="1344" t="s">
        <v>1383</v>
      </c>
      <c r="J64" s="1345" t="s">
        <v>1384</v>
      </c>
    </row>
    <row r="65" spans="5:10" x14ac:dyDescent="0.25">
      <c r="E65" s="1343" t="s">
        <v>1380</v>
      </c>
      <c r="F65" s="1344" t="s">
        <v>1385</v>
      </c>
      <c r="G65" s="1344">
        <v>58</v>
      </c>
      <c r="H65" s="1344" t="s">
        <v>1382</v>
      </c>
      <c r="I65" s="1344" t="s">
        <v>1386</v>
      </c>
      <c r="J65" s="1345" t="s">
        <v>1387</v>
      </c>
    </row>
    <row r="66" spans="5:10" x14ac:dyDescent="0.25">
      <c r="E66" s="1343" t="s">
        <v>1380</v>
      </c>
      <c r="F66" s="1344" t="s">
        <v>1388</v>
      </c>
      <c r="G66" s="1344">
        <v>57</v>
      </c>
      <c r="H66" s="1344" t="s">
        <v>1382</v>
      </c>
      <c r="I66" s="1344" t="s">
        <v>1389</v>
      </c>
      <c r="J66" s="1345" t="s">
        <v>1390</v>
      </c>
    </row>
    <row r="67" spans="5:10" x14ac:dyDescent="0.25">
      <c r="E67" s="1343" t="s">
        <v>1380</v>
      </c>
      <c r="F67" s="1344" t="s">
        <v>1391</v>
      </c>
      <c r="G67" s="1344">
        <v>55</v>
      </c>
      <c r="H67" s="1344" t="s">
        <v>1382</v>
      </c>
      <c r="I67" s="1344" t="s">
        <v>1392</v>
      </c>
      <c r="J67" s="1345" t="s">
        <v>1393</v>
      </c>
    </row>
    <row r="68" spans="5:10" x14ac:dyDescent="0.25">
      <c r="E68" s="1343" t="s">
        <v>1394</v>
      </c>
      <c r="F68" s="1344" t="s">
        <v>1395</v>
      </c>
      <c r="G68" s="1344">
        <v>50</v>
      </c>
      <c r="H68" s="1344" t="s">
        <v>1396</v>
      </c>
      <c r="I68" s="1344" t="s">
        <v>1397</v>
      </c>
      <c r="J68" s="1345" t="s">
        <v>1398</v>
      </c>
    </row>
    <row r="69" spans="5:10" x14ac:dyDescent="0.25">
      <c r="E69" s="1343" t="s">
        <v>1394</v>
      </c>
      <c r="F69" s="1344" t="s">
        <v>1399</v>
      </c>
      <c r="G69" s="1344"/>
      <c r="H69" s="1344" t="s">
        <v>1396</v>
      </c>
      <c r="I69" s="1344" t="s">
        <v>1400</v>
      </c>
      <c r="J69" s="1345" t="s">
        <v>1401</v>
      </c>
    </row>
    <row r="70" spans="5:10" x14ac:dyDescent="0.25">
      <c r="E70" s="1343" t="s">
        <v>1394</v>
      </c>
      <c r="F70" s="1344" t="s">
        <v>1402</v>
      </c>
      <c r="G70" s="1344"/>
      <c r="H70" s="1344" t="s">
        <v>1396</v>
      </c>
      <c r="I70" s="1344" t="s">
        <v>1403</v>
      </c>
      <c r="J70" s="1345" t="s">
        <v>1404</v>
      </c>
    </row>
    <row r="71" spans="5:10" x14ac:dyDescent="0.25">
      <c r="E71" s="1343" t="s">
        <v>1394</v>
      </c>
      <c r="F71" s="1344" t="s">
        <v>1405</v>
      </c>
      <c r="G71" s="1344">
        <v>202</v>
      </c>
      <c r="H71" s="1344" t="s">
        <v>1396</v>
      </c>
      <c r="I71" s="1344" t="s">
        <v>1406</v>
      </c>
      <c r="J71" s="1345" t="s">
        <v>1407</v>
      </c>
    </row>
    <row r="72" spans="5:10" x14ac:dyDescent="0.25">
      <c r="E72" s="1343" t="s">
        <v>1408</v>
      </c>
      <c r="F72" s="1344" t="s">
        <v>1409</v>
      </c>
      <c r="G72" s="1344">
        <v>1</v>
      </c>
      <c r="H72" s="1344" t="s">
        <v>1410</v>
      </c>
      <c r="I72" s="1344" t="s">
        <v>1411</v>
      </c>
      <c r="J72" s="1345" t="s">
        <v>1412</v>
      </c>
    </row>
    <row r="73" spans="5:10" x14ac:dyDescent="0.25">
      <c r="E73" s="1343" t="s">
        <v>1408</v>
      </c>
      <c r="F73" s="1344" t="s">
        <v>1413</v>
      </c>
      <c r="G73" s="1344">
        <v>2</v>
      </c>
      <c r="H73" s="1344" t="s">
        <v>1410</v>
      </c>
      <c r="I73" s="1344" t="s">
        <v>1414</v>
      </c>
      <c r="J73" s="1345" t="s">
        <v>1415</v>
      </c>
    </row>
    <row r="74" spans="5:10" x14ac:dyDescent="0.25">
      <c r="E74" s="1343" t="s">
        <v>1416</v>
      </c>
      <c r="F74" s="1344" t="s">
        <v>1417</v>
      </c>
      <c r="G74" s="1344">
        <v>96</v>
      </c>
      <c r="H74" s="1344" t="s">
        <v>1418</v>
      </c>
      <c r="I74" s="1344" t="s">
        <v>1419</v>
      </c>
      <c r="J74" s="1345" t="s">
        <v>1420</v>
      </c>
    </row>
    <row r="75" spans="5:10" x14ac:dyDescent="0.25">
      <c r="E75" s="1343" t="s">
        <v>1421</v>
      </c>
      <c r="F75" s="1344" t="s">
        <v>1421</v>
      </c>
      <c r="G75" s="1344">
        <v>95</v>
      </c>
      <c r="H75" s="1344" t="s">
        <v>1422</v>
      </c>
      <c r="I75" s="1344" t="s">
        <v>1422</v>
      </c>
      <c r="J75" s="1345" t="s">
        <v>1423</v>
      </c>
    </row>
    <row r="76" spans="5:10" x14ac:dyDescent="0.25">
      <c r="E76" s="1343" t="s">
        <v>1424</v>
      </c>
      <c r="F76" s="1344" t="s">
        <v>1425</v>
      </c>
      <c r="G76" s="1344">
        <v>51</v>
      </c>
      <c r="H76" s="1344" t="s">
        <v>1426</v>
      </c>
      <c r="I76" s="1344" t="s">
        <v>1427</v>
      </c>
      <c r="J76" s="1345" t="s">
        <v>1428</v>
      </c>
    </row>
    <row r="77" spans="5:10" x14ac:dyDescent="0.25">
      <c r="E77" s="1343" t="s">
        <v>1424</v>
      </c>
      <c r="F77" s="1344" t="s">
        <v>1429</v>
      </c>
      <c r="G77" s="1344">
        <v>92</v>
      </c>
      <c r="H77" s="1344" t="s">
        <v>1426</v>
      </c>
      <c r="I77" s="1344" t="s">
        <v>1430</v>
      </c>
      <c r="J77" s="1345" t="s">
        <v>1431</v>
      </c>
    </row>
    <row r="78" spans="5:10" x14ac:dyDescent="0.25">
      <c r="E78" s="1343" t="s">
        <v>1424</v>
      </c>
      <c r="F78" s="1344" t="s">
        <v>1432</v>
      </c>
      <c r="G78" s="1344">
        <v>52</v>
      </c>
      <c r="H78" s="1344" t="s">
        <v>1426</v>
      </c>
      <c r="I78" s="1344" t="s">
        <v>1433</v>
      </c>
      <c r="J78" s="1345" t="s">
        <v>1434</v>
      </c>
    </row>
    <row r="79" spans="5:10" x14ac:dyDescent="0.25">
      <c r="E79" s="1343" t="s">
        <v>1424</v>
      </c>
      <c r="F79" s="1344" t="s">
        <v>1435</v>
      </c>
      <c r="G79" s="1344">
        <v>47</v>
      </c>
      <c r="H79" s="1344" t="s">
        <v>1426</v>
      </c>
      <c r="I79" s="1344" t="s">
        <v>1436</v>
      </c>
      <c r="J79" s="1345" t="s">
        <v>1437</v>
      </c>
    </row>
    <row r="80" spans="5:10" x14ac:dyDescent="0.25">
      <c r="E80" s="1343" t="s">
        <v>1424</v>
      </c>
      <c r="F80" s="1344" t="s">
        <v>1438</v>
      </c>
      <c r="G80" s="1344">
        <v>48</v>
      </c>
      <c r="H80" s="1344" t="s">
        <v>1426</v>
      </c>
      <c r="I80" s="1344" t="s">
        <v>1439</v>
      </c>
      <c r="J80" s="1345" t="s">
        <v>1440</v>
      </c>
    </row>
    <row r="81" spans="5:10" x14ac:dyDescent="0.25">
      <c r="E81" s="1343" t="s">
        <v>1424</v>
      </c>
      <c r="F81" s="1344" t="s">
        <v>1441</v>
      </c>
      <c r="G81" s="1344">
        <v>39</v>
      </c>
      <c r="H81" s="1344" t="s">
        <v>1426</v>
      </c>
      <c r="I81" s="1344" t="s">
        <v>1442</v>
      </c>
      <c r="J81" s="1345" t="s">
        <v>1443</v>
      </c>
    </row>
    <row r="82" spans="5:10" x14ac:dyDescent="0.25">
      <c r="E82" s="1343" t="s">
        <v>1424</v>
      </c>
      <c r="F82" s="1344" t="s">
        <v>1444</v>
      </c>
      <c r="G82" s="1344">
        <v>42</v>
      </c>
      <c r="H82" s="1344" t="s">
        <v>1426</v>
      </c>
      <c r="I82" s="1344" t="s">
        <v>1445</v>
      </c>
      <c r="J82" s="1345" t="s">
        <v>1446</v>
      </c>
    </row>
    <row r="83" spans="5:10" x14ac:dyDescent="0.25">
      <c r="E83" s="1343" t="s">
        <v>1424</v>
      </c>
      <c r="F83" s="1344" t="s">
        <v>1447</v>
      </c>
      <c r="G83" s="1344">
        <v>40</v>
      </c>
      <c r="H83" s="1344" t="s">
        <v>1426</v>
      </c>
      <c r="I83" s="1344" t="s">
        <v>1448</v>
      </c>
      <c r="J83" s="1345" t="s">
        <v>1449</v>
      </c>
    </row>
    <row r="84" spans="5:10" x14ac:dyDescent="0.25">
      <c r="E84" s="1343" t="s">
        <v>1424</v>
      </c>
      <c r="F84" s="1344" t="s">
        <v>1450</v>
      </c>
      <c r="G84" s="1344">
        <v>49</v>
      </c>
      <c r="H84" s="1344" t="s">
        <v>1426</v>
      </c>
      <c r="I84" s="1344" t="s">
        <v>1451</v>
      </c>
      <c r="J84" s="1345" t="s">
        <v>1452</v>
      </c>
    </row>
    <row r="85" spans="5:10" x14ac:dyDescent="0.25">
      <c r="E85" s="1343" t="s">
        <v>1424</v>
      </c>
      <c r="F85" s="1344" t="s">
        <v>1453</v>
      </c>
      <c r="G85" s="1344">
        <v>44</v>
      </c>
      <c r="H85" s="1344" t="s">
        <v>1426</v>
      </c>
      <c r="I85" s="1344" t="s">
        <v>1454</v>
      </c>
      <c r="J85" s="1345" t="s">
        <v>1455</v>
      </c>
    </row>
    <row r="86" spans="5:10" x14ac:dyDescent="0.25">
      <c r="E86" s="1343" t="s">
        <v>1424</v>
      </c>
      <c r="F86" s="1344" t="s">
        <v>1456</v>
      </c>
      <c r="G86" s="1344">
        <v>43</v>
      </c>
      <c r="H86" s="1344" t="s">
        <v>1426</v>
      </c>
      <c r="I86" s="1344" t="s">
        <v>1457</v>
      </c>
      <c r="J86" s="1345" t="s">
        <v>1458</v>
      </c>
    </row>
    <row r="87" spans="5:10" x14ac:dyDescent="0.25">
      <c r="E87" s="1343" t="s">
        <v>1424</v>
      </c>
      <c r="F87" s="1344" t="s">
        <v>1459</v>
      </c>
      <c r="G87" s="1344">
        <v>38</v>
      </c>
      <c r="H87" s="1344" t="s">
        <v>1426</v>
      </c>
      <c r="I87" s="1344" t="s">
        <v>1460</v>
      </c>
      <c r="J87" s="1345" t="s">
        <v>1461</v>
      </c>
    </row>
    <row r="88" spans="5:10" x14ac:dyDescent="0.25">
      <c r="E88" s="1343" t="s">
        <v>1424</v>
      </c>
      <c r="F88" s="1344" t="s">
        <v>1462</v>
      </c>
      <c r="G88" s="1344">
        <v>41</v>
      </c>
      <c r="H88" s="1344" t="s">
        <v>1426</v>
      </c>
      <c r="I88" s="1344" t="s">
        <v>1463</v>
      </c>
      <c r="J88" s="1345" t="s">
        <v>1464</v>
      </c>
    </row>
    <row r="89" spans="5:10" x14ac:dyDescent="0.25">
      <c r="E89" s="1343" t="s">
        <v>1424</v>
      </c>
      <c r="F89" s="1344" t="s">
        <v>1465</v>
      </c>
      <c r="G89" s="1344">
        <v>46</v>
      </c>
      <c r="H89" s="1344" t="s">
        <v>1426</v>
      </c>
      <c r="I89" s="1344" t="s">
        <v>1466</v>
      </c>
      <c r="J89" s="1345" t="s">
        <v>1467</v>
      </c>
    </row>
    <row r="90" spans="5:10" x14ac:dyDescent="0.25">
      <c r="E90" s="1343" t="s">
        <v>1424</v>
      </c>
      <c r="F90" s="1344" t="s">
        <v>1468</v>
      </c>
      <c r="G90" s="1344">
        <v>45</v>
      </c>
      <c r="H90" s="1344" t="s">
        <v>1426</v>
      </c>
      <c r="I90" s="1344" t="s">
        <v>1469</v>
      </c>
      <c r="J90" s="1345" t="s">
        <v>1470</v>
      </c>
    </row>
    <row r="91" spans="5:10" x14ac:dyDescent="0.25">
      <c r="E91" s="1343" t="s">
        <v>1471</v>
      </c>
      <c r="F91" s="1344" t="s">
        <v>1472</v>
      </c>
      <c r="G91" s="1344">
        <v>91</v>
      </c>
      <c r="H91" s="1344" t="s">
        <v>1363</v>
      </c>
      <c r="I91" s="1344" t="s">
        <v>1473</v>
      </c>
      <c r="J91" s="1345" t="s">
        <v>1474</v>
      </c>
    </row>
    <row r="92" spans="5:10" x14ac:dyDescent="0.25">
      <c r="E92" s="1343" t="s">
        <v>1471</v>
      </c>
      <c r="F92" s="1344" t="s">
        <v>1475</v>
      </c>
      <c r="G92" s="1344">
        <v>92</v>
      </c>
      <c r="H92" s="1344" t="s">
        <v>1363</v>
      </c>
      <c r="I92" s="1344" t="s">
        <v>1476</v>
      </c>
      <c r="J92" s="1345" t="s">
        <v>1477</v>
      </c>
    </row>
    <row r="93" spans="5:10" x14ac:dyDescent="0.25">
      <c r="E93" s="1343" t="s">
        <v>1471</v>
      </c>
      <c r="F93" s="1344" t="s">
        <v>1478</v>
      </c>
      <c r="G93" s="1344">
        <v>90</v>
      </c>
      <c r="H93" s="1344" t="s">
        <v>1363</v>
      </c>
      <c r="I93" s="1344" t="s">
        <v>1479</v>
      </c>
      <c r="J93" s="1345" t="s">
        <v>1480</v>
      </c>
    </row>
    <row r="94" spans="5:10" x14ac:dyDescent="0.25">
      <c r="E94" s="1343" t="s">
        <v>1471</v>
      </c>
      <c r="F94" s="1344" t="s">
        <v>1481</v>
      </c>
      <c r="G94" s="1344">
        <v>93</v>
      </c>
      <c r="H94" s="1344" t="s">
        <v>1363</v>
      </c>
      <c r="I94" s="1344" t="s">
        <v>1482</v>
      </c>
      <c r="J94" s="1345" t="s">
        <v>1483</v>
      </c>
    </row>
    <row r="95" spans="5:10" x14ac:dyDescent="0.25">
      <c r="E95" s="1343" t="s">
        <v>1471</v>
      </c>
      <c r="F95" s="1344" t="s">
        <v>1484</v>
      </c>
      <c r="G95" s="1344">
        <v>94</v>
      </c>
      <c r="H95" s="1344" t="s">
        <v>1363</v>
      </c>
      <c r="I95" s="1344" t="s">
        <v>1485</v>
      </c>
      <c r="J95" s="1345" t="s">
        <v>1486</v>
      </c>
    </row>
    <row r="96" spans="5:10" x14ac:dyDescent="0.25">
      <c r="E96" s="1343" t="s">
        <v>1471</v>
      </c>
      <c r="F96" s="1344" t="s">
        <v>1487</v>
      </c>
      <c r="G96" s="1344">
        <v>88</v>
      </c>
      <c r="H96" s="1344" t="s">
        <v>1363</v>
      </c>
      <c r="I96" s="1344" t="s">
        <v>1488</v>
      </c>
      <c r="J96" s="1345" t="s">
        <v>1489</v>
      </c>
    </row>
    <row r="97" spans="5:10" x14ac:dyDescent="0.25">
      <c r="E97" s="1343" t="s">
        <v>1471</v>
      </c>
      <c r="F97" s="1344" t="s">
        <v>1490</v>
      </c>
      <c r="G97" s="1344">
        <v>89</v>
      </c>
      <c r="H97" s="1344" t="s">
        <v>1363</v>
      </c>
      <c r="I97" s="1344" t="s">
        <v>1491</v>
      </c>
      <c r="J97" s="1345" t="s">
        <v>1492</v>
      </c>
    </row>
    <row r="98" spans="5:10" x14ac:dyDescent="0.25">
      <c r="E98" s="1343" t="s">
        <v>1471</v>
      </c>
      <c r="F98" s="1344" t="s">
        <v>1493</v>
      </c>
      <c r="G98" s="1344">
        <v>87</v>
      </c>
      <c r="H98" s="1344" t="s">
        <v>1363</v>
      </c>
      <c r="I98" s="1344" t="s">
        <v>1494</v>
      </c>
      <c r="J98" s="1345" t="s">
        <v>1495</v>
      </c>
    </row>
    <row r="99" spans="5:10" x14ac:dyDescent="0.25">
      <c r="E99" s="1343" t="s">
        <v>1496</v>
      </c>
      <c r="F99" s="1344" t="s">
        <v>1497</v>
      </c>
      <c r="G99" s="1344">
        <v>53</v>
      </c>
      <c r="H99" s="1344" t="s">
        <v>1498</v>
      </c>
      <c r="I99" s="1344" t="s">
        <v>1498</v>
      </c>
      <c r="J99" s="1345" t="s">
        <v>1499</v>
      </c>
    </row>
    <row r="100" spans="5:10" x14ac:dyDescent="0.25">
      <c r="E100" s="1343" t="s">
        <v>1500</v>
      </c>
      <c r="F100" s="1344" t="s">
        <v>1501</v>
      </c>
      <c r="G100" s="1344">
        <v>99</v>
      </c>
      <c r="H100" s="1344" t="s">
        <v>1502</v>
      </c>
      <c r="I100" s="1344" t="s">
        <v>1503</v>
      </c>
      <c r="J100" s="1345" t="s">
        <v>1504</v>
      </c>
    </row>
    <row r="101" spans="5:10" x14ac:dyDescent="0.25">
      <c r="E101" s="1343" t="s">
        <v>1500</v>
      </c>
      <c r="F101" s="1344" t="s">
        <v>1505</v>
      </c>
      <c r="G101" s="1344">
        <v>102</v>
      </c>
      <c r="H101" s="1344" t="s">
        <v>1502</v>
      </c>
      <c r="I101" s="1344" t="s">
        <v>1506</v>
      </c>
      <c r="J101" s="1345" t="s">
        <v>1507</v>
      </c>
    </row>
    <row r="102" spans="5:10" x14ac:dyDescent="0.25">
      <c r="E102" s="1343" t="s">
        <v>1500</v>
      </c>
      <c r="F102" s="1344" t="s">
        <v>1508</v>
      </c>
      <c r="G102" s="1344">
        <v>101</v>
      </c>
      <c r="H102" s="1344" t="s">
        <v>1502</v>
      </c>
      <c r="I102" s="1344" t="s">
        <v>1509</v>
      </c>
      <c r="J102" s="1345" t="s">
        <v>1510</v>
      </c>
    </row>
    <row r="103" spans="5:10" x14ac:dyDescent="0.25">
      <c r="E103" s="1343" t="s">
        <v>1500</v>
      </c>
      <c r="F103" s="1344" t="s">
        <v>1511</v>
      </c>
      <c r="G103" s="1344">
        <v>100</v>
      </c>
      <c r="H103" s="1344" t="s">
        <v>1502</v>
      </c>
      <c r="I103" s="1344" t="s">
        <v>1512</v>
      </c>
      <c r="J103" s="1345" t="s">
        <v>1513</v>
      </c>
    </row>
    <row r="104" spans="5:10" x14ac:dyDescent="0.25">
      <c r="E104" s="1343" t="s">
        <v>1514</v>
      </c>
      <c r="F104" s="1344" t="s">
        <v>1515</v>
      </c>
      <c r="G104" s="1344">
        <v>81</v>
      </c>
      <c r="H104" s="1344" t="s">
        <v>1516</v>
      </c>
      <c r="I104" s="1344" t="s">
        <v>1517</v>
      </c>
      <c r="J104" s="1345" t="s">
        <v>1518</v>
      </c>
    </row>
    <row r="105" spans="5:10" x14ac:dyDescent="0.25">
      <c r="E105" s="1343" t="s">
        <v>1514</v>
      </c>
      <c r="F105" s="1344" t="s">
        <v>1519</v>
      </c>
      <c r="G105" s="1344">
        <v>80</v>
      </c>
      <c r="H105" s="1344" t="s">
        <v>1516</v>
      </c>
      <c r="I105" s="1344" t="s">
        <v>1520</v>
      </c>
      <c r="J105" s="1345" t="s">
        <v>1521</v>
      </c>
    </row>
    <row r="106" spans="5:10" x14ac:dyDescent="0.25">
      <c r="E106" s="1343" t="s">
        <v>1514</v>
      </c>
      <c r="F106" s="1344" t="s">
        <v>1522</v>
      </c>
      <c r="G106" s="1344">
        <v>82</v>
      </c>
      <c r="H106" s="1344" t="s">
        <v>1516</v>
      </c>
      <c r="I106" s="1344" t="s">
        <v>1523</v>
      </c>
      <c r="J106" s="1345" t="s">
        <v>1524</v>
      </c>
    </row>
    <row r="107" spans="5:10" x14ac:dyDescent="0.25">
      <c r="E107" s="1343" t="s">
        <v>1514</v>
      </c>
      <c r="F107" s="1344" t="s">
        <v>1525</v>
      </c>
      <c r="G107" s="1344">
        <v>83</v>
      </c>
      <c r="H107" s="1344" t="s">
        <v>1516</v>
      </c>
      <c r="I107" s="1344" t="s">
        <v>1526</v>
      </c>
      <c r="J107" s="1345" t="s">
        <v>1527</v>
      </c>
    </row>
    <row r="108" spans="5:10" x14ac:dyDescent="0.25">
      <c r="E108" s="1343" t="s">
        <v>1514</v>
      </c>
      <c r="F108" s="1344" t="s">
        <v>1528</v>
      </c>
      <c r="G108" s="1344">
        <v>86</v>
      </c>
      <c r="H108" s="1344" t="s">
        <v>1516</v>
      </c>
      <c r="I108" s="1344" t="s">
        <v>1529</v>
      </c>
      <c r="J108" s="1345" t="s">
        <v>1530</v>
      </c>
    </row>
    <row r="109" spans="5:10" x14ac:dyDescent="0.25">
      <c r="E109" s="1343" t="s">
        <v>1514</v>
      </c>
      <c r="F109" s="1344" t="s">
        <v>1531</v>
      </c>
      <c r="G109" s="1344">
        <v>74</v>
      </c>
      <c r="H109" s="1344" t="s">
        <v>1516</v>
      </c>
      <c r="I109" s="1344" t="s">
        <v>1532</v>
      </c>
      <c r="J109" s="1345" t="s">
        <v>1533</v>
      </c>
    </row>
    <row r="110" spans="5:10" x14ac:dyDescent="0.25">
      <c r="E110" s="1343" t="s">
        <v>1514</v>
      </c>
      <c r="F110" s="1344" t="s">
        <v>1534</v>
      </c>
      <c r="G110" s="1344">
        <v>73</v>
      </c>
      <c r="H110" s="1344" t="s">
        <v>1516</v>
      </c>
      <c r="I110" s="1344" t="s">
        <v>1535</v>
      </c>
      <c r="J110" s="1345" t="s">
        <v>1536</v>
      </c>
    </row>
    <row r="111" spans="5:10" x14ac:dyDescent="0.25">
      <c r="E111" s="1343" t="s">
        <v>1514</v>
      </c>
      <c r="F111" s="1344" t="s">
        <v>1537</v>
      </c>
      <c r="G111" s="1344">
        <v>75</v>
      </c>
      <c r="H111" s="1344" t="s">
        <v>1516</v>
      </c>
      <c r="I111" s="1344" t="s">
        <v>1538</v>
      </c>
      <c r="J111" s="1345" t="s">
        <v>1539</v>
      </c>
    </row>
    <row r="112" spans="5:10" x14ac:dyDescent="0.25">
      <c r="E112" s="1343" t="s">
        <v>1514</v>
      </c>
      <c r="F112" s="1344" t="s">
        <v>1540</v>
      </c>
      <c r="G112" s="1344">
        <v>84</v>
      </c>
      <c r="H112" s="1344" t="s">
        <v>1516</v>
      </c>
      <c r="I112" s="1344" t="s">
        <v>1541</v>
      </c>
      <c r="J112" s="1345" t="s">
        <v>1542</v>
      </c>
    </row>
    <row r="113" spans="5:10" x14ac:dyDescent="0.25">
      <c r="E113" s="1343" t="s">
        <v>1514</v>
      </c>
      <c r="F113" s="1344" t="s">
        <v>1543</v>
      </c>
      <c r="G113" s="1344">
        <v>85</v>
      </c>
      <c r="H113" s="1344" t="s">
        <v>1516</v>
      </c>
      <c r="I113" s="1344" t="s">
        <v>1544</v>
      </c>
      <c r="J113" s="1345" t="s">
        <v>1545</v>
      </c>
    </row>
    <row r="114" spans="5:10" x14ac:dyDescent="0.25">
      <c r="E114" s="1343" t="s">
        <v>1514</v>
      </c>
      <c r="F114" s="1344" t="s">
        <v>1546</v>
      </c>
      <c r="G114" s="1344">
        <v>77</v>
      </c>
      <c r="H114" s="1344" t="s">
        <v>1516</v>
      </c>
      <c r="I114" s="1344" t="s">
        <v>1547</v>
      </c>
      <c r="J114" s="1345" t="s">
        <v>1548</v>
      </c>
    </row>
    <row r="115" spans="5:10" x14ac:dyDescent="0.25">
      <c r="E115" s="1343" t="s">
        <v>1514</v>
      </c>
      <c r="F115" s="1344" t="s">
        <v>1549</v>
      </c>
      <c r="G115" s="1344">
        <v>76</v>
      </c>
      <c r="H115" s="1344" t="s">
        <v>1516</v>
      </c>
      <c r="I115" s="1344" t="s">
        <v>1550</v>
      </c>
      <c r="J115" s="1345" t="s">
        <v>1551</v>
      </c>
    </row>
    <row r="116" spans="5:10" x14ac:dyDescent="0.25">
      <c r="E116" s="1343" t="s">
        <v>1514</v>
      </c>
      <c r="F116" s="1344" t="s">
        <v>1552</v>
      </c>
      <c r="G116" s="1344">
        <v>79</v>
      </c>
      <c r="H116" s="1344" t="s">
        <v>1516</v>
      </c>
      <c r="I116" s="1344" t="s">
        <v>1553</v>
      </c>
      <c r="J116" s="1345" t="s">
        <v>1554</v>
      </c>
    </row>
    <row r="117" spans="5:10" x14ac:dyDescent="0.25">
      <c r="E117" s="1343" t="s">
        <v>1514</v>
      </c>
      <c r="F117" s="1344" t="s">
        <v>1555</v>
      </c>
      <c r="G117" s="1344">
        <v>78</v>
      </c>
      <c r="H117" s="1344" t="s">
        <v>1516</v>
      </c>
      <c r="I117" s="1344" t="s">
        <v>1556</v>
      </c>
      <c r="J117" s="1345" t="s">
        <v>1557</v>
      </c>
    </row>
    <row r="118" spans="5:10" x14ac:dyDescent="0.25">
      <c r="E118" s="1343" t="s">
        <v>1558</v>
      </c>
      <c r="F118" s="1344" t="s">
        <v>1559</v>
      </c>
      <c r="G118" s="1344">
        <v>72</v>
      </c>
      <c r="H118" s="1344" t="s">
        <v>1560</v>
      </c>
      <c r="I118" s="1344" t="s">
        <v>1561</v>
      </c>
      <c r="J118" s="1345" t="s">
        <v>1562</v>
      </c>
    </row>
    <row r="119" spans="5:10" x14ac:dyDescent="0.25">
      <c r="E119" s="1343" t="s">
        <v>1558</v>
      </c>
      <c r="F119" s="1344" t="s">
        <v>1563</v>
      </c>
      <c r="G119" s="1344">
        <v>70</v>
      </c>
      <c r="H119" s="1344" t="s">
        <v>1560</v>
      </c>
      <c r="I119" s="1344" t="s">
        <v>1564</v>
      </c>
      <c r="J119" s="1345" t="s">
        <v>1565</v>
      </c>
    </row>
    <row r="120" spans="5:10" x14ac:dyDescent="0.25">
      <c r="E120" s="1343" t="s">
        <v>1558</v>
      </c>
      <c r="F120" s="1344" t="s">
        <v>1566</v>
      </c>
      <c r="G120" s="1344">
        <v>69</v>
      </c>
      <c r="H120" s="1344" t="s">
        <v>1560</v>
      </c>
      <c r="I120" s="1344" t="s">
        <v>1567</v>
      </c>
      <c r="J120" s="1345" t="s">
        <v>1568</v>
      </c>
    </row>
    <row r="121" spans="5:10" x14ac:dyDescent="0.25">
      <c r="E121" s="1343" t="s">
        <v>1558</v>
      </c>
      <c r="F121" s="1344" t="s">
        <v>1569</v>
      </c>
      <c r="G121" s="1344">
        <v>71</v>
      </c>
      <c r="H121" s="1344" t="s">
        <v>1560</v>
      </c>
      <c r="I121" s="1344" t="s">
        <v>1570</v>
      </c>
      <c r="J121" s="1345" t="s">
        <v>1571</v>
      </c>
    </row>
    <row r="122" spans="5:10" x14ac:dyDescent="0.25">
      <c r="E122" s="1343" t="s">
        <v>1558</v>
      </c>
      <c r="F122" s="1344" t="s">
        <v>1572</v>
      </c>
      <c r="G122" s="1344">
        <v>68</v>
      </c>
      <c r="H122" s="1344" t="s">
        <v>1560</v>
      </c>
      <c r="I122" s="1344" t="s">
        <v>1573</v>
      </c>
      <c r="J122" s="1345" t="s">
        <v>1574</v>
      </c>
    </row>
    <row r="123" spans="5:10" x14ac:dyDescent="0.25">
      <c r="E123" s="1343" t="s">
        <v>1558</v>
      </c>
      <c r="F123" s="1344" t="s">
        <v>1575</v>
      </c>
      <c r="G123" s="1344">
        <v>67</v>
      </c>
      <c r="H123" s="1344" t="s">
        <v>1560</v>
      </c>
      <c r="I123" s="1344" t="s">
        <v>1576</v>
      </c>
      <c r="J123" s="1345" t="s">
        <v>1577</v>
      </c>
    </row>
    <row r="124" spans="5:10" x14ac:dyDescent="0.25">
      <c r="E124" s="1343" t="s">
        <v>1578</v>
      </c>
      <c r="F124" s="1344" t="s">
        <v>1579</v>
      </c>
      <c r="G124" s="1344">
        <v>5</v>
      </c>
      <c r="H124" s="1344" t="s">
        <v>1580</v>
      </c>
      <c r="I124" s="1344" t="s">
        <v>1581</v>
      </c>
      <c r="J124" s="1345" t="s">
        <v>1582</v>
      </c>
    </row>
    <row r="125" spans="5:10" x14ac:dyDescent="0.25">
      <c r="E125" s="1343" t="s">
        <v>1578</v>
      </c>
      <c r="F125" s="1344" t="s">
        <v>1583</v>
      </c>
      <c r="G125" s="1344">
        <v>6</v>
      </c>
      <c r="H125" s="1344" t="s">
        <v>1580</v>
      </c>
      <c r="I125" s="1344" t="s">
        <v>1230</v>
      </c>
      <c r="J125" s="1345" t="s">
        <v>1584</v>
      </c>
    </row>
    <row r="126" spans="5:10" x14ac:dyDescent="0.25">
      <c r="E126" s="1343" t="s">
        <v>1578</v>
      </c>
      <c r="F126" s="1344" t="s">
        <v>1585</v>
      </c>
      <c r="G126" s="1344">
        <v>7</v>
      </c>
      <c r="H126" s="1344" t="s">
        <v>1580</v>
      </c>
      <c r="I126" s="1344" t="s">
        <v>1586</v>
      </c>
      <c r="J126" s="1345" t="s">
        <v>1587</v>
      </c>
    </row>
    <row r="127" spans="5:10" x14ac:dyDescent="0.25">
      <c r="E127" s="1343" t="s">
        <v>1588</v>
      </c>
      <c r="F127" s="1344" t="s">
        <v>1589</v>
      </c>
      <c r="G127" s="1344">
        <v>103</v>
      </c>
      <c r="H127" s="1344" t="s">
        <v>1590</v>
      </c>
      <c r="I127" s="1344" t="s">
        <v>1591</v>
      </c>
      <c r="J127" s="1345" t="s">
        <v>1592</v>
      </c>
    </row>
    <row r="128" spans="5:10" x14ac:dyDescent="0.25">
      <c r="E128" s="1343" t="s">
        <v>1593</v>
      </c>
      <c r="F128" s="1344" t="s">
        <v>1594</v>
      </c>
      <c r="G128" s="1344">
        <v>98</v>
      </c>
      <c r="H128" s="1344" t="s">
        <v>1595</v>
      </c>
      <c r="I128" s="1344" t="s">
        <v>1596</v>
      </c>
      <c r="J128" s="1345" t="s">
        <v>1597</v>
      </c>
    </row>
    <row r="129" spans="5:10" x14ac:dyDescent="0.25">
      <c r="E129" s="1343" t="s">
        <v>1598</v>
      </c>
      <c r="F129" s="1344" t="s">
        <v>1599</v>
      </c>
      <c r="G129" s="1344">
        <v>8</v>
      </c>
      <c r="H129" s="1344" t="s">
        <v>1600</v>
      </c>
      <c r="I129" s="1344" t="s">
        <v>1601</v>
      </c>
      <c r="J129" s="1345" t="s">
        <v>1602</v>
      </c>
    </row>
    <row r="130" spans="5:10" x14ac:dyDescent="0.25">
      <c r="E130" s="1346" t="s">
        <v>1598</v>
      </c>
      <c r="F130" s="1347" t="s">
        <v>1603</v>
      </c>
      <c r="G130" s="1347">
        <v>9</v>
      </c>
      <c r="H130" s="1347" t="s">
        <v>1600</v>
      </c>
      <c r="I130" s="1347" t="s">
        <v>1604</v>
      </c>
      <c r="J130" s="1348" t="s">
        <v>1605</v>
      </c>
    </row>
    <row r="131" spans="5:10" x14ac:dyDescent="0.25">
      <c r="E131" s="1343" t="s">
        <v>1606</v>
      </c>
      <c r="F131" s="1344" t="s">
        <v>1606</v>
      </c>
      <c r="G131" s="1344"/>
      <c r="H131" s="1344" t="s">
        <v>1606</v>
      </c>
      <c r="I131" s="1344" t="s">
        <v>1606</v>
      </c>
      <c r="J131" s="1345" t="s">
        <v>1607</v>
      </c>
    </row>
    <row r="132" spans="5:10" x14ac:dyDescent="0.25">
      <c r="E132" s="1346" t="s">
        <v>761</v>
      </c>
      <c r="F132" s="1347" t="s">
        <v>761</v>
      </c>
      <c r="G132" s="1347" t="s">
        <v>761</v>
      </c>
      <c r="H132" s="1347" t="s">
        <v>761</v>
      </c>
      <c r="I132" s="1347" t="s">
        <v>761</v>
      </c>
      <c r="J132" s="1348" t="s">
        <v>761</v>
      </c>
    </row>
    <row r="133" spans="5:10" x14ac:dyDescent="0.25">
      <c r="E133" s="1346" t="s">
        <v>761</v>
      </c>
      <c r="F133" s="1347" t="s">
        <v>761</v>
      </c>
      <c r="G133" s="1347" t="s">
        <v>761</v>
      </c>
      <c r="H133" s="1347" t="s">
        <v>761</v>
      </c>
      <c r="I133" s="1347" t="s">
        <v>761</v>
      </c>
      <c r="J133" s="1348" t="s">
        <v>761</v>
      </c>
    </row>
  </sheetData>
  <phoneticPr fontId="38"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78"/>
  <sheetViews>
    <sheetView topLeftCell="D25" zoomScale="80" zoomScaleNormal="80" workbookViewId="0">
      <selection activeCell="I74" sqref="I74"/>
    </sheetView>
  </sheetViews>
  <sheetFormatPr defaultColWidth="8.81640625" defaultRowHeight="13.8" x14ac:dyDescent="0.25"/>
  <cols>
    <col min="1" max="1" width="2.1796875" style="7" customWidth="1"/>
    <col min="2" max="2" width="22.81640625" style="7" customWidth="1"/>
    <col min="3" max="3" width="18.08984375" style="7" customWidth="1"/>
    <col min="4" max="4" width="23.1796875" style="7" customWidth="1"/>
    <col min="5" max="5" width="29.81640625" style="7" bestFit="1" customWidth="1"/>
    <col min="6" max="6" width="32" style="7" customWidth="1"/>
    <col min="7" max="7" width="23.54296875" style="7" customWidth="1"/>
    <col min="8" max="8" width="16.54296875" style="7" customWidth="1"/>
    <col min="9" max="10" width="26.81640625" style="7" customWidth="1"/>
    <col min="11" max="11" width="32.81640625" style="7" customWidth="1"/>
    <col min="12" max="12" width="103.36328125" style="7" customWidth="1"/>
    <col min="13" max="256" width="8.81640625" style="7"/>
    <col min="257" max="257" width="1.453125" style="7" customWidth="1"/>
    <col min="258" max="258" width="3.81640625" style="7" customWidth="1"/>
    <col min="259" max="259" width="17.08984375" style="7" customWidth="1"/>
    <col min="260" max="260" width="16.1796875" style="7" customWidth="1"/>
    <col min="261" max="261" width="23.1796875" style="7" customWidth="1"/>
    <col min="262" max="262" width="29.81640625" style="7" bestFit="1" customWidth="1"/>
    <col min="263" max="263" width="16.08984375" style="7" customWidth="1"/>
    <col min="264" max="264" width="16.54296875" style="7" customWidth="1"/>
    <col min="265" max="265" width="16.453125" style="7" customWidth="1"/>
    <col min="266" max="266" width="36.81640625" style="7" customWidth="1"/>
    <col min="267" max="267" width="8.81640625" style="7"/>
    <col min="268" max="268" width="2" style="7" customWidth="1"/>
    <col min="269" max="512" width="8.81640625" style="7"/>
    <col min="513" max="513" width="1.453125" style="7" customWidth="1"/>
    <col min="514" max="514" width="3.81640625" style="7" customWidth="1"/>
    <col min="515" max="515" width="17.08984375" style="7" customWidth="1"/>
    <col min="516" max="516" width="16.1796875" style="7" customWidth="1"/>
    <col min="517" max="517" width="23.1796875" style="7" customWidth="1"/>
    <col min="518" max="518" width="29.81640625" style="7" bestFit="1" customWidth="1"/>
    <col min="519" max="519" width="16.08984375" style="7" customWidth="1"/>
    <col min="520" max="520" width="16.54296875" style="7" customWidth="1"/>
    <col min="521" max="521" width="16.453125" style="7" customWidth="1"/>
    <col min="522" max="522" width="36.81640625" style="7" customWidth="1"/>
    <col min="523" max="523" width="8.81640625" style="7"/>
    <col min="524" max="524" width="2" style="7" customWidth="1"/>
    <col min="525" max="768" width="8.81640625" style="7"/>
    <col min="769" max="769" width="1.453125" style="7" customWidth="1"/>
    <col min="770" max="770" width="3.81640625" style="7" customWidth="1"/>
    <col min="771" max="771" width="17.08984375" style="7" customWidth="1"/>
    <col min="772" max="772" width="16.1796875" style="7" customWidth="1"/>
    <col min="773" max="773" width="23.1796875" style="7" customWidth="1"/>
    <col min="774" max="774" width="29.81640625" style="7" bestFit="1" customWidth="1"/>
    <col min="775" max="775" width="16.08984375" style="7" customWidth="1"/>
    <col min="776" max="776" width="16.54296875" style="7" customWidth="1"/>
    <col min="777" max="777" width="16.453125" style="7" customWidth="1"/>
    <col min="778" max="778" width="36.81640625" style="7" customWidth="1"/>
    <col min="779" max="779" width="8.81640625" style="7"/>
    <col min="780" max="780" width="2" style="7" customWidth="1"/>
    <col min="781" max="1024" width="8.81640625" style="7"/>
    <col min="1025" max="1025" width="1.453125" style="7" customWidth="1"/>
    <col min="1026" max="1026" width="3.81640625" style="7" customWidth="1"/>
    <col min="1027" max="1027" width="17.08984375" style="7" customWidth="1"/>
    <col min="1028" max="1028" width="16.1796875" style="7" customWidth="1"/>
    <col min="1029" max="1029" width="23.1796875" style="7" customWidth="1"/>
    <col min="1030" max="1030" width="29.81640625" style="7" bestFit="1" customWidth="1"/>
    <col min="1031" max="1031" width="16.08984375" style="7" customWidth="1"/>
    <col min="1032" max="1032" width="16.54296875" style="7" customWidth="1"/>
    <col min="1033" max="1033" width="16.453125" style="7" customWidth="1"/>
    <col min="1034" max="1034" width="36.81640625" style="7" customWidth="1"/>
    <col min="1035" max="1035" width="8.81640625" style="7"/>
    <col min="1036" max="1036" width="2" style="7" customWidth="1"/>
    <col min="1037" max="1280" width="8.81640625" style="7"/>
    <col min="1281" max="1281" width="1.453125" style="7" customWidth="1"/>
    <col min="1282" max="1282" width="3.81640625" style="7" customWidth="1"/>
    <col min="1283" max="1283" width="17.08984375" style="7" customWidth="1"/>
    <col min="1284" max="1284" width="16.1796875" style="7" customWidth="1"/>
    <col min="1285" max="1285" width="23.1796875" style="7" customWidth="1"/>
    <col min="1286" max="1286" width="29.81640625" style="7" bestFit="1" customWidth="1"/>
    <col min="1287" max="1287" width="16.08984375" style="7" customWidth="1"/>
    <col min="1288" max="1288" width="16.54296875" style="7" customWidth="1"/>
    <col min="1289" max="1289" width="16.453125" style="7" customWidth="1"/>
    <col min="1290" max="1290" width="36.81640625" style="7" customWidth="1"/>
    <col min="1291" max="1291" width="8.81640625" style="7"/>
    <col min="1292" max="1292" width="2" style="7" customWidth="1"/>
    <col min="1293" max="1536" width="8.81640625" style="7"/>
    <col min="1537" max="1537" width="1.453125" style="7" customWidth="1"/>
    <col min="1538" max="1538" width="3.81640625" style="7" customWidth="1"/>
    <col min="1539" max="1539" width="17.08984375" style="7" customWidth="1"/>
    <col min="1540" max="1540" width="16.1796875" style="7" customWidth="1"/>
    <col min="1541" max="1541" width="23.1796875" style="7" customWidth="1"/>
    <col min="1542" max="1542" width="29.81640625" style="7" bestFit="1" customWidth="1"/>
    <col min="1543" max="1543" width="16.08984375" style="7" customWidth="1"/>
    <col min="1544" max="1544" width="16.54296875" style="7" customWidth="1"/>
    <col min="1545" max="1545" width="16.453125" style="7" customWidth="1"/>
    <col min="1546" max="1546" width="36.81640625" style="7" customWidth="1"/>
    <col min="1547" max="1547" width="8.81640625" style="7"/>
    <col min="1548" max="1548" width="2" style="7" customWidth="1"/>
    <col min="1549" max="1792" width="8.81640625" style="7"/>
    <col min="1793" max="1793" width="1.453125" style="7" customWidth="1"/>
    <col min="1794" max="1794" width="3.81640625" style="7" customWidth="1"/>
    <col min="1795" max="1795" width="17.08984375" style="7" customWidth="1"/>
    <col min="1796" max="1796" width="16.1796875" style="7" customWidth="1"/>
    <col min="1797" max="1797" width="23.1796875" style="7" customWidth="1"/>
    <col min="1798" max="1798" width="29.81640625" style="7" bestFit="1" customWidth="1"/>
    <col min="1799" max="1799" width="16.08984375" style="7" customWidth="1"/>
    <col min="1800" max="1800" width="16.54296875" style="7" customWidth="1"/>
    <col min="1801" max="1801" width="16.453125" style="7" customWidth="1"/>
    <col min="1802" max="1802" width="36.81640625" style="7" customWidth="1"/>
    <col min="1803" max="1803" width="8.81640625" style="7"/>
    <col min="1804" max="1804" width="2" style="7" customWidth="1"/>
    <col min="1805" max="2048" width="8.81640625" style="7"/>
    <col min="2049" max="2049" width="1.453125" style="7" customWidth="1"/>
    <col min="2050" max="2050" width="3.81640625" style="7" customWidth="1"/>
    <col min="2051" max="2051" width="17.08984375" style="7" customWidth="1"/>
    <col min="2052" max="2052" width="16.1796875" style="7" customWidth="1"/>
    <col min="2053" max="2053" width="23.1796875" style="7" customWidth="1"/>
    <col min="2054" max="2054" width="29.81640625" style="7" bestFit="1" customWidth="1"/>
    <col min="2055" max="2055" width="16.08984375" style="7" customWidth="1"/>
    <col min="2056" max="2056" width="16.54296875" style="7" customWidth="1"/>
    <col min="2057" max="2057" width="16.453125" style="7" customWidth="1"/>
    <col min="2058" max="2058" width="36.81640625" style="7" customWidth="1"/>
    <col min="2059" max="2059" width="8.81640625" style="7"/>
    <col min="2060" max="2060" width="2" style="7" customWidth="1"/>
    <col min="2061" max="2304" width="8.81640625" style="7"/>
    <col min="2305" max="2305" width="1.453125" style="7" customWidth="1"/>
    <col min="2306" max="2306" width="3.81640625" style="7" customWidth="1"/>
    <col min="2307" max="2307" width="17.08984375" style="7" customWidth="1"/>
    <col min="2308" max="2308" width="16.1796875" style="7" customWidth="1"/>
    <col min="2309" max="2309" width="23.1796875" style="7" customWidth="1"/>
    <col min="2310" max="2310" width="29.81640625" style="7" bestFit="1" customWidth="1"/>
    <col min="2311" max="2311" width="16.08984375" style="7" customWidth="1"/>
    <col min="2312" max="2312" width="16.54296875" style="7" customWidth="1"/>
    <col min="2313" max="2313" width="16.453125" style="7" customWidth="1"/>
    <col min="2314" max="2314" width="36.81640625" style="7" customWidth="1"/>
    <col min="2315" max="2315" width="8.81640625" style="7"/>
    <col min="2316" max="2316" width="2" style="7" customWidth="1"/>
    <col min="2317" max="2560" width="8.81640625" style="7"/>
    <col min="2561" max="2561" width="1.453125" style="7" customWidth="1"/>
    <col min="2562" max="2562" width="3.81640625" style="7" customWidth="1"/>
    <col min="2563" max="2563" width="17.08984375" style="7" customWidth="1"/>
    <col min="2564" max="2564" width="16.1796875" style="7" customWidth="1"/>
    <col min="2565" max="2565" width="23.1796875" style="7" customWidth="1"/>
    <col min="2566" max="2566" width="29.81640625" style="7" bestFit="1" customWidth="1"/>
    <col min="2567" max="2567" width="16.08984375" style="7" customWidth="1"/>
    <col min="2568" max="2568" width="16.54296875" style="7" customWidth="1"/>
    <col min="2569" max="2569" width="16.453125" style="7" customWidth="1"/>
    <col min="2570" max="2570" width="36.81640625" style="7" customWidth="1"/>
    <col min="2571" max="2571" width="8.81640625" style="7"/>
    <col min="2572" max="2572" width="2" style="7" customWidth="1"/>
    <col min="2573" max="2816" width="8.81640625" style="7"/>
    <col min="2817" max="2817" width="1.453125" style="7" customWidth="1"/>
    <col min="2818" max="2818" width="3.81640625" style="7" customWidth="1"/>
    <col min="2819" max="2819" width="17.08984375" style="7" customWidth="1"/>
    <col min="2820" max="2820" width="16.1796875" style="7" customWidth="1"/>
    <col min="2821" max="2821" width="23.1796875" style="7" customWidth="1"/>
    <col min="2822" max="2822" width="29.81640625" style="7" bestFit="1" customWidth="1"/>
    <col min="2823" max="2823" width="16.08984375" style="7" customWidth="1"/>
    <col min="2824" max="2824" width="16.54296875" style="7" customWidth="1"/>
    <col min="2825" max="2825" width="16.453125" style="7" customWidth="1"/>
    <col min="2826" max="2826" width="36.81640625" style="7" customWidth="1"/>
    <col min="2827" max="2827" width="8.81640625" style="7"/>
    <col min="2828" max="2828" width="2" style="7" customWidth="1"/>
    <col min="2829" max="3072" width="8.81640625" style="7"/>
    <col min="3073" max="3073" width="1.453125" style="7" customWidth="1"/>
    <col min="3074" max="3074" width="3.81640625" style="7" customWidth="1"/>
    <col min="3075" max="3075" width="17.08984375" style="7" customWidth="1"/>
    <col min="3076" max="3076" width="16.1796875" style="7" customWidth="1"/>
    <col min="3077" max="3077" width="23.1796875" style="7" customWidth="1"/>
    <col min="3078" max="3078" width="29.81640625" style="7" bestFit="1" customWidth="1"/>
    <col min="3079" max="3079" width="16.08984375" style="7" customWidth="1"/>
    <col min="3080" max="3080" width="16.54296875" style="7" customWidth="1"/>
    <col min="3081" max="3081" width="16.453125" style="7" customWidth="1"/>
    <col min="3082" max="3082" width="36.81640625" style="7" customWidth="1"/>
    <col min="3083" max="3083" width="8.81640625" style="7"/>
    <col min="3084" max="3084" width="2" style="7" customWidth="1"/>
    <col min="3085" max="3328" width="8.81640625" style="7"/>
    <col min="3329" max="3329" width="1.453125" style="7" customWidth="1"/>
    <col min="3330" max="3330" width="3.81640625" style="7" customWidth="1"/>
    <col min="3331" max="3331" width="17.08984375" style="7" customWidth="1"/>
    <col min="3332" max="3332" width="16.1796875" style="7" customWidth="1"/>
    <col min="3333" max="3333" width="23.1796875" style="7" customWidth="1"/>
    <col min="3334" max="3334" width="29.81640625" style="7" bestFit="1" customWidth="1"/>
    <col min="3335" max="3335" width="16.08984375" style="7" customWidth="1"/>
    <col min="3336" max="3336" width="16.54296875" style="7" customWidth="1"/>
    <col min="3337" max="3337" width="16.453125" style="7" customWidth="1"/>
    <col min="3338" max="3338" width="36.81640625" style="7" customWidth="1"/>
    <col min="3339" max="3339" width="8.81640625" style="7"/>
    <col min="3340" max="3340" width="2" style="7" customWidth="1"/>
    <col min="3341" max="3584" width="8.81640625" style="7"/>
    <col min="3585" max="3585" width="1.453125" style="7" customWidth="1"/>
    <col min="3586" max="3586" width="3.81640625" style="7" customWidth="1"/>
    <col min="3587" max="3587" width="17.08984375" style="7" customWidth="1"/>
    <col min="3588" max="3588" width="16.1796875" style="7" customWidth="1"/>
    <col min="3589" max="3589" width="23.1796875" style="7" customWidth="1"/>
    <col min="3590" max="3590" width="29.81640625" style="7" bestFit="1" customWidth="1"/>
    <col min="3591" max="3591" width="16.08984375" style="7" customWidth="1"/>
    <col min="3592" max="3592" width="16.54296875" style="7" customWidth="1"/>
    <col min="3593" max="3593" width="16.453125" style="7" customWidth="1"/>
    <col min="3594" max="3594" width="36.81640625" style="7" customWidth="1"/>
    <col min="3595" max="3595" width="8.81640625" style="7"/>
    <col min="3596" max="3596" width="2" style="7" customWidth="1"/>
    <col min="3597" max="3840" width="8.81640625" style="7"/>
    <col min="3841" max="3841" width="1.453125" style="7" customWidth="1"/>
    <col min="3842" max="3842" width="3.81640625" style="7" customWidth="1"/>
    <col min="3843" max="3843" width="17.08984375" style="7" customWidth="1"/>
    <col min="3844" max="3844" width="16.1796875" style="7" customWidth="1"/>
    <col min="3845" max="3845" width="23.1796875" style="7" customWidth="1"/>
    <col min="3846" max="3846" width="29.81640625" style="7" bestFit="1" customWidth="1"/>
    <col min="3847" max="3847" width="16.08984375" style="7" customWidth="1"/>
    <col min="3848" max="3848" width="16.54296875" style="7" customWidth="1"/>
    <col min="3849" max="3849" width="16.453125" style="7" customWidth="1"/>
    <col min="3850" max="3850" width="36.81640625" style="7" customWidth="1"/>
    <col min="3851" max="3851" width="8.81640625" style="7"/>
    <col min="3852" max="3852" width="2" style="7" customWidth="1"/>
    <col min="3853" max="4096" width="8.81640625" style="7"/>
    <col min="4097" max="4097" width="1.453125" style="7" customWidth="1"/>
    <col min="4098" max="4098" width="3.81640625" style="7" customWidth="1"/>
    <col min="4099" max="4099" width="17.08984375" style="7" customWidth="1"/>
    <col min="4100" max="4100" width="16.1796875" style="7" customWidth="1"/>
    <col min="4101" max="4101" width="23.1796875" style="7" customWidth="1"/>
    <col min="4102" max="4102" width="29.81640625" style="7" bestFit="1" customWidth="1"/>
    <col min="4103" max="4103" width="16.08984375" style="7" customWidth="1"/>
    <col min="4104" max="4104" width="16.54296875" style="7" customWidth="1"/>
    <col min="4105" max="4105" width="16.453125" style="7" customWidth="1"/>
    <col min="4106" max="4106" width="36.81640625" style="7" customWidth="1"/>
    <col min="4107" max="4107" width="8.81640625" style="7"/>
    <col min="4108" max="4108" width="2" style="7" customWidth="1"/>
    <col min="4109" max="4352" width="8.81640625" style="7"/>
    <col min="4353" max="4353" width="1.453125" style="7" customWidth="1"/>
    <col min="4354" max="4354" width="3.81640625" style="7" customWidth="1"/>
    <col min="4355" max="4355" width="17.08984375" style="7" customWidth="1"/>
    <col min="4356" max="4356" width="16.1796875" style="7" customWidth="1"/>
    <col min="4357" max="4357" width="23.1796875" style="7" customWidth="1"/>
    <col min="4358" max="4358" width="29.81640625" style="7" bestFit="1" customWidth="1"/>
    <col min="4359" max="4359" width="16.08984375" style="7" customWidth="1"/>
    <col min="4360" max="4360" width="16.54296875" style="7" customWidth="1"/>
    <col min="4361" max="4361" width="16.453125" style="7" customWidth="1"/>
    <col min="4362" max="4362" width="36.81640625" style="7" customWidth="1"/>
    <col min="4363" max="4363" width="8.81640625" style="7"/>
    <col min="4364" max="4364" width="2" style="7" customWidth="1"/>
    <col min="4365" max="4608" width="8.81640625" style="7"/>
    <col min="4609" max="4609" width="1.453125" style="7" customWidth="1"/>
    <col min="4610" max="4610" width="3.81640625" style="7" customWidth="1"/>
    <col min="4611" max="4611" width="17.08984375" style="7" customWidth="1"/>
    <col min="4612" max="4612" width="16.1796875" style="7" customWidth="1"/>
    <col min="4613" max="4613" width="23.1796875" style="7" customWidth="1"/>
    <col min="4614" max="4614" width="29.81640625" style="7" bestFit="1" customWidth="1"/>
    <col min="4615" max="4615" width="16.08984375" style="7" customWidth="1"/>
    <col min="4616" max="4616" width="16.54296875" style="7" customWidth="1"/>
    <col min="4617" max="4617" width="16.453125" style="7" customWidth="1"/>
    <col min="4618" max="4618" width="36.81640625" style="7" customWidth="1"/>
    <col min="4619" max="4619" width="8.81640625" style="7"/>
    <col min="4620" max="4620" width="2" style="7" customWidth="1"/>
    <col min="4621" max="4864" width="8.81640625" style="7"/>
    <col min="4865" max="4865" width="1.453125" style="7" customWidth="1"/>
    <col min="4866" max="4866" width="3.81640625" style="7" customWidth="1"/>
    <col min="4867" max="4867" width="17.08984375" style="7" customWidth="1"/>
    <col min="4868" max="4868" width="16.1796875" style="7" customWidth="1"/>
    <col min="4869" max="4869" width="23.1796875" style="7" customWidth="1"/>
    <col min="4870" max="4870" width="29.81640625" style="7" bestFit="1" customWidth="1"/>
    <col min="4871" max="4871" width="16.08984375" style="7" customWidth="1"/>
    <col min="4872" max="4872" width="16.54296875" style="7" customWidth="1"/>
    <col min="4873" max="4873" width="16.453125" style="7" customWidth="1"/>
    <col min="4874" max="4874" width="36.81640625" style="7" customWidth="1"/>
    <col min="4875" max="4875" width="8.81640625" style="7"/>
    <col min="4876" max="4876" width="2" style="7" customWidth="1"/>
    <col min="4877" max="5120" width="8.81640625" style="7"/>
    <col min="5121" max="5121" width="1.453125" style="7" customWidth="1"/>
    <col min="5122" max="5122" width="3.81640625" style="7" customWidth="1"/>
    <col min="5123" max="5123" width="17.08984375" style="7" customWidth="1"/>
    <col min="5124" max="5124" width="16.1796875" style="7" customWidth="1"/>
    <col min="5125" max="5125" width="23.1796875" style="7" customWidth="1"/>
    <col min="5126" max="5126" width="29.81640625" style="7" bestFit="1" customWidth="1"/>
    <col min="5127" max="5127" width="16.08984375" style="7" customWidth="1"/>
    <col min="5128" max="5128" width="16.54296875" style="7" customWidth="1"/>
    <col min="5129" max="5129" width="16.453125" style="7" customWidth="1"/>
    <col min="5130" max="5130" width="36.81640625" style="7" customWidth="1"/>
    <col min="5131" max="5131" width="8.81640625" style="7"/>
    <col min="5132" max="5132" width="2" style="7" customWidth="1"/>
    <col min="5133" max="5376" width="8.81640625" style="7"/>
    <col min="5377" max="5377" width="1.453125" style="7" customWidth="1"/>
    <col min="5378" max="5378" width="3.81640625" style="7" customWidth="1"/>
    <col min="5379" max="5379" width="17.08984375" style="7" customWidth="1"/>
    <col min="5380" max="5380" width="16.1796875" style="7" customWidth="1"/>
    <col min="5381" max="5381" width="23.1796875" style="7" customWidth="1"/>
    <col min="5382" max="5382" width="29.81640625" style="7" bestFit="1" customWidth="1"/>
    <col min="5383" max="5383" width="16.08984375" style="7" customWidth="1"/>
    <col min="5384" max="5384" width="16.54296875" style="7" customWidth="1"/>
    <col min="5385" max="5385" width="16.453125" style="7" customWidth="1"/>
    <col min="5386" max="5386" width="36.81640625" style="7" customWidth="1"/>
    <col min="5387" max="5387" width="8.81640625" style="7"/>
    <col min="5388" max="5388" width="2" style="7" customWidth="1"/>
    <col min="5389" max="5632" width="8.81640625" style="7"/>
    <col min="5633" max="5633" width="1.453125" style="7" customWidth="1"/>
    <col min="5634" max="5634" width="3.81640625" style="7" customWidth="1"/>
    <col min="5635" max="5635" width="17.08984375" style="7" customWidth="1"/>
    <col min="5636" max="5636" width="16.1796875" style="7" customWidth="1"/>
    <col min="5637" max="5637" width="23.1796875" style="7" customWidth="1"/>
    <col min="5638" max="5638" width="29.81640625" style="7" bestFit="1" customWidth="1"/>
    <col min="5639" max="5639" width="16.08984375" style="7" customWidth="1"/>
    <col min="5640" max="5640" width="16.54296875" style="7" customWidth="1"/>
    <col min="5641" max="5641" width="16.453125" style="7" customWidth="1"/>
    <col min="5642" max="5642" width="36.81640625" style="7" customWidth="1"/>
    <col min="5643" max="5643" width="8.81640625" style="7"/>
    <col min="5644" max="5644" width="2" style="7" customWidth="1"/>
    <col min="5645" max="5888" width="8.81640625" style="7"/>
    <col min="5889" max="5889" width="1.453125" style="7" customWidth="1"/>
    <col min="5890" max="5890" width="3.81640625" style="7" customWidth="1"/>
    <col min="5891" max="5891" width="17.08984375" style="7" customWidth="1"/>
    <col min="5892" max="5892" width="16.1796875" style="7" customWidth="1"/>
    <col min="5893" max="5893" width="23.1796875" style="7" customWidth="1"/>
    <col min="5894" max="5894" width="29.81640625" style="7" bestFit="1" customWidth="1"/>
    <col min="5895" max="5895" width="16.08984375" style="7" customWidth="1"/>
    <col min="5896" max="5896" width="16.54296875" style="7" customWidth="1"/>
    <col min="5897" max="5897" width="16.453125" style="7" customWidth="1"/>
    <col min="5898" max="5898" width="36.81640625" style="7" customWidth="1"/>
    <col min="5899" max="5899" width="8.81640625" style="7"/>
    <col min="5900" max="5900" width="2" style="7" customWidth="1"/>
    <col min="5901" max="6144" width="8.81640625" style="7"/>
    <col min="6145" max="6145" width="1.453125" style="7" customWidth="1"/>
    <col min="6146" max="6146" width="3.81640625" style="7" customWidth="1"/>
    <col min="6147" max="6147" width="17.08984375" style="7" customWidth="1"/>
    <col min="6148" max="6148" width="16.1796875" style="7" customWidth="1"/>
    <col min="6149" max="6149" width="23.1796875" style="7" customWidth="1"/>
    <col min="6150" max="6150" width="29.81640625" style="7" bestFit="1" customWidth="1"/>
    <col min="6151" max="6151" width="16.08984375" style="7" customWidth="1"/>
    <col min="6152" max="6152" width="16.54296875" style="7" customWidth="1"/>
    <col min="6153" max="6153" width="16.453125" style="7" customWidth="1"/>
    <col min="6154" max="6154" width="36.81640625" style="7" customWidth="1"/>
    <col min="6155" max="6155" width="8.81640625" style="7"/>
    <col min="6156" max="6156" width="2" style="7" customWidth="1"/>
    <col min="6157" max="6400" width="8.81640625" style="7"/>
    <col min="6401" max="6401" width="1.453125" style="7" customWidth="1"/>
    <col min="6402" max="6402" width="3.81640625" style="7" customWidth="1"/>
    <col min="6403" max="6403" width="17.08984375" style="7" customWidth="1"/>
    <col min="6404" max="6404" width="16.1796875" style="7" customWidth="1"/>
    <col min="6405" max="6405" width="23.1796875" style="7" customWidth="1"/>
    <col min="6406" max="6406" width="29.81640625" style="7" bestFit="1" customWidth="1"/>
    <col min="6407" max="6407" width="16.08984375" style="7" customWidth="1"/>
    <col min="6408" max="6408" width="16.54296875" style="7" customWidth="1"/>
    <col min="6409" max="6409" width="16.453125" style="7" customWidth="1"/>
    <col min="6410" max="6410" width="36.81640625" style="7" customWidth="1"/>
    <col min="6411" max="6411" width="8.81640625" style="7"/>
    <col min="6412" max="6412" width="2" style="7" customWidth="1"/>
    <col min="6413" max="6656" width="8.81640625" style="7"/>
    <col min="6657" max="6657" width="1.453125" style="7" customWidth="1"/>
    <col min="6658" max="6658" width="3.81640625" style="7" customWidth="1"/>
    <col min="6659" max="6659" width="17.08984375" style="7" customWidth="1"/>
    <col min="6660" max="6660" width="16.1796875" style="7" customWidth="1"/>
    <col min="6661" max="6661" width="23.1796875" style="7" customWidth="1"/>
    <col min="6662" max="6662" width="29.81640625" style="7" bestFit="1" customWidth="1"/>
    <col min="6663" max="6663" width="16.08984375" style="7" customWidth="1"/>
    <col min="6664" max="6664" width="16.54296875" style="7" customWidth="1"/>
    <col min="6665" max="6665" width="16.453125" style="7" customWidth="1"/>
    <col min="6666" max="6666" width="36.81640625" style="7" customWidth="1"/>
    <col min="6667" max="6667" width="8.81640625" style="7"/>
    <col min="6668" max="6668" width="2" style="7" customWidth="1"/>
    <col min="6669" max="6912" width="8.81640625" style="7"/>
    <col min="6913" max="6913" width="1.453125" style="7" customWidth="1"/>
    <col min="6914" max="6914" width="3.81640625" style="7" customWidth="1"/>
    <col min="6915" max="6915" width="17.08984375" style="7" customWidth="1"/>
    <col min="6916" max="6916" width="16.1796875" style="7" customWidth="1"/>
    <col min="6917" max="6917" width="23.1796875" style="7" customWidth="1"/>
    <col min="6918" max="6918" width="29.81640625" style="7" bestFit="1" customWidth="1"/>
    <col min="6919" max="6919" width="16.08984375" style="7" customWidth="1"/>
    <col min="6920" max="6920" width="16.54296875" style="7" customWidth="1"/>
    <col min="6921" max="6921" width="16.453125" style="7" customWidth="1"/>
    <col min="6922" max="6922" width="36.81640625" style="7" customWidth="1"/>
    <col min="6923" max="6923" width="8.81640625" style="7"/>
    <col min="6924" max="6924" width="2" style="7" customWidth="1"/>
    <col min="6925" max="7168" width="8.81640625" style="7"/>
    <col min="7169" max="7169" width="1.453125" style="7" customWidth="1"/>
    <col min="7170" max="7170" width="3.81640625" style="7" customWidth="1"/>
    <col min="7171" max="7171" width="17.08984375" style="7" customWidth="1"/>
    <col min="7172" max="7172" width="16.1796875" style="7" customWidth="1"/>
    <col min="7173" max="7173" width="23.1796875" style="7" customWidth="1"/>
    <col min="7174" max="7174" width="29.81640625" style="7" bestFit="1" customWidth="1"/>
    <col min="7175" max="7175" width="16.08984375" style="7" customWidth="1"/>
    <col min="7176" max="7176" width="16.54296875" style="7" customWidth="1"/>
    <col min="7177" max="7177" width="16.453125" style="7" customWidth="1"/>
    <col min="7178" max="7178" width="36.81640625" style="7" customWidth="1"/>
    <col min="7179" max="7179" width="8.81640625" style="7"/>
    <col min="7180" max="7180" width="2" style="7" customWidth="1"/>
    <col min="7181" max="7424" width="8.81640625" style="7"/>
    <col min="7425" max="7425" width="1.453125" style="7" customWidth="1"/>
    <col min="7426" max="7426" width="3.81640625" style="7" customWidth="1"/>
    <col min="7427" max="7427" width="17.08984375" style="7" customWidth="1"/>
    <col min="7428" max="7428" width="16.1796875" style="7" customWidth="1"/>
    <col min="7429" max="7429" width="23.1796875" style="7" customWidth="1"/>
    <col min="7430" max="7430" width="29.81640625" style="7" bestFit="1" customWidth="1"/>
    <col min="7431" max="7431" width="16.08984375" style="7" customWidth="1"/>
    <col min="7432" max="7432" width="16.54296875" style="7" customWidth="1"/>
    <col min="7433" max="7433" width="16.453125" style="7" customWidth="1"/>
    <col min="7434" max="7434" width="36.81640625" style="7" customWidth="1"/>
    <col min="7435" max="7435" width="8.81640625" style="7"/>
    <col min="7436" max="7436" width="2" style="7" customWidth="1"/>
    <col min="7437" max="7680" width="8.81640625" style="7"/>
    <col min="7681" max="7681" width="1.453125" style="7" customWidth="1"/>
    <col min="7682" max="7682" width="3.81640625" style="7" customWidth="1"/>
    <col min="7683" max="7683" width="17.08984375" style="7" customWidth="1"/>
    <col min="7684" max="7684" width="16.1796875" style="7" customWidth="1"/>
    <col min="7685" max="7685" width="23.1796875" style="7" customWidth="1"/>
    <col min="7686" max="7686" width="29.81640625" style="7" bestFit="1" customWidth="1"/>
    <col min="7687" max="7687" width="16.08984375" style="7" customWidth="1"/>
    <col min="7688" max="7688" width="16.54296875" style="7" customWidth="1"/>
    <col min="7689" max="7689" width="16.453125" style="7" customWidth="1"/>
    <col min="7690" max="7690" width="36.81640625" style="7" customWidth="1"/>
    <col min="7691" max="7691" width="8.81640625" style="7"/>
    <col min="7692" max="7692" width="2" style="7" customWidth="1"/>
    <col min="7693" max="7936" width="8.81640625" style="7"/>
    <col min="7937" max="7937" width="1.453125" style="7" customWidth="1"/>
    <col min="7938" max="7938" width="3.81640625" style="7" customWidth="1"/>
    <col min="7939" max="7939" width="17.08984375" style="7" customWidth="1"/>
    <col min="7940" max="7940" width="16.1796875" style="7" customWidth="1"/>
    <col min="7941" max="7941" width="23.1796875" style="7" customWidth="1"/>
    <col min="7942" max="7942" width="29.81640625" style="7" bestFit="1" customWidth="1"/>
    <col min="7943" max="7943" width="16.08984375" style="7" customWidth="1"/>
    <col min="7944" max="7944" width="16.54296875" style="7" customWidth="1"/>
    <col min="7945" max="7945" width="16.453125" style="7" customWidth="1"/>
    <col min="7946" max="7946" width="36.81640625" style="7" customWidth="1"/>
    <col min="7947" max="7947" width="8.81640625" style="7"/>
    <col min="7948" max="7948" width="2" style="7" customWidth="1"/>
    <col min="7949" max="8192" width="8.81640625" style="7"/>
    <col min="8193" max="8193" width="1.453125" style="7" customWidth="1"/>
    <col min="8194" max="8194" width="3.81640625" style="7" customWidth="1"/>
    <col min="8195" max="8195" width="17.08984375" style="7" customWidth="1"/>
    <col min="8196" max="8196" width="16.1796875" style="7" customWidth="1"/>
    <col min="8197" max="8197" width="23.1796875" style="7" customWidth="1"/>
    <col min="8198" max="8198" width="29.81640625" style="7" bestFit="1" customWidth="1"/>
    <col min="8199" max="8199" width="16.08984375" style="7" customWidth="1"/>
    <col min="8200" max="8200" width="16.54296875" style="7" customWidth="1"/>
    <col min="8201" max="8201" width="16.453125" style="7" customWidth="1"/>
    <col min="8202" max="8202" width="36.81640625" style="7" customWidth="1"/>
    <col min="8203" max="8203" width="8.81640625" style="7"/>
    <col min="8204" max="8204" width="2" style="7" customWidth="1"/>
    <col min="8205" max="8448" width="8.81640625" style="7"/>
    <col min="8449" max="8449" width="1.453125" style="7" customWidth="1"/>
    <col min="8450" max="8450" width="3.81640625" style="7" customWidth="1"/>
    <col min="8451" max="8451" width="17.08984375" style="7" customWidth="1"/>
    <col min="8452" max="8452" width="16.1796875" style="7" customWidth="1"/>
    <col min="8453" max="8453" width="23.1796875" style="7" customWidth="1"/>
    <col min="8454" max="8454" width="29.81640625" style="7" bestFit="1" customWidth="1"/>
    <col min="8455" max="8455" width="16.08984375" style="7" customWidth="1"/>
    <col min="8456" max="8456" width="16.54296875" style="7" customWidth="1"/>
    <col min="8457" max="8457" width="16.453125" style="7" customWidth="1"/>
    <col min="8458" max="8458" width="36.81640625" style="7" customWidth="1"/>
    <col min="8459" max="8459" width="8.81640625" style="7"/>
    <col min="8460" max="8460" width="2" style="7" customWidth="1"/>
    <col min="8461" max="8704" width="8.81640625" style="7"/>
    <col min="8705" max="8705" width="1.453125" style="7" customWidth="1"/>
    <col min="8706" max="8706" width="3.81640625" style="7" customWidth="1"/>
    <col min="8707" max="8707" width="17.08984375" style="7" customWidth="1"/>
    <col min="8708" max="8708" width="16.1796875" style="7" customWidth="1"/>
    <col min="8709" max="8709" width="23.1796875" style="7" customWidth="1"/>
    <col min="8710" max="8710" width="29.81640625" style="7" bestFit="1" customWidth="1"/>
    <col min="8711" max="8711" width="16.08984375" style="7" customWidth="1"/>
    <col min="8712" max="8712" width="16.54296875" style="7" customWidth="1"/>
    <col min="8713" max="8713" width="16.453125" style="7" customWidth="1"/>
    <col min="8714" max="8714" width="36.81640625" style="7" customWidth="1"/>
    <col min="8715" max="8715" width="8.81640625" style="7"/>
    <col min="8716" max="8716" width="2" style="7" customWidth="1"/>
    <col min="8717" max="8960" width="8.81640625" style="7"/>
    <col min="8961" max="8961" width="1.453125" style="7" customWidth="1"/>
    <col min="8962" max="8962" width="3.81640625" style="7" customWidth="1"/>
    <col min="8963" max="8963" width="17.08984375" style="7" customWidth="1"/>
    <col min="8964" max="8964" width="16.1796875" style="7" customWidth="1"/>
    <col min="8965" max="8965" width="23.1796875" style="7" customWidth="1"/>
    <col min="8966" max="8966" width="29.81640625" style="7" bestFit="1" customWidth="1"/>
    <col min="8967" max="8967" width="16.08984375" style="7" customWidth="1"/>
    <col min="8968" max="8968" width="16.54296875" style="7" customWidth="1"/>
    <col min="8969" max="8969" width="16.453125" style="7" customWidth="1"/>
    <col min="8970" max="8970" width="36.81640625" style="7" customWidth="1"/>
    <col min="8971" max="8971" width="8.81640625" style="7"/>
    <col min="8972" max="8972" width="2" style="7" customWidth="1"/>
    <col min="8973" max="9216" width="8.81640625" style="7"/>
    <col min="9217" max="9217" width="1.453125" style="7" customWidth="1"/>
    <col min="9218" max="9218" width="3.81640625" style="7" customWidth="1"/>
    <col min="9219" max="9219" width="17.08984375" style="7" customWidth="1"/>
    <col min="9220" max="9220" width="16.1796875" style="7" customWidth="1"/>
    <col min="9221" max="9221" width="23.1796875" style="7" customWidth="1"/>
    <col min="9222" max="9222" width="29.81640625" style="7" bestFit="1" customWidth="1"/>
    <col min="9223" max="9223" width="16.08984375" style="7" customWidth="1"/>
    <col min="9224" max="9224" width="16.54296875" style="7" customWidth="1"/>
    <col min="9225" max="9225" width="16.453125" style="7" customWidth="1"/>
    <col min="9226" max="9226" width="36.81640625" style="7" customWidth="1"/>
    <col min="9227" max="9227" width="8.81640625" style="7"/>
    <col min="9228" max="9228" width="2" style="7" customWidth="1"/>
    <col min="9229" max="9472" width="8.81640625" style="7"/>
    <col min="9473" max="9473" width="1.453125" style="7" customWidth="1"/>
    <col min="9474" max="9474" width="3.81640625" style="7" customWidth="1"/>
    <col min="9475" max="9475" width="17.08984375" style="7" customWidth="1"/>
    <col min="9476" max="9476" width="16.1796875" style="7" customWidth="1"/>
    <col min="9477" max="9477" width="23.1796875" style="7" customWidth="1"/>
    <col min="9478" max="9478" width="29.81640625" style="7" bestFit="1" customWidth="1"/>
    <col min="9479" max="9479" width="16.08984375" style="7" customWidth="1"/>
    <col min="9480" max="9480" width="16.54296875" style="7" customWidth="1"/>
    <col min="9481" max="9481" width="16.453125" style="7" customWidth="1"/>
    <col min="9482" max="9482" width="36.81640625" style="7" customWidth="1"/>
    <col min="9483" max="9483" width="8.81640625" style="7"/>
    <col min="9484" max="9484" width="2" style="7" customWidth="1"/>
    <col min="9485" max="9728" width="8.81640625" style="7"/>
    <col min="9729" max="9729" width="1.453125" style="7" customWidth="1"/>
    <col min="9730" max="9730" width="3.81640625" style="7" customWidth="1"/>
    <col min="9731" max="9731" width="17.08984375" style="7" customWidth="1"/>
    <col min="9732" max="9732" width="16.1796875" style="7" customWidth="1"/>
    <col min="9733" max="9733" width="23.1796875" style="7" customWidth="1"/>
    <col min="9734" max="9734" width="29.81640625" style="7" bestFit="1" customWidth="1"/>
    <col min="9735" max="9735" width="16.08984375" style="7" customWidth="1"/>
    <col min="9736" max="9736" width="16.54296875" style="7" customWidth="1"/>
    <col min="9737" max="9737" width="16.453125" style="7" customWidth="1"/>
    <col min="9738" max="9738" width="36.81640625" style="7" customWidth="1"/>
    <col min="9739" max="9739" width="8.81640625" style="7"/>
    <col min="9740" max="9740" width="2" style="7" customWidth="1"/>
    <col min="9741" max="9984" width="8.81640625" style="7"/>
    <col min="9985" max="9985" width="1.453125" style="7" customWidth="1"/>
    <col min="9986" max="9986" width="3.81640625" style="7" customWidth="1"/>
    <col min="9987" max="9987" width="17.08984375" style="7" customWidth="1"/>
    <col min="9988" max="9988" width="16.1796875" style="7" customWidth="1"/>
    <col min="9989" max="9989" width="23.1796875" style="7" customWidth="1"/>
    <col min="9990" max="9990" width="29.81640625" style="7" bestFit="1" customWidth="1"/>
    <col min="9991" max="9991" width="16.08984375" style="7" customWidth="1"/>
    <col min="9992" max="9992" width="16.54296875" style="7" customWidth="1"/>
    <col min="9993" max="9993" width="16.453125" style="7" customWidth="1"/>
    <col min="9994" max="9994" width="36.81640625" style="7" customWidth="1"/>
    <col min="9995" max="9995" width="8.81640625" style="7"/>
    <col min="9996" max="9996" width="2" style="7" customWidth="1"/>
    <col min="9997" max="10240" width="8.81640625" style="7"/>
    <col min="10241" max="10241" width="1.453125" style="7" customWidth="1"/>
    <col min="10242" max="10242" width="3.81640625" style="7" customWidth="1"/>
    <col min="10243" max="10243" width="17.08984375" style="7" customWidth="1"/>
    <col min="10244" max="10244" width="16.1796875" style="7" customWidth="1"/>
    <col min="10245" max="10245" width="23.1796875" style="7" customWidth="1"/>
    <col min="10246" max="10246" width="29.81640625" style="7" bestFit="1" customWidth="1"/>
    <col min="10247" max="10247" width="16.08984375" style="7" customWidth="1"/>
    <col min="10248" max="10248" width="16.54296875" style="7" customWidth="1"/>
    <col min="10249" max="10249" width="16.453125" style="7" customWidth="1"/>
    <col min="10250" max="10250" width="36.81640625" style="7" customWidth="1"/>
    <col min="10251" max="10251" width="8.81640625" style="7"/>
    <col min="10252" max="10252" width="2" style="7" customWidth="1"/>
    <col min="10253" max="10496" width="8.81640625" style="7"/>
    <col min="10497" max="10497" width="1.453125" style="7" customWidth="1"/>
    <col min="10498" max="10498" width="3.81640625" style="7" customWidth="1"/>
    <col min="10499" max="10499" width="17.08984375" style="7" customWidth="1"/>
    <col min="10500" max="10500" width="16.1796875" style="7" customWidth="1"/>
    <col min="10501" max="10501" width="23.1796875" style="7" customWidth="1"/>
    <col min="10502" max="10502" width="29.81640625" style="7" bestFit="1" customWidth="1"/>
    <col min="10503" max="10503" width="16.08984375" style="7" customWidth="1"/>
    <col min="10504" max="10504" width="16.54296875" style="7" customWidth="1"/>
    <col min="10505" max="10505" width="16.453125" style="7" customWidth="1"/>
    <col min="10506" max="10506" width="36.81640625" style="7" customWidth="1"/>
    <col min="10507" max="10507" width="8.81640625" style="7"/>
    <col min="10508" max="10508" width="2" style="7" customWidth="1"/>
    <col min="10509" max="10752" width="8.81640625" style="7"/>
    <col min="10753" max="10753" width="1.453125" style="7" customWidth="1"/>
    <col min="10754" max="10754" width="3.81640625" style="7" customWidth="1"/>
    <col min="10755" max="10755" width="17.08984375" style="7" customWidth="1"/>
    <col min="10756" max="10756" width="16.1796875" style="7" customWidth="1"/>
    <col min="10757" max="10757" width="23.1796875" style="7" customWidth="1"/>
    <col min="10758" max="10758" width="29.81640625" style="7" bestFit="1" customWidth="1"/>
    <col min="10759" max="10759" width="16.08984375" style="7" customWidth="1"/>
    <col min="10760" max="10760" width="16.54296875" style="7" customWidth="1"/>
    <col min="10761" max="10761" width="16.453125" style="7" customWidth="1"/>
    <col min="10762" max="10762" width="36.81640625" style="7" customWidth="1"/>
    <col min="10763" max="10763" width="8.81640625" style="7"/>
    <col min="10764" max="10764" width="2" style="7" customWidth="1"/>
    <col min="10765" max="11008" width="8.81640625" style="7"/>
    <col min="11009" max="11009" width="1.453125" style="7" customWidth="1"/>
    <col min="11010" max="11010" width="3.81640625" style="7" customWidth="1"/>
    <col min="11011" max="11011" width="17.08984375" style="7" customWidth="1"/>
    <col min="11012" max="11012" width="16.1796875" style="7" customWidth="1"/>
    <col min="11013" max="11013" width="23.1796875" style="7" customWidth="1"/>
    <col min="11014" max="11014" width="29.81640625" style="7" bestFit="1" customWidth="1"/>
    <col min="11015" max="11015" width="16.08984375" style="7" customWidth="1"/>
    <col min="11016" max="11016" width="16.54296875" style="7" customWidth="1"/>
    <col min="11017" max="11017" width="16.453125" style="7" customWidth="1"/>
    <col min="11018" max="11018" width="36.81640625" style="7" customWidth="1"/>
    <col min="11019" max="11019" width="8.81640625" style="7"/>
    <col min="11020" max="11020" width="2" style="7" customWidth="1"/>
    <col min="11021" max="11264" width="8.81640625" style="7"/>
    <col min="11265" max="11265" width="1.453125" style="7" customWidth="1"/>
    <col min="11266" max="11266" width="3.81640625" style="7" customWidth="1"/>
    <col min="11267" max="11267" width="17.08984375" style="7" customWidth="1"/>
    <col min="11268" max="11268" width="16.1796875" style="7" customWidth="1"/>
    <col min="11269" max="11269" width="23.1796875" style="7" customWidth="1"/>
    <col min="11270" max="11270" width="29.81640625" style="7" bestFit="1" customWidth="1"/>
    <col min="11271" max="11271" width="16.08984375" style="7" customWidth="1"/>
    <col min="11272" max="11272" width="16.54296875" style="7" customWidth="1"/>
    <col min="11273" max="11273" width="16.453125" style="7" customWidth="1"/>
    <col min="11274" max="11274" width="36.81640625" style="7" customWidth="1"/>
    <col min="11275" max="11275" width="8.81640625" style="7"/>
    <col min="11276" max="11276" width="2" style="7" customWidth="1"/>
    <col min="11277" max="11520" width="8.81640625" style="7"/>
    <col min="11521" max="11521" width="1.453125" style="7" customWidth="1"/>
    <col min="11522" max="11522" width="3.81640625" style="7" customWidth="1"/>
    <col min="11523" max="11523" width="17.08984375" style="7" customWidth="1"/>
    <col min="11524" max="11524" width="16.1796875" style="7" customWidth="1"/>
    <col min="11525" max="11525" width="23.1796875" style="7" customWidth="1"/>
    <col min="11526" max="11526" width="29.81640625" style="7" bestFit="1" customWidth="1"/>
    <col min="11527" max="11527" width="16.08984375" style="7" customWidth="1"/>
    <col min="11528" max="11528" width="16.54296875" style="7" customWidth="1"/>
    <col min="11529" max="11529" width="16.453125" style="7" customWidth="1"/>
    <col min="11530" max="11530" width="36.81640625" style="7" customWidth="1"/>
    <col min="11531" max="11531" width="8.81640625" style="7"/>
    <col min="11532" max="11532" width="2" style="7" customWidth="1"/>
    <col min="11533" max="11776" width="8.81640625" style="7"/>
    <col min="11777" max="11777" width="1.453125" style="7" customWidth="1"/>
    <col min="11778" max="11778" width="3.81640625" style="7" customWidth="1"/>
    <col min="11779" max="11779" width="17.08984375" style="7" customWidth="1"/>
    <col min="11780" max="11780" width="16.1796875" style="7" customWidth="1"/>
    <col min="11781" max="11781" width="23.1796875" style="7" customWidth="1"/>
    <col min="11782" max="11782" width="29.81640625" style="7" bestFit="1" customWidth="1"/>
    <col min="11783" max="11783" width="16.08984375" style="7" customWidth="1"/>
    <col min="11784" max="11784" width="16.54296875" style="7" customWidth="1"/>
    <col min="11785" max="11785" width="16.453125" style="7" customWidth="1"/>
    <col min="11786" max="11786" width="36.81640625" style="7" customWidth="1"/>
    <col min="11787" max="11787" width="8.81640625" style="7"/>
    <col min="11788" max="11788" width="2" style="7" customWidth="1"/>
    <col min="11789" max="12032" width="8.81640625" style="7"/>
    <col min="12033" max="12033" width="1.453125" style="7" customWidth="1"/>
    <col min="12034" max="12034" width="3.81640625" style="7" customWidth="1"/>
    <col min="12035" max="12035" width="17.08984375" style="7" customWidth="1"/>
    <col min="12036" max="12036" width="16.1796875" style="7" customWidth="1"/>
    <col min="12037" max="12037" width="23.1796875" style="7" customWidth="1"/>
    <col min="12038" max="12038" width="29.81640625" style="7" bestFit="1" customWidth="1"/>
    <col min="12039" max="12039" width="16.08984375" style="7" customWidth="1"/>
    <col min="12040" max="12040" width="16.54296875" style="7" customWidth="1"/>
    <col min="12041" max="12041" width="16.453125" style="7" customWidth="1"/>
    <col min="12042" max="12042" width="36.81640625" style="7" customWidth="1"/>
    <col min="12043" max="12043" width="8.81640625" style="7"/>
    <col min="12044" max="12044" width="2" style="7" customWidth="1"/>
    <col min="12045" max="12288" width="8.81640625" style="7"/>
    <col min="12289" max="12289" width="1.453125" style="7" customWidth="1"/>
    <col min="12290" max="12290" width="3.81640625" style="7" customWidth="1"/>
    <col min="12291" max="12291" width="17.08984375" style="7" customWidth="1"/>
    <col min="12292" max="12292" width="16.1796875" style="7" customWidth="1"/>
    <col min="12293" max="12293" width="23.1796875" style="7" customWidth="1"/>
    <col min="12294" max="12294" width="29.81640625" style="7" bestFit="1" customWidth="1"/>
    <col min="12295" max="12295" width="16.08984375" style="7" customWidth="1"/>
    <col min="12296" max="12296" width="16.54296875" style="7" customWidth="1"/>
    <col min="12297" max="12297" width="16.453125" style="7" customWidth="1"/>
    <col min="12298" max="12298" width="36.81640625" style="7" customWidth="1"/>
    <col min="12299" max="12299" width="8.81640625" style="7"/>
    <col min="12300" max="12300" width="2" style="7" customWidth="1"/>
    <col min="12301" max="12544" width="8.81640625" style="7"/>
    <col min="12545" max="12545" width="1.453125" style="7" customWidth="1"/>
    <col min="12546" max="12546" width="3.81640625" style="7" customWidth="1"/>
    <col min="12547" max="12547" width="17.08984375" style="7" customWidth="1"/>
    <col min="12548" max="12548" width="16.1796875" style="7" customWidth="1"/>
    <col min="12549" max="12549" width="23.1796875" style="7" customWidth="1"/>
    <col min="12550" max="12550" width="29.81640625" style="7" bestFit="1" customWidth="1"/>
    <col min="12551" max="12551" width="16.08984375" style="7" customWidth="1"/>
    <col min="12552" max="12552" width="16.54296875" style="7" customWidth="1"/>
    <col min="12553" max="12553" width="16.453125" style="7" customWidth="1"/>
    <col min="12554" max="12554" width="36.81640625" style="7" customWidth="1"/>
    <col min="12555" max="12555" width="8.81640625" style="7"/>
    <col min="12556" max="12556" width="2" style="7" customWidth="1"/>
    <col min="12557" max="12800" width="8.81640625" style="7"/>
    <col min="12801" max="12801" width="1.453125" style="7" customWidth="1"/>
    <col min="12802" max="12802" width="3.81640625" style="7" customWidth="1"/>
    <col min="12803" max="12803" width="17.08984375" style="7" customWidth="1"/>
    <col min="12804" max="12804" width="16.1796875" style="7" customWidth="1"/>
    <col min="12805" max="12805" width="23.1796875" style="7" customWidth="1"/>
    <col min="12806" max="12806" width="29.81640625" style="7" bestFit="1" customWidth="1"/>
    <col min="12807" max="12807" width="16.08984375" style="7" customWidth="1"/>
    <col min="12808" max="12808" width="16.54296875" style="7" customWidth="1"/>
    <col min="12809" max="12809" width="16.453125" style="7" customWidth="1"/>
    <col min="12810" max="12810" width="36.81640625" style="7" customWidth="1"/>
    <col min="12811" max="12811" width="8.81640625" style="7"/>
    <col min="12812" max="12812" width="2" style="7" customWidth="1"/>
    <col min="12813" max="13056" width="8.81640625" style="7"/>
    <col min="13057" max="13057" width="1.453125" style="7" customWidth="1"/>
    <col min="13058" max="13058" width="3.81640625" style="7" customWidth="1"/>
    <col min="13059" max="13059" width="17.08984375" style="7" customWidth="1"/>
    <col min="13060" max="13060" width="16.1796875" style="7" customWidth="1"/>
    <col min="13061" max="13061" width="23.1796875" style="7" customWidth="1"/>
    <col min="13062" max="13062" width="29.81640625" style="7" bestFit="1" customWidth="1"/>
    <col min="13063" max="13063" width="16.08984375" style="7" customWidth="1"/>
    <col min="13064" max="13064" width="16.54296875" style="7" customWidth="1"/>
    <col min="13065" max="13065" width="16.453125" style="7" customWidth="1"/>
    <col min="13066" max="13066" width="36.81640625" style="7" customWidth="1"/>
    <col min="13067" max="13067" width="8.81640625" style="7"/>
    <col min="13068" max="13068" width="2" style="7" customWidth="1"/>
    <col min="13069" max="13312" width="8.81640625" style="7"/>
    <col min="13313" max="13313" width="1.453125" style="7" customWidth="1"/>
    <col min="13314" max="13314" width="3.81640625" style="7" customWidth="1"/>
    <col min="13315" max="13315" width="17.08984375" style="7" customWidth="1"/>
    <col min="13316" max="13316" width="16.1796875" style="7" customWidth="1"/>
    <col min="13317" max="13317" width="23.1796875" style="7" customWidth="1"/>
    <col min="13318" max="13318" width="29.81640625" style="7" bestFit="1" customWidth="1"/>
    <col min="13319" max="13319" width="16.08984375" style="7" customWidth="1"/>
    <col min="13320" max="13320" width="16.54296875" style="7" customWidth="1"/>
    <col min="13321" max="13321" width="16.453125" style="7" customWidth="1"/>
    <col min="13322" max="13322" width="36.81640625" style="7" customWidth="1"/>
    <col min="13323" max="13323" width="8.81640625" style="7"/>
    <col min="13324" max="13324" width="2" style="7" customWidth="1"/>
    <col min="13325" max="13568" width="8.81640625" style="7"/>
    <col min="13569" max="13569" width="1.453125" style="7" customWidth="1"/>
    <col min="13570" max="13570" width="3.81640625" style="7" customWidth="1"/>
    <col min="13571" max="13571" width="17.08984375" style="7" customWidth="1"/>
    <col min="13572" max="13572" width="16.1796875" style="7" customWidth="1"/>
    <col min="13573" max="13573" width="23.1796875" style="7" customWidth="1"/>
    <col min="13574" max="13574" width="29.81640625" style="7" bestFit="1" customWidth="1"/>
    <col min="13575" max="13575" width="16.08984375" style="7" customWidth="1"/>
    <col min="13576" max="13576" width="16.54296875" style="7" customWidth="1"/>
    <col min="13577" max="13577" width="16.453125" style="7" customWidth="1"/>
    <col min="13578" max="13578" width="36.81640625" style="7" customWidth="1"/>
    <col min="13579" max="13579" width="8.81640625" style="7"/>
    <col min="13580" max="13580" width="2" style="7" customWidth="1"/>
    <col min="13581" max="13824" width="8.81640625" style="7"/>
    <col min="13825" max="13825" width="1.453125" style="7" customWidth="1"/>
    <col min="13826" max="13826" width="3.81640625" style="7" customWidth="1"/>
    <col min="13827" max="13827" width="17.08984375" style="7" customWidth="1"/>
    <col min="13828" max="13828" width="16.1796875" style="7" customWidth="1"/>
    <col min="13829" max="13829" width="23.1796875" style="7" customWidth="1"/>
    <col min="13830" max="13830" width="29.81640625" style="7" bestFit="1" customWidth="1"/>
    <col min="13831" max="13831" width="16.08984375" style="7" customWidth="1"/>
    <col min="13832" max="13832" width="16.54296875" style="7" customWidth="1"/>
    <col min="13833" max="13833" width="16.453125" style="7" customWidth="1"/>
    <col min="13834" max="13834" width="36.81640625" style="7" customWidth="1"/>
    <col min="13835" max="13835" width="8.81640625" style="7"/>
    <col min="13836" max="13836" width="2" style="7" customWidth="1"/>
    <col min="13837" max="14080" width="8.81640625" style="7"/>
    <col min="14081" max="14081" width="1.453125" style="7" customWidth="1"/>
    <col min="14082" max="14082" width="3.81640625" style="7" customWidth="1"/>
    <col min="14083" max="14083" width="17.08984375" style="7" customWidth="1"/>
    <col min="14084" max="14084" width="16.1796875" style="7" customWidth="1"/>
    <col min="14085" max="14085" width="23.1796875" style="7" customWidth="1"/>
    <col min="14086" max="14086" width="29.81640625" style="7" bestFit="1" customWidth="1"/>
    <col min="14087" max="14087" width="16.08984375" style="7" customWidth="1"/>
    <col min="14088" max="14088" width="16.54296875" style="7" customWidth="1"/>
    <col min="14089" max="14089" width="16.453125" style="7" customWidth="1"/>
    <col min="14090" max="14090" width="36.81640625" style="7" customWidth="1"/>
    <col min="14091" max="14091" width="8.81640625" style="7"/>
    <col min="14092" max="14092" width="2" style="7" customWidth="1"/>
    <col min="14093" max="14336" width="8.81640625" style="7"/>
    <col min="14337" max="14337" width="1.453125" style="7" customWidth="1"/>
    <col min="14338" max="14338" width="3.81640625" style="7" customWidth="1"/>
    <col min="14339" max="14339" width="17.08984375" style="7" customWidth="1"/>
    <col min="14340" max="14340" width="16.1796875" style="7" customWidth="1"/>
    <col min="14341" max="14341" width="23.1796875" style="7" customWidth="1"/>
    <col min="14342" max="14342" width="29.81640625" style="7" bestFit="1" customWidth="1"/>
    <col min="14343" max="14343" width="16.08984375" style="7" customWidth="1"/>
    <col min="14344" max="14344" width="16.54296875" style="7" customWidth="1"/>
    <col min="14345" max="14345" width="16.453125" style="7" customWidth="1"/>
    <col min="14346" max="14346" width="36.81640625" style="7" customWidth="1"/>
    <col min="14347" max="14347" width="8.81640625" style="7"/>
    <col min="14348" max="14348" width="2" style="7" customWidth="1"/>
    <col min="14349" max="14592" width="8.81640625" style="7"/>
    <col min="14593" max="14593" width="1.453125" style="7" customWidth="1"/>
    <col min="14594" max="14594" width="3.81640625" style="7" customWidth="1"/>
    <col min="14595" max="14595" width="17.08984375" style="7" customWidth="1"/>
    <col min="14596" max="14596" width="16.1796875" style="7" customWidth="1"/>
    <col min="14597" max="14597" width="23.1796875" style="7" customWidth="1"/>
    <col min="14598" max="14598" width="29.81640625" style="7" bestFit="1" customWidth="1"/>
    <col min="14599" max="14599" width="16.08984375" style="7" customWidth="1"/>
    <col min="14600" max="14600" width="16.54296875" style="7" customWidth="1"/>
    <col min="14601" max="14601" width="16.453125" style="7" customWidth="1"/>
    <col min="14602" max="14602" width="36.81640625" style="7" customWidth="1"/>
    <col min="14603" max="14603" width="8.81640625" style="7"/>
    <col min="14604" max="14604" width="2" style="7" customWidth="1"/>
    <col min="14605" max="14848" width="8.81640625" style="7"/>
    <col min="14849" max="14849" width="1.453125" style="7" customWidth="1"/>
    <col min="14850" max="14850" width="3.81640625" style="7" customWidth="1"/>
    <col min="14851" max="14851" width="17.08984375" style="7" customWidth="1"/>
    <col min="14852" max="14852" width="16.1796875" style="7" customWidth="1"/>
    <col min="14853" max="14853" width="23.1796875" style="7" customWidth="1"/>
    <col min="14854" max="14854" width="29.81640625" style="7" bestFit="1" customWidth="1"/>
    <col min="14855" max="14855" width="16.08984375" style="7" customWidth="1"/>
    <col min="14856" max="14856" width="16.54296875" style="7" customWidth="1"/>
    <col min="14857" max="14857" width="16.453125" style="7" customWidth="1"/>
    <col min="14858" max="14858" width="36.81640625" style="7" customWidth="1"/>
    <col min="14859" max="14859" width="8.81640625" style="7"/>
    <col min="14860" max="14860" width="2" style="7" customWidth="1"/>
    <col min="14861" max="15104" width="8.81640625" style="7"/>
    <col min="15105" max="15105" width="1.453125" style="7" customWidth="1"/>
    <col min="15106" max="15106" width="3.81640625" style="7" customWidth="1"/>
    <col min="15107" max="15107" width="17.08984375" style="7" customWidth="1"/>
    <col min="15108" max="15108" width="16.1796875" style="7" customWidth="1"/>
    <col min="15109" max="15109" width="23.1796875" style="7" customWidth="1"/>
    <col min="15110" max="15110" width="29.81640625" style="7" bestFit="1" customWidth="1"/>
    <col min="15111" max="15111" width="16.08984375" style="7" customWidth="1"/>
    <col min="15112" max="15112" width="16.54296875" style="7" customWidth="1"/>
    <col min="15113" max="15113" width="16.453125" style="7" customWidth="1"/>
    <col min="15114" max="15114" width="36.81640625" style="7" customWidth="1"/>
    <col min="15115" max="15115" width="8.81640625" style="7"/>
    <col min="15116" max="15116" width="2" style="7" customWidth="1"/>
    <col min="15117" max="15360" width="8.81640625" style="7"/>
    <col min="15361" max="15361" width="1.453125" style="7" customWidth="1"/>
    <col min="15362" max="15362" width="3.81640625" style="7" customWidth="1"/>
    <col min="15363" max="15363" width="17.08984375" style="7" customWidth="1"/>
    <col min="15364" max="15364" width="16.1796875" style="7" customWidth="1"/>
    <col min="15365" max="15365" width="23.1796875" style="7" customWidth="1"/>
    <col min="15366" max="15366" width="29.81640625" style="7" bestFit="1" customWidth="1"/>
    <col min="15367" max="15367" width="16.08984375" style="7" customWidth="1"/>
    <col min="15368" max="15368" width="16.54296875" style="7" customWidth="1"/>
    <col min="15369" max="15369" width="16.453125" style="7" customWidth="1"/>
    <col min="15370" max="15370" width="36.81640625" style="7" customWidth="1"/>
    <col min="15371" max="15371" width="8.81640625" style="7"/>
    <col min="15372" max="15372" width="2" style="7" customWidth="1"/>
    <col min="15373" max="15616" width="8.81640625" style="7"/>
    <col min="15617" max="15617" width="1.453125" style="7" customWidth="1"/>
    <col min="15618" max="15618" width="3.81640625" style="7" customWidth="1"/>
    <col min="15619" max="15619" width="17.08984375" style="7" customWidth="1"/>
    <col min="15620" max="15620" width="16.1796875" style="7" customWidth="1"/>
    <col min="15621" max="15621" width="23.1796875" style="7" customWidth="1"/>
    <col min="15622" max="15622" width="29.81640625" style="7" bestFit="1" customWidth="1"/>
    <col min="15623" max="15623" width="16.08984375" style="7" customWidth="1"/>
    <col min="15624" max="15624" width="16.54296875" style="7" customWidth="1"/>
    <col min="15625" max="15625" width="16.453125" style="7" customWidth="1"/>
    <col min="15626" max="15626" width="36.81640625" style="7" customWidth="1"/>
    <col min="15627" max="15627" width="8.81640625" style="7"/>
    <col min="15628" max="15628" width="2" style="7" customWidth="1"/>
    <col min="15629" max="15872" width="8.81640625" style="7"/>
    <col min="15873" max="15873" width="1.453125" style="7" customWidth="1"/>
    <col min="15874" max="15874" width="3.81640625" style="7" customWidth="1"/>
    <col min="15875" max="15875" width="17.08984375" style="7" customWidth="1"/>
    <col min="15876" max="15876" width="16.1796875" style="7" customWidth="1"/>
    <col min="15877" max="15877" width="23.1796875" style="7" customWidth="1"/>
    <col min="15878" max="15878" width="29.81640625" style="7" bestFit="1" customWidth="1"/>
    <col min="15879" max="15879" width="16.08984375" style="7" customWidth="1"/>
    <col min="15880" max="15880" width="16.54296875" style="7" customWidth="1"/>
    <col min="15881" max="15881" width="16.453125" style="7" customWidth="1"/>
    <col min="15882" max="15882" width="36.81640625" style="7" customWidth="1"/>
    <col min="15883" max="15883" width="8.81640625" style="7"/>
    <col min="15884" max="15884" width="2" style="7" customWidth="1"/>
    <col min="15885" max="16128" width="8.81640625" style="7"/>
    <col min="16129" max="16129" width="1.453125" style="7" customWidth="1"/>
    <col min="16130" max="16130" width="3.81640625" style="7" customWidth="1"/>
    <col min="16131" max="16131" width="17.08984375" style="7" customWidth="1"/>
    <col min="16132" max="16132" width="16.1796875" style="7" customWidth="1"/>
    <col min="16133" max="16133" width="23.1796875" style="7" customWidth="1"/>
    <col min="16134" max="16134" width="29.81640625" style="7" bestFit="1" customWidth="1"/>
    <col min="16135" max="16135" width="16.08984375" style="7" customWidth="1"/>
    <col min="16136" max="16136" width="16.54296875" style="7" customWidth="1"/>
    <col min="16137" max="16137" width="16.453125" style="7" customWidth="1"/>
    <col min="16138" max="16138" width="36.81640625" style="7" customWidth="1"/>
    <col min="16139" max="16139" width="8.81640625" style="7"/>
    <col min="16140" max="16140" width="2" style="7" customWidth="1"/>
    <col min="16141" max="16384" width="8.81640625" style="7"/>
  </cols>
  <sheetData>
    <row r="1" spans="1:16" ht="14.4" thickBot="1" x14ac:dyDescent="0.3"/>
    <row r="2" spans="1:16" ht="14.4" thickBot="1" x14ac:dyDescent="0.3">
      <c r="B2" s="1197" t="s">
        <v>56</v>
      </c>
    </row>
    <row r="5" spans="1:16" ht="14.4" thickBot="1" x14ac:dyDescent="0.3"/>
    <row r="6" spans="1:16" ht="35.1" customHeight="1" thickBot="1" x14ac:dyDescent="0.3">
      <c r="B6" s="432" t="s">
        <v>57</v>
      </c>
      <c r="C6" s="433" t="str">
        <f>'TITLE PAGE'!$D$18</f>
        <v>Bristol Water</v>
      </c>
      <c r="D6" s="431" t="s">
        <v>1673</v>
      </c>
      <c r="E6" s="211" t="s">
        <v>58</v>
      </c>
    </row>
    <row r="7" spans="1:16" ht="14.4" thickBot="1" x14ac:dyDescent="0.3">
      <c r="A7" s="8"/>
      <c r="B7" s="4"/>
      <c r="C7" s="4"/>
      <c r="D7" s="4"/>
      <c r="E7" s="3"/>
      <c r="F7" s="4"/>
      <c r="G7" s="9"/>
      <c r="H7" s="9"/>
      <c r="I7" s="5" t="s">
        <v>59</v>
      </c>
      <c r="J7" s="4"/>
      <c r="K7" s="6"/>
      <c r="L7" s="9"/>
      <c r="P7" s="1326" t="s">
        <v>60</v>
      </c>
    </row>
    <row r="8" spans="1:16" ht="58.5" customHeight="1" thickBot="1" x14ac:dyDescent="0.3">
      <c r="A8" s="10"/>
      <c r="B8" s="515" t="s">
        <v>61</v>
      </c>
      <c r="C8" s="6"/>
      <c r="D8" s="6"/>
      <c r="E8" s="6"/>
      <c r="F8" s="6"/>
      <c r="G8" s="6"/>
      <c r="H8" s="6"/>
      <c r="I8" s="6"/>
      <c r="J8" s="6"/>
      <c r="K8" s="6"/>
      <c r="P8" s="1306" t="s">
        <v>62</v>
      </c>
    </row>
    <row r="9" spans="1:16" ht="28.2" thickBot="1" x14ac:dyDescent="0.3">
      <c r="A9" s="11"/>
      <c r="B9" s="500" t="s">
        <v>63</v>
      </c>
      <c r="C9" s="501" t="s">
        <v>64</v>
      </c>
      <c r="D9" s="501" t="s">
        <v>65</v>
      </c>
      <c r="E9" s="501" t="s">
        <v>66</v>
      </c>
      <c r="F9" s="501" t="s">
        <v>67</v>
      </c>
      <c r="G9" s="501" t="s">
        <v>68</v>
      </c>
      <c r="H9" s="501" t="s">
        <v>69</v>
      </c>
      <c r="I9" s="1192" t="s">
        <v>70</v>
      </c>
      <c r="J9" s="501" t="s">
        <v>71</v>
      </c>
      <c r="K9" s="501" t="s">
        <v>72</v>
      </c>
      <c r="L9" s="504" t="s">
        <v>73</v>
      </c>
      <c r="P9" s="1306" t="s">
        <v>74</v>
      </c>
    </row>
    <row r="10" spans="1:16" x14ac:dyDescent="0.25">
      <c r="A10" s="12"/>
      <c r="B10" s="502" t="s">
        <v>75</v>
      </c>
      <c r="C10" s="503" t="s">
        <v>76</v>
      </c>
      <c r="D10" s="503" t="s">
        <v>77</v>
      </c>
      <c r="E10" s="503" t="s">
        <v>77</v>
      </c>
      <c r="F10" s="503" t="s">
        <v>77</v>
      </c>
      <c r="G10" s="1305"/>
      <c r="H10" s="1128">
        <f>SUM(H11:H28)</f>
        <v>338.09000000000003</v>
      </c>
      <c r="I10" s="1128">
        <f>SUM(I11:I12)</f>
        <v>0</v>
      </c>
      <c r="J10" s="505">
        <f>SUM(J11:J28)</f>
        <v>462.57</v>
      </c>
      <c r="K10" s="506" t="s">
        <v>77</v>
      </c>
      <c r="L10" s="507" t="s">
        <v>1698</v>
      </c>
      <c r="P10" s="1306" t="s">
        <v>78</v>
      </c>
    </row>
    <row r="11" spans="1:16" x14ac:dyDescent="0.25">
      <c r="A11" s="2"/>
      <c r="B11" s="22" t="s">
        <v>77</v>
      </c>
      <c r="C11" s="13" t="s">
        <v>79</v>
      </c>
      <c r="D11" s="1389" t="s">
        <v>1610</v>
      </c>
      <c r="E11" s="1392" t="s">
        <v>1628</v>
      </c>
      <c r="F11" s="1395" t="s">
        <v>62</v>
      </c>
      <c r="G11" s="14" t="s">
        <v>355</v>
      </c>
      <c r="H11" s="278">
        <v>4.9700845277471517</v>
      </c>
      <c r="I11" s="278" t="s">
        <v>761</v>
      </c>
      <c r="J11" s="1398">
        <v>6.8</v>
      </c>
      <c r="K11" s="1395" t="s">
        <v>1647</v>
      </c>
      <c r="L11" s="1441" t="s">
        <v>1703</v>
      </c>
      <c r="P11" s="7" t="s">
        <v>80</v>
      </c>
    </row>
    <row r="12" spans="1:16" x14ac:dyDescent="0.25">
      <c r="A12" s="2"/>
      <c r="B12" s="24" t="s">
        <v>77</v>
      </c>
      <c r="C12" s="25" t="s">
        <v>79</v>
      </c>
      <c r="D12" s="1389" t="s">
        <v>1611</v>
      </c>
      <c r="E12" s="1392" t="s">
        <v>1629</v>
      </c>
      <c r="F12" s="1395" t="s">
        <v>62</v>
      </c>
      <c r="G12" s="14" t="s">
        <v>355</v>
      </c>
      <c r="H12" s="278">
        <v>9.7135916726117131</v>
      </c>
      <c r="I12" s="278" t="s">
        <v>761</v>
      </c>
      <c r="J12" s="1398">
        <v>13.29</v>
      </c>
      <c r="K12" s="1395" t="s">
        <v>1647</v>
      </c>
      <c r="L12" s="1441" t="s">
        <v>1703</v>
      </c>
    </row>
    <row r="13" spans="1:16" x14ac:dyDescent="0.25">
      <c r="A13" s="2"/>
      <c r="B13" s="22" t="s">
        <v>77</v>
      </c>
      <c r="C13" s="13" t="s">
        <v>79</v>
      </c>
      <c r="D13" s="1389" t="s">
        <v>1612</v>
      </c>
      <c r="E13" s="1392" t="s">
        <v>1630</v>
      </c>
      <c r="F13" s="1395" t="s">
        <v>1646</v>
      </c>
      <c r="G13" s="14" t="s">
        <v>355</v>
      </c>
      <c r="H13" s="278">
        <v>1.6006595758479798</v>
      </c>
      <c r="I13" s="278" t="s">
        <v>761</v>
      </c>
      <c r="J13" s="1398">
        <v>2.19</v>
      </c>
      <c r="K13" s="1395" t="s">
        <v>1647</v>
      </c>
      <c r="L13" s="1441" t="s">
        <v>1703</v>
      </c>
    </row>
    <row r="14" spans="1:16" x14ac:dyDescent="0.25">
      <c r="A14" s="2"/>
      <c r="B14" s="24" t="s">
        <v>77</v>
      </c>
      <c r="C14" s="25" t="s">
        <v>79</v>
      </c>
      <c r="D14" s="1389" t="s">
        <v>1613</v>
      </c>
      <c r="E14" s="1392" t="s">
        <v>1631</v>
      </c>
      <c r="F14" s="1395" t="s">
        <v>1646</v>
      </c>
      <c r="G14" s="14" t="s">
        <v>355</v>
      </c>
      <c r="H14" s="278">
        <v>4.9481576842423856</v>
      </c>
      <c r="I14" s="278" t="s">
        <v>761</v>
      </c>
      <c r="J14" s="1398">
        <v>6.77</v>
      </c>
      <c r="K14" s="1395" t="s">
        <v>1647</v>
      </c>
      <c r="L14" s="1441" t="s">
        <v>1703</v>
      </c>
    </row>
    <row r="15" spans="1:16" x14ac:dyDescent="0.25">
      <c r="A15" s="2"/>
      <c r="B15" s="22" t="s">
        <v>77</v>
      </c>
      <c r="C15" s="13" t="s">
        <v>79</v>
      </c>
      <c r="D15" s="1389" t="s">
        <v>1614</v>
      </c>
      <c r="E15" s="1392" t="s">
        <v>1632</v>
      </c>
      <c r="F15" s="1395" t="s">
        <v>62</v>
      </c>
      <c r="G15" s="14" t="s">
        <v>355</v>
      </c>
      <c r="H15" s="278">
        <v>10.013258533843528</v>
      </c>
      <c r="I15" s="278" t="s">
        <v>761</v>
      </c>
      <c r="J15" s="1398">
        <v>13.7</v>
      </c>
      <c r="K15" s="1395" t="s">
        <v>1647</v>
      </c>
      <c r="L15" s="1441" t="s">
        <v>1703</v>
      </c>
    </row>
    <row r="16" spans="1:16" x14ac:dyDescent="0.25">
      <c r="A16" s="15"/>
      <c r="B16" s="24" t="s">
        <v>77</v>
      </c>
      <c r="C16" s="25" t="s">
        <v>79</v>
      </c>
      <c r="D16" s="1389" t="s">
        <v>1615</v>
      </c>
      <c r="E16" s="1392" t="s">
        <v>1633</v>
      </c>
      <c r="F16" s="1395" t="s">
        <v>62</v>
      </c>
      <c r="G16" s="14" t="s">
        <v>355</v>
      </c>
      <c r="H16" s="278">
        <v>2.4046438376894312</v>
      </c>
      <c r="I16" s="278" t="s">
        <v>761</v>
      </c>
      <c r="J16" s="1398">
        <v>3.29</v>
      </c>
      <c r="K16" s="1395" t="s">
        <v>1647</v>
      </c>
      <c r="L16" s="1441" t="s">
        <v>1703</v>
      </c>
    </row>
    <row r="17" spans="1:13" x14ac:dyDescent="0.25">
      <c r="A17" s="15"/>
      <c r="B17" s="22" t="s">
        <v>77</v>
      </c>
      <c r="C17" s="13" t="s">
        <v>79</v>
      </c>
      <c r="D17" s="1389" t="s">
        <v>1616</v>
      </c>
      <c r="E17" s="1392" t="s">
        <v>1634</v>
      </c>
      <c r="F17" s="1395" t="s">
        <v>62</v>
      </c>
      <c r="G17" s="14" t="s">
        <v>355</v>
      </c>
      <c r="H17" s="278">
        <v>11.036511230732648</v>
      </c>
      <c r="I17" s="278" t="s">
        <v>761</v>
      </c>
      <c r="J17" s="1398">
        <v>15.1</v>
      </c>
      <c r="K17" s="1395" t="s">
        <v>1647</v>
      </c>
      <c r="L17" s="1441" t="s">
        <v>1703</v>
      </c>
    </row>
    <row r="18" spans="1:13" x14ac:dyDescent="0.25">
      <c r="A18" s="2"/>
      <c r="B18" s="22" t="s">
        <v>77</v>
      </c>
      <c r="C18" s="13" t="s">
        <v>79</v>
      </c>
      <c r="D18" s="1390" t="s">
        <v>1617</v>
      </c>
      <c r="E18" s="1393" t="s">
        <v>1635</v>
      </c>
      <c r="F18" s="1396" t="s">
        <v>62</v>
      </c>
      <c r="G18" s="14" t="s">
        <v>355</v>
      </c>
      <c r="H18" s="278">
        <v>4.005303413537411</v>
      </c>
      <c r="I18" s="278" t="s">
        <v>761</v>
      </c>
      <c r="J18" s="1399">
        <v>5.48</v>
      </c>
      <c r="K18" s="1401"/>
      <c r="L18" s="1441" t="s">
        <v>1703</v>
      </c>
    </row>
    <row r="19" spans="1:13" x14ac:dyDescent="0.25">
      <c r="A19" s="2"/>
      <c r="B19" s="22" t="s">
        <v>77</v>
      </c>
      <c r="C19" s="13" t="s">
        <v>79</v>
      </c>
      <c r="D19" s="1389" t="s">
        <v>1618</v>
      </c>
      <c r="E19" s="1392" t="s">
        <v>1636</v>
      </c>
      <c r="F19" s="1395" t="s">
        <v>62</v>
      </c>
      <c r="G19" s="14" t="s">
        <v>355</v>
      </c>
      <c r="H19" s="278">
        <v>1.9003264370797937</v>
      </c>
      <c r="I19" s="278" t="s">
        <v>761</v>
      </c>
      <c r="J19" s="1398">
        <v>2.6</v>
      </c>
      <c r="K19" s="1395" t="s">
        <v>1647</v>
      </c>
      <c r="L19" s="1441" t="s">
        <v>1703</v>
      </c>
    </row>
    <row r="20" spans="1:13" x14ac:dyDescent="0.25">
      <c r="A20" s="2"/>
      <c r="B20" s="22" t="s">
        <v>77</v>
      </c>
      <c r="C20" s="13" t="s">
        <v>79</v>
      </c>
      <c r="D20" s="1389" t="s">
        <v>1619</v>
      </c>
      <c r="E20" s="1392" t="s">
        <v>1637</v>
      </c>
      <c r="F20" s="1395" t="s">
        <v>62</v>
      </c>
      <c r="G20" s="14" t="s">
        <v>355</v>
      </c>
      <c r="H20" s="278">
        <v>2.0026517067687055</v>
      </c>
      <c r="I20" s="278" t="s">
        <v>761</v>
      </c>
      <c r="J20" s="1398">
        <v>2.74</v>
      </c>
      <c r="K20" s="1395" t="s">
        <v>1647</v>
      </c>
      <c r="L20" s="1441" t="s">
        <v>1703</v>
      </c>
    </row>
    <row r="21" spans="1:13" x14ac:dyDescent="0.25">
      <c r="A21" s="2"/>
      <c r="B21" s="22" t="s">
        <v>77</v>
      </c>
      <c r="C21" s="13" t="s">
        <v>79</v>
      </c>
      <c r="D21" s="1389" t="s">
        <v>1620</v>
      </c>
      <c r="E21" s="1392" t="s">
        <v>1638</v>
      </c>
      <c r="F21" s="1395" t="s">
        <v>78</v>
      </c>
      <c r="G21" s="14" t="s">
        <v>355</v>
      </c>
      <c r="H21" s="278">
        <v>153.48790453336792</v>
      </c>
      <c r="I21" s="278" t="s">
        <v>761</v>
      </c>
      <c r="J21" s="1398">
        <v>210</v>
      </c>
      <c r="K21" s="1395" t="s">
        <v>1647</v>
      </c>
      <c r="L21" s="1441" t="s">
        <v>1703</v>
      </c>
    </row>
    <row r="22" spans="1:13" ht="27.6" x14ac:dyDescent="0.25">
      <c r="A22" s="2"/>
      <c r="B22" s="24" t="s">
        <v>77</v>
      </c>
      <c r="C22" s="25" t="s">
        <v>79</v>
      </c>
      <c r="D22" s="1389" t="s">
        <v>1621</v>
      </c>
      <c r="E22" s="1392" t="s">
        <v>1639</v>
      </c>
      <c r="F22" s="1395" t="s">
        <v>62</v>
      </c>
      <c r="G22" s="14" t="s">
        <v>355</v>
      </c>
      <c r="H22" s="278">
        <v>1.9953427589337831</v>
      </c>
      <c r="I22" s="278" t="s">
        <v>761</v>
      </c>
      <c r="J22" s="1398">
        <v>2.73</v>
      </c>
      <c r="K22" s="1395" t="s">
        <v>1647</v>
      </c>
      <c r="L22" s="1441" t="s">
        <v>1703</v>
      </c>
    </row>
    <row r="23" spans="1:13" x14ac:dyDescent="0.25">
      <c r="A23" s="2"/>
      <c r="B23" s="22" t="s">
        <v>77</v>
      </c>
      <c r="C23" s="13" t="s">
        <v>79</v>
      </c>
      <c r="D23" s="1389" t="s">
        <v>1622</v>
      </c>
      <c r="E23" s="1392" t="s">
        <v>1640</v>
      </c>
      <c r="F23" s="1395" t="s">
        <v>78</v>
      </c>
      <c r="G23" s="14" t="s">
        <v>355</v>
      </c>
      <c r="H23" s="278">
        <v>9.5089411332338898</v>
      </c>
      <c r="I23" s="278" t="s">
        <v>761</v>
      </c>
      <c r="J23" s="1398">
        <v>13.01</v>
      </c>
      <c r="K23" s="1395" t="s">
        <v>1647</v>
      </c>
      <c r="L23" s="1441" t="s">
        <v>1703</v>
      </c>
      <c r="M23" s="9"/>
    </row>
    <row r="24" spans="1:13" x14ac:dyDescent="0.25">
      <c r="A24" s="2"/>
      <c r="B24" s="22" t="s">
        <v>77</v>
      </c>
      <c r="C24" s="13" t="s">
        <v>79</v>
      </c>
      <c r="D24" s="1389" t="s">
        <v>1623</v>
      </c>
      <c r="E24" s="1392" t="s">
        <v>1641</v>
      </c>
      <c r="F24" s="1395" t="s">
        <v>78</v>
      </c>
      <c r="G24" s="14" t="s">
        <v>355</v>
      </c>
      <c r="H24" s="278">
        <v>44.051028601076602</v>
      </c>
      <c r="I24" s="278" t="s">
        <v>761</v>
      </c>
      <c r="J24" s="1398">
        <v>60.27</v>
      </c>
      <c r="K24" s="1395" t="s">
        <v>1647</v>
      </c>
      <c r="L24" s="1441" t="s">
        <v>1703</v>
      </c>
      <c r="M24" s="9"/>
    </row>
    <row r="25" spans="1:13" ht="27.6" x14ac:dyDescent="0.25">
      <c r="A25" s="2"/>
      <c r="B25" s="22" t="s">
        <v>77</v>
      </c>
      <c r="C25" s="13" t="s">
        <v>79</v>
      </c>
      <c r="D25" s="1389" t="s">
        <v>1624</v>
      </c>
      <c r="E25" s="1392" t="s">
        <v>1642</v>
      </c>
      <c r="F25" s="1395" t="s">
        <v>74</v>
      </c>
      <c r="G25" s="14" t="s">
        <v>355</v>
      </c>
      <c r="H25" s="278">
        <v>44.051028601076602</v>
      </c>
      <c r="I25" s="278" t="s">
        <v>761</v>
      </c>
      <c r="J25" s="1398">
        <v>60.27</v>
      </c>
      <c r="K25" s="1395" t="s">
        <v>1647</v>
      </c>
      <c r="L25" s="1441" t="s">
        <v>1703</v>
      </c>
    </row>
    <row r="26" spans="1:13" x14ac:dyDescent="0.25">
      <c r="A26" s="8"/>
      <c r="B26" s="22" t="s">
        <v>77</v>
      </c>
      <c r="C26" s="13" t="s">
        <v>79</v>
      </c>
      <c r="D26" s="1389" t="s">
        <v>1625</v>
      </c>
      <c r="E26" s="1392" t="s">
        <v>1643</v>
      </c>
      <c r="F26" s="1395" t="s">
        <v>78</v>
      </c>
      <c r="G26" s="14" t="s">
        <v>355</v>
      </c>
      <c r="H26" s="278">
        <v>13.514244546771298</v>
      </c>
      <c r="I26" s="278" t="s">
        <v>761</v>
      </c>
      <c r="J26" s="1398">
        <v>18.489999999999998</v>
      </c>
      <c r="K26" s="1395" t="s">
        <v>1647</v>
      </c>
      <c r="L26" s="1441" t="s">
        <v>1703</v>
      </c>
    </row>
    <row r="27" spans="1:13" x14ac:dyDescent="0.25">
      <c r="A27" s="18"/>
      <c r="B27" s="22" t="s">
        <v>77</v>
      </c>
      <c r="C27" s="13" t="s">
        <v>79</v>
      </c>
      <c r="D27" s="1389" t="s">
        <v>1626</v>
      </c>
      <c r="E27" s="1392" t="s">
        <v>1644</v>
      </c>
      <c r="F27" s="1395" t="s">
        <v>78</v>
      </c>
      <c r="G27" s="14" t="s">
        <v>355</v>
      </c>
      <c r="H27" s="278">
        <v>18.02386536091835</v>
      </c>
      <c r="I27" s="278" t="s">
        <v>761</v>
      </c>
      <c r="J27" s="1398">
        <v>24.66</v>
      </c>
      <c r="K27" s="1395" t="s">
        <v>1647</v>
      </c>
      <c r="L27" s="1441" t="s">
        <v>1703</v>
      </c>
    </row>
    <row r="28" spans="1:13" x14ac:dyDescent="0.25">
      <c r="A28" s="2"/>
      <c r="B28" s="24" t="s">
        <v>77</v>
      </c>
      <c r="C28" s="25" t="s">
        <v>79</v>
      </c>
      <c r="D28" s="1391" t="s">
        <v>1627</v>
      </c>
      <c r="E28" s="1394" t="s">
        <v>1645</v>
      </c>
      <c r="F28" s="1397" t="s">
        <v>62</v>
      </c>
      <c r="G28" s="14" t="s">
        <v>355</v>
      </c>
      <c r="H28" s="278">
        <v>0.86245584452082935</v>
      </c>
      <c r="I28" s="278" t="s">
        <v>761</v>
      </c>
      <c r="J28" s="1400">
        <v>1.18</v>
      </c>
      <c r="K28" s="1395" t="s">
        <v>1647</v>
      </c>
      <c r="L28" s="1441" t="s">
        <v>1703</v>
      </c>
    </row>
    <row r="29" spans="1:13" x14ac:dyDescent="0.25">
      <c r="A29" s="2"/>
      <c r="B29" s="59"/>
      <c r="C29" s="32"/>
      <c r="D29" s="32"/>
      <c r="E29" s="21"/>
      <c r="F29" s="21"/>
      <c r="G29" s="21"/>
      <c r="H29" s="1142"/>
      <c r="I29" s="1142"/>
      <c r="J29" s="1142"/>
      <c r="K29" s="21"/>
      <c r="L29" s="60"/>
    </row>
    <row r="30" spans="1:13" ht="14.4" thickBot="1" x14ac:dyDescent="0.3">
      <c r="A30" s="2"/>
      <c r="B30" s="59"/>
      <c r="C30" s="32"/>
      <c r="D30" s="32"/>
      <c r="E30" s="21"/>
      <c r="F30" s="21"/>
      <c r="G30" s="21"/>
      <c r="H30" s="41"/>
      <c r="I30" s="41"/>
      <c r="J30" s="21"/>
      <c r="K30" s="60"/>
      <c r="M30" s="9"/>
    </row>
    <row r="31" spans="1:13" ht="42" thickBot="1" x14ac:dyDescent="0.3">
      <c r="A31" s="2"/>
      <c r="B31" s="516" t="s">
        <v>81</v>
      </c>
      <c r="C31" s="27"/>
      <c r="D31" s="27"/>
      <c r="E31" s="28"/>
      <c r="F31" s="28"/>
      <c r="G31" s="28"/>
      <c r="H31" s="29"/>
      <c r="I31" s="29"/>
      <c r="J31" s="28"/>
      <c r="K31" s="30"/>
      <c r="M31" s="9"/>
    </row>
    <row r="32" spans="1:13" ht="28.2" thickBot="1" x14ac:dyDescent="0.3">
      <c r="A32" s="2"/>
      <c r="B32" s="500" t="s">
        <v>63</v>
      </c>
      <c r="C32" s="501" t="s">
        <v>64</v>
      </c>
      <c r="D32" s="501" t="s">
        <v>65</v>
      </c>
      <c r="E32" s="501" t="s">
        <v>66</v>
      </c>
      <c r="F32" s="501" t="s">
        <v>67</v>
      </c>
      <c r="G32" s="501" t="s">
        <v>68</v>
      </c>
      <c r="H32" s="501" t="s">
        <v>69</v>
      </c>
      <c r="I32" s="501" t="s">
        <v>70</v>
      </c>
      <c r="J32" s="501" t="s">
        <v>71</v>
      </c>
      <c r="K32" s="501" t="s">
        <v>72</v>
      </c>
      <c r="L32" s="510" t="s">
        <v>73</v>
      </c>
    </row>
    <row r="33" spans="1:13" x14ac:dyDescent="0.25">
      <c r="A33" s="8"/>
      <c r="B33" s="508" t="s">
        <v>82</v>
      </c>
      <c r="C33" s="506" t="s">
        <v>83</v>
      </c>
      <c r="D33" s="503" t="s">
        <v>77</v>
      </c>
      <c r="E33" s="509" t="s">
        <v>84</v>
      </c>
      <c r="F33" s="503" t="s">
        <v>77</v>
      </c>
      <c r="G33" s="1305"/>
      <c r="H33" s="280">
        <f>SUM(H35:H39)</f>
        <v>10.28</v>
      </c>
      <c r="I33" s="280">
        <f>SUM(I35:I39)</f>
        <v>0</v>
      </c>
      <c r="J33" s="511" t="s">
        <v>77</v>
      </c>
      <c r="K33" s="506" t="s">
        <v>77</v>
      </c>
      <c r="L33" s="507" t="s">
        <v>1701</v>
      </c>
    </row>
    <row r="34" spans="1:13" x14ac:dyDescent="0.25">
      <c r="A34" s="18"/>
      <c r="B34" s="22" t="s">
        <v>77</v>
      </c>
      <c r="C34" s="13" t="s">
        <v>77</v>
      </c>
      <c r="D34" s="16" t="s">
        <v>85</v>
      </c>
      <c r="E34" s="16" t="s">
        <v>1651</v>
      </c>
      <c r="F34" s="1403" t="s">
        <v>62</v>
      </c>
      <c r="G34" s="14" t="s">
        <v>355</v>
      </c>
      <c r="H34" s="278">
        <f>SUM(H35:H39)</f>
        <v>10.28</v>
      </c>
      <c r="I34" s="278">
        <f>SUM(I35:I39)</f>
        <v>0</v>
      </c>
      <c r="J34" s="362">
        <v>10.28</v>
      </c>
      <c r="K34" s="1395" t="s">
        <v>1699</v>
      </c>
      <c r="L34" s="37" t="s">
        <v>77</v>
      </c>
    </row>
    <row r="35" spans="1:13" x14ac:dyDescent="0.25">
      <c r="A35" s="2"/>
      <c r="B35" s="22" t="s">
        <v>77</v>
      </c>
      <c r="C35" s="13" t="s">
        <v>79</v>
      </c>
      <c r="D35" s="1389" t="s">
        <v>1648</v>
      </c>
      <c r="E35" s="1392" t="s">
        <v>1652</v>
      </c>
      <c r="F35" s="1395" t="s">
        <v>62</v>
      </c>
      <c r="G35" s="14" t="s">
        <v>355</v>
      </c>
      <c r="H35" s="281"/>
      <c r="I35" s="281" t="s">
        <v>761</v>
      </c>
      <c r="J35" s="1405">
        <v>3.29</v>
      </c>
      <c r="K35" s="1395" t="s">
        <v>1699</v>
      </c>
      <c r="L35" s="38" t="s">
        <v>1700</v>
      </c>
    </row>
    <row r="36" spans="1:13" x14ac:dyDescent="0.25">
      <c r="A36" s="2"/>
      <c r="B36" s="22" t="s">
        <v>77</v>
      </c>
      <c r="C36" s="13" t="s">
        <v>79</v>
      </c>
      <c r="D36" s="1390" t="s">
        <v>1649</v>
      </c>
      <c r="E36" s="1402" t="s">
        <v>1653</v>
      </c>
      <c r="F36" s="1404" t="s">
        <v>62</v>
      </c>
      <c r="G36" s="14" t="s">
        <v>355</v>
      </c>
      <c r="H36" s="281">
        <v>10.28</v>
      </c>
      <c r="I36" s="281" t="s">
        <v>761</v>
      </c>
      <c r="J36" s="282">
        <v>10.28</v>
      </c>
      <c r="K36" s="1395" t="s">
        <v>1699</v>
      </c>
      <c r="L36" s="38"/>
    </row>
    <row r="37" spans="1:13" x14ac:dyDescent="0.25">
      <c r="A37" s="2"/>
      <c r="B37" s="22" t="s">
        <v>77</v>
      </c>
      <c r="C37" s="13" t="s">
        <v>79</v>
      </c>
      <c r="D37" s="1390" t="s">
        <v>1650</v>
      </c>
      <c r="E37" s="1393" t="s">
        <v>1654</v>
      </c>
      <c r="F37" s="1396" t="s">
        <v>62</v>
      </c>
      <c r="G37" s="14" t="s">
        <v>355</v>
      </c>
      <c r="H37" s="281"/>
      <c r="I37" s="281" t="s">
        <v>761</v>
      </c>
      <c r="J37" s="282">
        <v>10.28</v>
      </c>
      <c r="K37" s="1395" t="s">
        <v>1699</v>
      </c>
      <c r="L37" s="38"/>
      <c r="M37" s="9"/>
    </row>
    <row r="38" spans="1:13" x14ac:dyDescent="0.25">
      <c r="A38" s="2"/>
      <c r="B38" s="22" t="s">
        <v>77</v>
      </c>
      <c r="C38" s="13" t="s">
        <v>79</v>
      </c>
      <c r="D38" s="17"/>
      <c r="E38" s="17"/>
      <c r="F38" s="14"/>
      <c r="G38" s="26"/>
      <c r="H38" s="281"/>
      <c r="I38" s="281"/>
      <c r="J38" s="282"/>
      <c r="K38" s="14"/>
      <c r="L38" s="38"/>
      <c r="M38" s="9"/>
    </row>
    <row r="39" spans="1:13" x14ac:dyDescent="0.25">
      <c r="A39" s="2"/>
      <c r="B39" s="24" t="s">
        <v>77</v>
      </c>
      <c r="C39" s="25" t="s">
        <v>79</v>
      </c>
      <c r="D39" s="39"/>
      <c r="E39" s="39"/>
      <c r="F39" s="14"/>
      <c r="G39" s="26"/>
      <c r="H39" s="283"/>
      <c r="I39" s="283"/>
      <c r="J39" s="284"/>
      <c r="K39" s="26"/>
      <c r="L39" s="40"/>
    </row>
    <row r="40" spans="1:13" x14ac:dyDescent="0.25">
      <c r="A40" s="18"/>
      <c r="B40" s="59"/>
      <c r="C40" s="32"/>
      <c r="D40" s="33"/>
      <c r="E40" s="33"/>
      <c r="F40" s="34"/>
      <c r="G40" s="34"/>
      <c r="H40" s="1144"/>
      <c r="I40" s="1144"/>
      <c r="J40" s="1145"/>
      <c r="K40" s="21"/>
      <c r="L40" s="9"/>
    </row>
    <row r="41" spans="1:13" ht="14.4" thickBot="1" x14ac:dyDescent="0.3">
      <c r="A41" s="18"/>
      <c r="B41" s="59"/>
      <c r="C41" s="32"/>
      <c r="D41" s="33"/>
      <c r="E41" s="33"/>
      <c r="F41" s="34"/>
      <c r="G41" s="34"/>
      <c r="H41" s="35"/>
      <c r="I41" s="36"/>
      <c r="J41" s="21"/>
      <c r="K41" s="9"/>
      <c r="L41" s="9"/>
    </row>
    <row r="42" spans="1:13" ht="42" thickBot="1" x14ac:dyDescent="0.3">
      <c r="A42" s="18"/>
      <c r="B42" s="515" t="s">
        <v>86</v>
      </c>
      <c r="C42" s="32"/>
      <c r="D42" s="33"/>
      <c r="E42" s="33"/>
      <c r="F42" s="34"/>
      <c r="G42" s="34"/>
      <c r="H42" s="35"/>
      <c r="I42" s="36"/>
      <c r="J42" s="21"/>
      <c r="K42" s="9"/>
    </row>
    <row r="43" spans="1:13" ht="28.2" thickBot="1" x14ac:dyDescent="0.3">
      <c r="A43" s="18"/>
      <c r="B43" s="512" t="s">
        <v>63</v>
      </c>
      <c r="C43" s="501" t="s">
        <v>64</v>
      </c>
      <c r="D43" s="501" t="s">
        <v>65</v>
      </c>
      <c r="E43" s="501" t="s">
        <v>66</v>
      </c>
      <c r="F43" s="501" t="s">
        <v>67</v>
      </c>
      <c r="G43" s="501" t="s">
        <v>68</v>
      </c>
      <c r="H43" s="501" t="s">
        <v>69</v>
      </c>
      <c r="I43" s="1192" t="s">
        <v>70</v>
      </c>
      <c r="J43" s="501" t="s">
        <v>71</v>
      </c>
      <c r="K43" s="501" t="s">
        <v>87</v>
      </c>
      <c r="L43" s="504" t="s">
        <v>73</v>
      </c>
    </row>
    <row r="44" spans="1:13" x14ac:dyDescent="0.25">
      <c r="B44" s="508" t="s">
        <v>88</v>
      </c>
      <c r="C44" s="506" t="s">
        <v>89</v>
      </c>
      <c r="D44" s="506" t="s">
        <v>77</v>
      </c>
      <c r="E44" s="506" t="s">
        <v>77</v>
      </c>
      <c r="F44" s="506" t="s">
        <v>77</v>
      </c>
      <c r="G44" s="1305"/>
      <c r="H44" s="277">
        <f>SUM(H45:H46)</f>
        <v>0</v>
      </c>
      <c r="I44" s="277">
        <f>SUM(I45:I46)</f>
        <v>0</v>
      </c>
      <c r="J44" s="277">
        <f>SUM(J45:J46)</f>
        <v>4.1100000000000003</v>
      </c>
      <c r="K44" s="506" t="s">
        <v>77</v>
      </c>
      <c r="L44" s="507" t="s">
        <v>77</v>
      </c>
    </row>
    <row r="45" spans="1:13" x14ac:dyDescent="0.25">
      <c r="B45" s="22" t="s">
        <v>77</v>
      </c>
      <c r="C45" s="13" t="s">
        <v>79</v>
      </c>
      <c r="D45" s="1389" t="s">
        <v>1655</v>
      </c>
      <c r="E45" s="1395" t="s">
        <v>1656</v>
      </c>
      <c r="F45" s="1395" t="s">
        <v>62</v>
      </c>
      <c r="G45" s="14" t="s">
        <v>355</v>
      </c>
      <c r="H45" s="278">
        <v>0</v>
      </c>
      <c r="I45" s="278" t="s">
        <v>761</v>
      </c>
      <c r="J45" s="278">
        <v>4.1100000000000003</v>
      </c>
      <c r="K45" s="14" t="s">
        <v>1657</v>
      </c>
      <c r="L45" s="38" t="s">
        <v>1658</v>
      </c>
    </row>
    <row r="46" spans="1:13" x14ac:dyDescent="0.25">
      <c r="A46" s="10"/>
      <c r="B46" s="24" t="s">
        <v>77</v>
      </c>
      <c r="C46" s="25" t="s">
        <v>79</v>
      </c>
      <c r="D46" s="25"/>
      <c r="E46" s="26"/>
      <c r="F46" s="14"/>
      <c r="G46" s="26"/>
      <c r="H46" s="279"/>
      <c r="I46" s="279"/>
      <c r="J46" s="279"/>
      <c r="K46" s="26"/>
      <c r="L46" s="40"/>
    </row>
    <row r="47" spans="1:13" x14ac:dyDescent="0.25">
      <c r="A47" s="10"/>
      <c r="B47" s="59"/>
      <c r="C47" s="32"/>
      <c r="D47" s="32"/>
      <c r="E47" s="21"/>
      <c r="F47" s="21"/>
      <c r="G47" s="21"/>
      <c r="H47" s="1142"/>
      <c r="I47" s="1142"/>
      <c r="J47" s="1142"/>
      <c r="K47" s="21"/>
      <c r="L47" s="9"/>
    </row>
    <row r="48" spans="1:13" ht="14.4" thickBot="1" x14ac:dyDescent="0.3">
      <c r="A48" s="2"/>
      <c r="B48" s="59"/>
      <c r="C48" s="32"/>
      <c r="D48" s="32"/>
      <c r="E48" s="21"/>
      <c r="F48" s="21"/>
      <c r="G48" s="21"/>
      <c r="H48" s="41"/>
      <c r="I48" s="41"/>
      <c r="J48" s="21"/>
      <c r="K48" s="9"/>
      <c r="L48" s="9"/>
    </row>
    <row r="49" spans="1:12" ht="46.5" customHeight="1" thickBot="1" x14ac:dyDescent="0.3">
      <c r="A49" s="2"/>
      <c r="B49" s="515" t="s">
        <v>90</v>
      </c>
      <c r="C49" s="58"/>
      <c r="D49" s="32"/>
      <c r="E49" s="21"/>
      <c r="F49" s="21"/>
      <c r="G49" s="21"/>
      <c r="H49" s="41"/>
      <c r="I49" s="41"/>
      <c r="J49" s="21"/>
      <c r="K49" s="9"/>
    </row>
    <row r="50" spans="1:12" ht="15.6" customHeight="1" thickBot="1" x14ac:dyDescent="0.3">
      <c r="B50" s="512" t="s">
        <v>63</v>
      </c>
      <c r="C50" s="501" t="s">
        <v>64</v>
      </c>
      <c r="D50" s="501" t="s">
        <v>65</v>
      </c>
      <c r="E50" s="501" t="s">
        <v>66</v>
      </c>
      <c r="F50" s="501" t="s">
        <v>67</v>
      </c>
      <c r="G50" s="501" t="s">
        <v>68</v>
      </c>
      <c r="H50" s="501" t="s">
        <v>69</v>
      </c>
      <c r="I50" s="1192" t="s">
        <v>70</v>
      </c>
      <c r="J50" s="501" t="s">
        <v>71</v>
      </c>
      <c r="K50" s="501" t="s">
        <v>87</v>
      </c>
      <c r="L50" s="504" t="s">
        <v>73</v>
      </c>
    </row>
    <row r="51" spans="1:12" ht="15.6" customHeight="1" x14ac:dyDescent="0.25">
      <c r="B51" s="508" t="s">
        <v>91</v>
      </c>
      <c r="C51" s="506" t="s">
        <v>92</v>
      </c>
      <c r="D51" s="506"/>
      <c r="E51" s="506"/>
      <c r="F51" s="506"/>
      <c r="G51" s="1305"/>
      <c r="H51" s="277">
        <f>SUM(H52:H53)</f>
        <v>0</v>
      </c>
      <c r="I51" s="277">
        <f>SUM(I52:I53)</f>
        <v>0</v>
      </c>
      <c r="J51" s="277">
        <f>SUM(J52:J53)</f>
        <v>0</v>
      </c>
      <c r="K51" s="506" t="s">
        <v>77</v>
      </c>
      <c r="L51" s="507" t="s">
        <v>77</v>
      </c>
    </row>
    <row r="52" spans="1:12" ht="15.6" customHeight="1" x14ac:dyDescent="0.25">
      <c r="B52" s="22" t="s">
        <v>77</v>
      </c>
      <c r="C52" s="13" t="s">
        <v>79</v>
      </c>
      <c r="D52" s="13"/>
      <c r="E52" s="14"/>
      <c r="F52" s="14"/>
      <c r="G52" s="14"/>
      <c r="H52" s="278"/>
      <c r="I52" s="278"/>
      <c r="J52" s="278"/>
      <c r="K52" s="14"/>
      <c r="L52" s="38"/>
    </row>
    <row r="53" spans="1:12" ht="15.6" customHeight="1" x14ac:dyDescent="0.25">
      <c r="B53" s="24" t="s">
        <v>77</v>
      </c>
      <c r="C53" s="25" t="s">
        <v>79</v>
      </c>
      <c r="D53" s="25"/>
      <c r="E53" s="26"/>
      <c r="F53" s="14"/>
      <c r="G53" s="26"/>
      <c r="H53" s="279"/>
      <c r="I53" s="279"/>
      <c r="J53" s="279"/>
      <c r="K53" s="26"/>
      <c r="L53" s="40"/>
    </row>
    <row r="54" spans="1:12" x14ac:dyDescent="0.25">
      <c r="B54" s="59"/>
      <c r="C54" s="32"/>
      <c r="D54" s="32"/>
      <c r="E54" s="21"/>
      <c r="F54" s="21"/>
      <c r="G54" s="21"/>
      <c r="H54" s="1142"/>
      <c r="I54" s="1142"/>
      <c r="J54" s="1142"/>
      <c r="K54" s="21"/>
      <c r="L54" s="9"/>
    </row>
    <row r="55" spans="1:12" ht="14.4" thickBot="1" x14ac:dyDescent="0.3">
      <c r="A55" s="2"/>
      <c r="B55" s="59"/>
      <c r="C55" s="32"/>
      <c r="D55" s="32"/>
      <c r="E55" s="21"/>
      <c r="F55" s="21"/>
      <c r="G55" s="21"/>
      <c r="H55" s="41"/>
      <c r="I55" s="41"/>
      <c r="J55" s="21"/>
      <c r="K55" s="9"/>
      <c r="L55" s="9"/>
    </row>
    <row r="56" spans="1:12" ht="45.75" customHeight="1" thickBot="1" x14ac:dyDescent="0.3">
      <c r="A56" s="2"/>
      <c r="B56" s="515" t="s">
        <v>93</v>
      </c>
      <c r="C56" s="58"/>
      <c r="D56" s="32"/>
      <c r="E56" s="21"/>
      <c r="F56" s="21"/>
      <c r="G56" s="21"/>
      <c r="H56" s="41"/>
      <c r="I56" s="41"/>
      <c r="J56" s="21"/>
      <c r="K56" s="9"/>
    </row>
    <row r="57" spans="1:12" ht="15.6" customHeight="1" thickBot="1" x14ac:dyDescent="0.3">
      <c r="B57" s="512" t="s">
        <v>63</v>
      </c>
      <c r="C57" s="501" t="s">
        <v>64</v>
      </c>
      <c r="D57" s="501" t="s">
        <v>65</v>
      </c>
      <c r="E57" s="501" t="s">
        <v>66</v>
      </c>
      <c r="F57" s="501" t="s">
        <v>67</v>
      </c>
      <c r="G57" s="501" t="s">
        <v>68</v>
      </c>
      <c r="H57" s="501" t="s">
        <v>69</v>
      </c>
      <c r="I57" s="1192" t="s">
        <v>70</v>
      </c>
      <c r="J57" s="501" t="s">
        <v>71</v>
      </c>
      <c r="K57" s="501" t="s">
        <v>94</v>
      </c>
      <c r="L57" s="504" t="s">
        <v>73</v>
      </c>
    </row>
    <row r="58" spans="1:12" x14ac:dyDescent="0.25">
      <c r="B58" s="508" t="s">
        <v>95</v>
      </c>
      <c r="C58" s="506" t="s">
        <v>96</v>
      </c>
      <c r="D58" s="506" t="s">
        <v>77</v>
      </c>
      <c r="E58" s="506" t="s">
        <v>77</v>
      </c>
      <c r="F58" s="506" t="s">
        <v>77</v>
      </c>
      <c r="G58" s="1305"/>
      <c r="H58" s="277">
        <f>SUM(H59:H60)</f>
        <v>0</v>
      </c>
      <c r="I58" s="277">
        <f>SUM(I59:I60)</f>
        <v>0</v>
      </c>
      <c r="J58" s="277">
        <f>SUM(J59:J60)</f>
        <v>0</v>
      </c>
      <c r="K58" s="506" t="s">
        <v>77</v>
      </c>
      <c r="L58" s="507" t="s">
        <v>77</v>
      </c>
    </row>
    <row r="59" spans="1:12" x14ac:dyDescent="0.25">
      <c r="B59" s="22" t="s">
        <v>77</v>
      </c>
      <c r="C59" s="13" t="s">
        <v>79</v>
      </c>
      <c r="D59" s="13"/>
      <c r="E59" s="14"/>
      <c r="F59" s="14"/>
      <c r="G59" s="14"/>
      <c r="H59" s="278"/>
      <c r="I59" s="278"/>
      <c r="J59" s="278"/>
      <c r="K59" s="14"/>
      <c r="L59" s="38"/>
    </row>
    <row r="60" spans="1:12" x14ac:dyDescent="0.25">
      <c r="B60" s="24" t="s">
        <v>77</v>
      </c>
      <c r="C60" s="25" t="s">
        <v>79</v>
      </c>
      <c r="D60" s="25"/>
      <c r="E60" s="26"/>
      <c r="F60" s="14"/>
      <c r="G60" s="26"/>
      <c r="H60" s="279"/>
      <c r="I60" s="279"/>
      <c r="J60" s="279"/>
      <c r="K60" s="26"/>
      <c r="L60" s="40"/>
    </row>
    <row r="61" spans="1:12" x14ac:dyDescent="0.25">
      <c r="B61" s="59"/>
      <c r="C61" s="32"/>
      <c r="D61" s="32"/>
      <c r="E61" s="21"/>
      <c r="F61" s="21"/>
      <c r="G61" s="21"/>
      <c r="H61" s="1142"/>
      <c r="I61" s="1142"/>
      <c r="J61" s="1142"/>
      <c r="K61" s="21"/>
      <c r="L61" s="9"/>
    </row>
    <row r="62" spans="1:12" ht="14.4" thickBot="1" x14ac:dyDescent="0.3">
      <c r="L62" s="6"/>
    </row>
    <row r="63" spans="1:12" ht="42" thickBot="1" x14ac:dyDescent="0.3">
      <c r="B63" s="516" t="s">
        <v>97</v>
      </c>
      <c r="C63" s="6"/>
      <c r="D63" s="6"/>
      <c r="E63" s="6"/>
      <c r="F63" s="6"/>
      <c r="G63" s="6"/>
      <c r="H63" s="6"/>
      <c r="I63" s="6"/>
      <c r="J63" s="6"/>
      <c r="K63" s="6"/>
    </row>
    <row r="64" spans="1:12" ht="28.2" thickBot="1" x14ac:dyDescent="0.3">
      <c r="B64" s="513" t="s">
        <v>63</v>
      </c>
      <c r="C64" s="513" t="s">
        <v>64</v>
      </c>
      <c r="D64" s="513" t="s">
        <v>98</v>
      </c>
      <c r="E64" s="513" t="s">
        <v>99</v>
      </c>
      <c r="F64" s="513" t="s">
        <v>100</v>
      </c>
      <c r="G64" s="513" t="s">
        <v>101</v>
      </c>
      <c r="H64" s="513" t="s">
        <v>69</v>
      </c>
      <c r="I64" s="513" t="s">
        <v>70</v>
      </c>
      <c r="J64" s="513" t="s">
        <v>102</v>
      </c>
      <c r="K64" s="513" t="s">
        <v>103</v>
      </c>
      <c r="L64" s="514" t="s">
        <v>73</v>
      </c>
    </row>
    <row r="65" spans="2:12" ht="55.2" x14ac:dyDescent="0.25">
      <c r="B65" s="51" t="s">
        <v>104</v>
      </c>
      <c r="C65" s="52" t="s">
        <v>79</v>
      </c>
      <c r="D65" s="1406" t="s">
        <v>1659</v>
      </c>
      <c r="E65" s="1406" t="s">
        <v>1660</v>
      </c>
      <c r="F65" s="1406" t="s">
        <v>1597</v>
      </c>
      <c r="G65" s="1406" t="s">
        <v>355</v>
      </c>
      <c r="H65" s="1407">
        <v>1.06</v>
      </c>
      <c r="I65" s="1407">
        <v>1.5</v>
      </c>
      <c r="J65" s="1407">
        <v>1.5</v>
      </c>
      <c r="K65" s="1406" t="s">
        <v>1661</v>
      </c>
      <c r="L65" s="1408" t="s">
        <v>1662</v>
      </c>
    </row>
    <row r="66" spans="2:12" x14ac:dyDescent="0.25">
      <c r="B66" s="19" t="s">
        <v>77</v>
      </c>
      <c r="C66" s="13" t="s">
        <v>79</v>
      </c>
      <c r="D66" s="14"/>
      <c r="E66" s="14"/>
      <c r="F66" s="14"/>
      <c r="G66" s="14"/>
      <c r="H66" s="278"/>
      <c r="I66" s="278"/>
      <c r="J66" s="278"/>
      <c r="K66" s="16"/>
      <c r="L66" s="23"/>
    </row>
    <row r="67" spans="2:12" x14ac:dyDescent="0.25">
      <c r="B67" s="42" t="s">
        <v>77</v>
      </c>
      <c r="C67" s="25" t="s">
        <v>79</v>
      </c>
      <c r="D67" s="43"/>
      <c r="E67" s="43"/>
      <c r="F67" s="43"/>
      <c r="G67" s="43"/>
      <c r="H67" s="285"/>
      <c r="I67" s="285"/>
      <c r="J67" s="285"/>
      <c r="K67" s="43"/>
      <c r="L67" s="44"/>
    </row>
    <row r="68" spans="2:12" x14ac:dyDescent="0.25">
      <c r="B68" s="31"/>
      <c r="C68" s="32"/>
      <c r="H68" s="1143"/>
      <c r="I68" s="1143"/>
      <c r="J68" s="1143"/>
    </row>
    <row r="69" spans="2:12" ht="14.4" thickBot="1" x14ac:dyDescent="0.3">
      <c r="B69" s="4"/>
      <c r="C69" s="32"/>
    </row>
    <row r="70" spans="2:12" ht="42" thickBot="1" x14ac:dyDescent="0.3">
      <c r="B70" s="516" t="s">
        <v>105</v>
      </c>
      <c r="C70" s="31"/>
      <c r="D70" s="32"/>
    </row>
    <row r="71" spans="2:12" ht="28.2" thickBot="1" x14ac:dyDescent="0.3">
      <c r="B71" s="513" t="s">
        <v>63</v>
      </c>
      <c r="C71" s="513" t="s">
        <v>64</v>
      </c>
      <c r="D71" s="513" t="s">
        <v>98</v>
      </c>
      <c r="E71" s="513" t="s">
        <v>99</v>
      </c>
      <c r="F71" s="513" t="s">
        <v>100</v>
      </c>
      <c r="G71" s="513" t="s">
        <v>101</v>
      </c>
      <c r="H71" s="513" t="s">
        <v>69</v>
      </c>
      <c r="I71" s="513" t="s">
        <v>70</v>
      </c>
      <c r="J71" s="513" t="s">
        <v>102</v>
      </c>
      <c r="K71" s="513" t="s">
        <v>103</v>
      </c>
      <c r="L71" s="514" t="s">
        <v>73</v>
      </c>
    </row>
    <row r="72" spans="2:12" ht="14.4" thickBot="1" x14ac:dyDescent="0.3">
      <c r="B72" s="51" t="s">
        <v>106</v>
      </c>
      <c r="C72" s="52" t="s">
        <v>79</v>
      </c>
      <c r="D72" s="1406" t="s">
        <v>1663</v>
      </c>
      <c r="E72" s="1409">
        <v>56467</v>
      </c>
      <c r="F72" s="1406" t="s">
        <v>355</v>
      </c>
      <c r="G72" s="1406" t="s">
        <v>1597</v>
      </c>
      <c r="H72" s="1407">
        <v>0.3</v>
      </c>
      <c r="I72" s="1407">
        <v>0.3</v>
      </c>
      <c r="J72" s="1407">
        <v>0.3</v>
      </c>
      <c r="K72" s="1406" t="s">
        <v>1664</v>
      </c>
      <c r="L72" s="1408" t="s">
        <v>1665</v>
      </c>
    </row>
    <row r="73" spans="2:12" ht="14.4" thickBot="1" x14ac:dyDescent="0.3">
      <c r="B73" s="19" t="s">
        <v>77</v>
      </c>
      <c r="C73" s="13" t="s">
        <v>79</v>
      </c>
      <c r="D73" s="1410" t="s">
        <v>1666</v>
      </c>
      <c r="E73" s="1410" t="s">
        <v>761</v>
      </c>
      <c r="F73" s="1406" t="s">
        <v>355</v>
      </c>
      <c r="G73" s="1406" t="s">
        <v>1597</v>
      </c>
      <c r="H73" s="1411">
        <v>0.04</v>
      </c>
      <c r="I73" s="1411">
        <v>0.05</v>
      </c>
      <c r="J73" s="1411" t="s">
        <v>761</v>
      </c>
      <c r="K73" s="1412" t="s">
        <v>1664</v>
      </c>
      <c r="L73" s="1413"/>
    </row>
    <row r="74" spans="2:12" ht="42" thickBot="1" x14ac:dyDescent="0.3">
      <c r="B74" s="42" t="s">
        <v>77</v>
      </c>
      <c r="C74" s="25" t="s">
        <v>79</v>
      </c>
      <c r="D74" s="1414" t="s">
        <v>1667</v>
      </c>
      <c r="E74" s="1414" t="s">
        <v>1660</v>
      </c>
      <c r="F74" s="1406" t="s">
        <v>355</v>
      </c>
      <c r="G74" s="1406" t="s">
        <v>1597</v>
      </c>
      <c r="H74" s="1415">
        <v>8.4</v>
      </c>
      <c r="I74" s="1416">
        <v>8.4</v>
      </c>
      <c r="J74" s="1416">
        <v>8.4</v>
      </c>
      <c r="K74" s="1416" t="s">
        <v>2026</v>
      </c>
      <c r="L74" s="1415" t="s">
        <v>2023</v>
      </c>
    </row>
    <row r="75" spans="2:12" ht="14.4" thickBot="1" x14ac:dyDescent="0.3">
      <c r="B75" s="42" t="s">
        <v>77</v>
      </c>
      <c r="C75" s="25" t="s">
        <v>79</v>
      </c>
      <c r="D75" s="1414" t="s">
        <v>1668</v>
      </c>
      <c r="E75" s="1414" t="s">
        <v>761</v>
      </c>
      <c r="F75" s="1406" t="s">
        <v>1597</v>
      </c>
      <c r="G75" s="1406" t="s">
        <v>355</v>
      </c>
      <c r="H75" s="1416">
        <v>0.13</v>
      </c>
      <c r="I75" s="1416">
        <v>0.16</v>
      </c>
      <c r="J75" s="1416" t="s">
        <v>761</v>
      </c>
      <c r="K75" s="1417" t="s">
        <v>1664</v>
      </c>
      <c r="L75" s="1418"/>
    </row>
    <row r="76" spans="2:12" ht="14.4" thickBot="1" x14ac:dyDescent="0.3">
      <c r="B76" s="42" t="s">
        <v>77</v>
      </c>
      <c r="C76" s="25" t="s">
        <v>79</v>
      </c>
      <c r="D76" s="1414" t="s">
        <v>1669</v>
      </c>
      <c r="E76" s="1419">
        <f>E72</f>
        <v>56467</v>
      </c>
      <c r="F76" s="1406" t="s">
        <v>1597</v>
      </c>
      <c r="G76" s="1406" t="s">
        <v>355</v>
      </c>
      <c r="H76" s="1416">
        <v>0.3</v>
      </c>
      <c r="I76" s="1416">
        <v>0.3</v>
      </c>
      <c r="J76" s="1416">
        <v>0.3</v>
      </c>
      <c r="K76" s="1417" t="s">
        <v>1664</v>
      </c>
      <c r="L76" s="1418" t="s">
        <v>1670</v>
      </c>
    </row>
    <row r="77" spans="2:12" ht="14.4" thickBot="1" x14ac:dyDescent="0.3">
      <c r="B77" s="42" t="s">
        <v>77</v>
      </c>
      <c r="C77" s="25" t="s">
        <v>79</v>
      </c>
      <c r="D77" s="1414" t="s">
        <v>1671</v>
      </c>
      <c r="E77" s="1414" t="s">
        <v>761</v>
      </c>
      <c r="F77" s="1406" t="s">
        <v>1597</v>
      </c>
      <c r="G77" s="1406" t="s">
        <v>355</v>
      </c>
      <c r="H77" s="1416">
        <v>0.09</v>
      </c>
      <c r="I77" s="1416">
        <v>0.11</v>
      </c>
      <c r="J77" s="1416" t="s">
        <v>761</v>
      </c>
      <c r="K77" s="1417" t="s">
        <v>1664</v>
      </c>
      <c r="L77" s="1418"/>
    </row>
    <row r="78" spans="2:12" x14ac:dyDescent="0.25">
      <c r="B78" s="42" t="s">
        <v>77</v>
      </c>
      <c r="C78" s="25" t="s">
        <v>79</v>
      </c>
      <c r="D78" s="1414" t="s">
        <v>1672</v>
      </c>
      <c r="E78" s="1414" t="s">
        <v>761</v>
      </c>
      <c r="F78" s="1406" t="s">
        <v>1597</v>
      </c>
      <c r="G78" s="1406" t="s">
        <v>355</v>
      </c>
      <c r="H78" s="1416">
        <v>0.01</v>
      </c>
      <c r="I78" s="1416">
        <v>0.01</v>
      </c>
      <c r="J78" s="1416" t="s">
        <v>761</v>
      </c>
      <c r="K78" s="1417" t="s">
        <v>1664</v>
      </c>
      <c r="L78" s="1418"/>
    </row>
  </sheetData>
  <conditionalFormatting sqref="D11 D18">
    <cfRule type="cellIs" dxfId="142" priority="144" stopIfTrue="1" operator="equal">
      <formula>""</formula>
    </cfRule>
    <cfRule type="cellIs" dxfId="141" priority="145" stopIfTrue="1" operator="equal">
      <formula>""</formula>
    </cfRule>
  </conditionalFormatting>
  <conditionalFormatting sqref="D12:D17">
    <cfRule type="cellIs" dxfId="140" priority="138" stopIfTrue="1" operator="equal">
      <formula>""</formula>
    </cfRule>
  </conditionalFormatting>
  <conditionalFormatting sqref="D19:D28">
    <cfRule type="cellIs" dxfId="139" priority="128" stopIfTrue="1" operator="equal">
      <formula>""</formula>
    </cfRule>
  </conditionalFormatting>
  <conditionalFormatting sqref="D35">
    <cfRule type="cellIs" dxfId="138" priority="18" stopIfTrue="1" operator="equal">
      <formula>""</formula>
    </cfRule>
  </conditionalFormatting>
  <conditionalFormatting sqref="D36:D37">
    <cfRule type="cellIs" dxfId="137" priority="20" stopIfTrue="1" operator="equal">
      <formula>""</formula>
    </cfRule>
    <cfRule type="cellIs" dxfId="136" priority="19" stopIfTrue="1" operator="equal">
      <formula>""</formula>
    </cfRule>
  </conditionalFormatting>
  <conditionalFormatting sqref="D45:F45">
    <cfRule type="cellIs" dxfId="135" priority="1" stopIfTrue="1" operator="equal">
      <formula>""</formula>
    </cfRule>
  </conditionalFormatting>
  <conditionalFormatting sqref="E11">
    <cfRule type="cellIs" dxfId="134" priority="124" stopIfTrue="1" operator="equal">
      <formula>""</formula>
    </cfRule>
    <cfRule type="cellIs" dxfId="133" priority="125" stopIfTrue="1" operator="equal">
      <formula>""</formula>
    </cfRule>
  </conditionalFormatting>
  <conditionalFormatting sqref="E12:E17">
    <cfRule type="cellIs" dxfId="132" priority="118" stopIfTrue="1" operator="equal">
      <formula>""</formula>
    </cfRule>
  </conditionalFormatting>
  <conditionalFormatting sqref="E18">
    <cfRule type="cellIs" dxfId="131" priority="126" stopIfTrue="1" operator="equal">
      <formula>""</formula>
    </cfRule>
    <cfRule type="cellIs" dxfId="130" priority="127" stopIfTrue="1" operator="equal">
      <formula>""</formula>
    </cfRule>
  </conditionalFormatting>
  <conditionalFormatting sqref="E19:E28">
    <cfRule type="cellIs" dxfId="129" priority="108" stopIfTrue="1" operator="equal">
      <formula>""</formula>
    </cfRule>
  </conditionalFormatting>
  <conditionalFormatting sqref="E35">
    <cfRule type="cellIs" dxfId="128" priority="15" stopIfTrue="1" operator="equal">
      <formula>""</formula>
    </cfRule>
  </conditionalFormatting>
  <conditionalFormatting sqref="E36:E37">
    <cfRule type="cellIs" dxfId="127" priority="16" stopIfTrue="1" operator="equal">
      <formula>""</formula>
    </cfRule>
    <cfRule type="cellIs" dxfId="126" priority="17" stopIfTrue="1" operator="equal">
      <formula>""</formula>
    </cfRule>
  </conditionalFormatting>
  <conditionalFormatting sqref="F11">
    <cfRule type="cellIs" dxfId="125" priority="104" stopIfTrue="1" operator="equal">
      <formula>""</formula>
    </cfRule>
    <cfRule type="cellIs" dxfId="124" priority="105" stopIfTrue="1" operator="equal">
      <formula>""</formula>
    </cfRule>
  </conditionalFormatting>
  <conditionalFormatting sqref="F12:F17">
    <cfRule type="cellIs" dxfId="123" priority="98" stopIfTrue="1" operator="equal">
      <formula>""</formula>
    </cfRule>
  </conditionalFormatting>
  <conditionalFormatting sqref="F18">
    <cfRule type="cellIs" dxfId="122" priority="106" stopIfTrue="1" operator="equal">
      <formula>""</formula>
    </cfRule>
    <cfRule type="cellIs" dxfId="121" priority="107" stopIfTrue="1" operator="equal">
      <formula>""</formula>
    </cfRule>
  </conditionalFormatting>
  <conditionalFormatting sqref="F19:F28">
    <cfRule type="cellIs" dxfId="120" priority="88" stopIfTrue="1" operator="equal">
      <formula>""</formula>
    </cfRule>
  </conditionalFormatting>
  <conditionalFormatting sqref="F35">
    <cfRule type="cellIs" dxfId="119" priority="12" stopIfTrue="1" operator="equal">
      <formula>""</formula>
    </cfRule>
  </conditionalFormatting>
  <conditionalFormatting sqref="F36:F37">
    <cfRule type="cellIs" dxfId="118" priority="13" stopIfTrue="1" operator="equal">
      <formula>""</formula>
    </cfRule>
    <cfRule type="cellIs" dxfId="117" priority="14" stopIfTrue="1" operator="equal">
      <formula>""</formula>
    </cfRule>
  </conditionalFormatting>
  <conditionalFormatting sqref="J11">
    <cfRule type="cellIs" dxfId="116" priority="87" stopIfTrue="1" operator="equal">
      <formula>""</formula>
    </cfRule>
  </conditionalFormatting>
  <conditionalFormatting sqref="J11:J17">
    <cfRule type="cellIs" dxfId="115" priority="73" stopIfTrue="1" operator="lessThan">
      <formula>0</formula>
    </cfRule>
    <cfRule type="cellIs" dxfId="114" priority="72" stopIfTrue="1" operator="equal">
      <formula>""</formula>
    </cfRule>
  </conditionalFormatting>
  <conditionalFormatting sqref="J19:J28">
    <cfRule type="cellIs" dxfId="113" priority="55" stopIfTrue="1" operator="lessThan">
      <formula>0</formula>
    </cfRule>
    <cfRule type="cellIs" dxfId="112" priority="54" stopIfTrue="1" operator="equal">
      <formula>""</formula>
    </cfRule>
  </conditionalFormatting>
  <conditionalFormatting sqref="J35">
    <cfRule type="cellIs" dxfId="111" priority="10" stopIfTrue="1" operator="equal">
      <formula>""</formula>
    </cfRule>
    <cfRule type="cellIs" dxfId="110" priority="11" stopIfTrue="1" operator="lessThan">
      <formula>0</formula>
    </cfRule>
  </conditionalFormatting>
  <conditionalFormatting sqref="K11">
    <cfRule type="cellIs" dxfId="109" priority="53" stopIfTrue="1" operator="equal">
      <formula>""</formula>
    </cfRule>
  </conditionalFormatting>
  <conditionalFormatting sqref="K11:K17">
    <cfRule type="cellIs" dxfId="108" priority="40" stopIfTrue="1" operator="lessThan">
      <formula>0</formula>
    </cfRule>
    <cfRule type="cellIs" dxfId="107" priority="39" stopIfTrue="1" operator="equal">
      <formula>""</formula>
    </cfRule>
  </conditionalFormatting>
  <conditionalFormatting sqref="K19:K28">
    <cfRule type="cellIs" dxfId="106" priority="21" stopIfTrue="1" operator="equal">
      <formula>""</formula>
    </cfRule>
    <cfRule type="cellIs" dxfId="105" priority="22" stopIfTrue="1" operator="lessThan">
      <formula>0</formula>
    </cfRule>
  </conditionalFormatting>
  <conditionalFormatting sqref="K34:K37">
    <cfRule type="cellIs" dxfId="104" priority="6" stopIfTrue="1" operator="equal">
      <formula>""</formula>
    </cfRule>
    <cfRule type="cellIs" dxfId="103" priority="7" stopIfTrue="1" operator="lessThan">
      <formula>0</formula>
    </cfRule>
  </conditionalFormatting>
  <dataValidations count="3">
    <dataValidation type="list" allowBlank="1" showInputMessage="1" showErrorMessage="1" sqref="G51 G30:G31 G33 G44 G10 G58 F11:F28 F35:F37 F45" xr:uid="{00000000-0002-0000-0100-000000000000}">
      <formula1>Source_Types</formula1>
    </dataValidation>
    <dataValidation type="list" allowBlank="1" showInputMessage="1" showErrorMessage="1" sqref="K59:K61" xr:uid="{00000000-0002-0000-0100-000001000000}">
      <formula1>"Approved, Granted yet to be implemented, Other"</formula1>
    </dataValidation>
    <dataValidation type="list" allowBlank="1" showInputMessage="1" showErrorMessage="1" sqref="F59:F60 F38:F39 F52:F53 F46"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F68:G68</xm:sqref>
        </x14:dataValidation>
        <x14:dataValidation type="list" allowBlank="1" showInputMessage="1" showErrorMessage="1" xr:uid="{E68B0AF0-B9D8-4622-AF22-ED5000F2E7A5}">
          <x14:formula1>
            <xm:f>'Option Typs_Grps'!$J$3:$J$131</xm:f>
          </x14:formula1>
          <xm:sqref>F66:G67</xm:sqref>
        </x14:dataValidation>
        <x14:dataValidation type="list" allowBlank="1" showInputMessage="1" showErrorMessage="1" xr:uid="{AF7A3DA3-1AF9-418C-914A-4E308E512534}">
          <x14:formula1>
            <xm:f>'Option Typs_Grps'!$Q$2</xm:f>
          </x14:formula1>
          <xm:sqref>G11:G29 G34:G40 G52:G54 G59:G61 G46:G47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XFD91"/>
  <sheetViews>
    <sheetView zoomScale="80" zoomScaleNormal="80" workbookViewId="0">
      <pane xSplit="3" ySplit="7" topLeftCell="F8" activePane="bottomRight" state="frozen"/>
      <selection pane="topRight" activeCell="D1" sqref="D1"/>
      <selection pane="bottomLeft" activeCell="A8" sqref="A8"/>
      <selection pane="bottomRight" activeCell="I17" sqref="I17"/>
    </sheetView>
  </sheetViews>
  <sheetFormatPr defaultColWidth="9.453125" defaultRowHeight="13.8" x14ac:dyDescent="0.25"/>
  <cols>
    <col min="1" max="1" width="2.1796875" style="1" customWidth="1"/>
    <col min="2" max="2" width="22.81640625" style="1" customWidth="1"/>
    <col min="3" max="3" width="31.1796875" style="1" bestFit="1" customWidth="1"/>
    <col min="4" max="4" width="38" style="1" customWidth="1"/>
    <col min="5" max="5" width="6.1796875" style="1" customWidth="1"/>
    <col min="6" max="6" width="16.54296875" style="1" customWidth="1"/>
    <col min="7" max="9" width="10.1796875" style="1" customWidth="1"/>
    <col min="10" max="17" width="10.54296875" style="1" customWidth="1"/>
    <col min="18" max="19" width="10.1796875" style="1" customWidth="1"/>
    <col min="20" max="27" width="10.54296875" style="1" customWidth="1"/>
    <col min="28" max="29" width="10.1796875" style="1" customWidth="1"/>
    <col min="30" max="37" width="10.54296875" style="1" customWidth="1"/>
    <col min="38" max="39" width="10.1796875" style="1" customWidth="1"/>
    <col min="40" max="47" width="10.54296875" style="1" customWidth="1"/>
    <col min="48" max="49" width="10.1796875" style="1" customWidth="1"/>
    <col min="50" max="57" width="10.54296875" style="1" customWidth="1"/>
    <col min="58" max="59" width="10.1796875" style="1" customWidth="1"/>
    <col min="60" max="67" width="10.54296875" style="1" customWidth="1"/>
    <col min="68" max="69" width="10.1796875" style="1" customWidth="1"/>
    <col min="70" max="77" width="10.54296875" style="1" customWidth="1"/>
    <col min="78" max="79" width="10.1796875" style="1" customWidth="1"/>
    <col min="80" max="86" width="10.54296875" style="1" customWidth="1"/>
    <col min="87" max="87" width="11.1796875" style="1" customWidth="1"/>
    <col min="88" max="89" width="9.81640625" style="1" customWidth="1"/>
    <col min="90" max="92" width="10.1796875" style="1" customWidth="1"/>
    <col min="93" max="16384" width="9.453125" style="1"/>
  </cols>
  <sheetData>
    <row r="1" spans="2:16384" x14ac:dyDescent="0.25">
      <c r="B1" s="1197" t="s">
        <v>56</v>
      </c>
    </row>
    <row r="2" spans="2:16384" ht="40.200000000000003" thickBot="1" x14ac:dyDescent="0.3">
      <c r="F2" s="1383" t="s">
        <v>107</v>
      </c>
      <c r="G2" s="1386" t="s">
        <v>108</v>
      </c>
    </row>
    <row r="3" spans="2:16384" ht="35.1" customHeight="1" x14ac:dyDescent="0.25">
      <c r="B3" s="432" t="s">
        <v>57</v>
      </c>
      <c r="C3" s="433" t="s">
        <v>15</v>
      </c>
      <c r="D3" s="431" t="s">
        <v>2</v>
      </c>
      <c r="E3" s="2"/>
      <c r="F3" s="1384" t="s">
        <v>109</v>
      </c>
      <c r="G3" s="1387" t="s">
        <v>110</v>
      </c>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row>
    <row r="4" spans="2:16384" ht="79.8" thickBot="1" x14ac:dyDescent="0.3">
      <c r="B4" s="50" t="s">
        <v>111</v>
      </c>
      <c r="C4" s="443" t="s">
        <v>112</v>
      </c>
      <c r="D4" s="88"/>
      <c r="E4" s="21"/>
      <c r="F4" s="1385" t="s">
        <v>113</v>
      </c>
      <c r="G4" s="1387" t="s">
        <v>114</v>
      </c>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row>
    <row r="5" spans="2:16384" ht="14.4" thickBot="1" x14ac:dyDescent="0.3"/>
    <row r="6" spans="2:16384" ht="46.5" customHeight="1" thickBot="1" x14ac:dyDescent="0.3">
      <c r="B6" s="444" t="s">
        <v>107</v>
      </c>
      <c r="C6" s="1383" t="s">
        <v>115</v>
      </c>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c r="XEW6" s="21"/>
      <c r="XEX6" s="21"/>
      <c r="XEY6" s="21"/>
      <c r="XEZ6" s="21"/>
      <c r="XFA6" s="21"/>
      <c r="XFB6" s="21"/>
      <c r="XFC6" s="21"/>
      <c r="XFD6" s="21"/>
    </row>
    <row r="7" spans="2:16384" ht="28.2" thickBot="1" x14ac:dyDescent="0.3">
      <c r="B7" s="441" t="s">
        <v>63</v>
      </c>
      <c r="C7" s="439" t="s">
        <v>116</v>
      </c>
      <c r="D7" s="439" t="s">
        <v>64</v>
      </c>
      <c r="E7" s="439" t="s">
        <v>117</v>
      </c>
      <c r="F7" s="440" t="s">
        <v>118</v>
      </c>
      <c r="G7" s="441" t="s">
        <v>119</v>
      </c>
      <c r="H7" s="439" t="s">
        <v>120</v>
      </c>
      <c r="I7" s="439" t="s">
        <v>121</v>
      </c>
      <c r="J7" s="439" t="s">
        <v>122</v>
      </c>
      <c r="K7" s="439" t="s">
        <v>123</v>
      </c>
      <c r="L7" s="439" t="s">
        <v>124</v>
      </c>
      <c r="M7" s="439" t="s">
        <v>125</v>
      </c>
      <c r="N7" s="439" t="s">
        <v>126</v>
      </c>
      <c r="O7" s="439" t="s">
        <v>127</v>
      </c>
      <c r="P7" s="439" t="s">
        <v>128</v>
      </c>
      <c r="Q7" s="442" t="s">
        <v>129</v>
      </c>
      <c r="R7" s="450" t="s">
        <v>160</v>
      </c>
      <c r="S7" s="450" t="s">
        <v>164</v>
      </c>
      <c r="T7" s="450" t="s">
        <v>168</v>
      </c>
      <c r="U7" s="450" t="s">
        <v>172</v>
      </c>
      <c r="V7" s="450" t="s">
        <v>176</v>
      </c>
      <c r="W7" s="450" t="s">
        <v>180</v>
      </c>
      <c r="X7" s="450" t="s">
        <v>184</v>
      </c>
      <c r="Y7" s="450" t="s">
        <v>188</v>
      </c>
      <c r="Z7" s="450" t="s">
        <v>192</v>
      </c>
      <c r="AA7" s="450" t="s">
        <v>196</v>
      </c>
      <c r="AB7" s="450" t="s">
        <v>200</v>
      </c>
      <c r="AC7" s="450" t="s">
        <v>204</v>
      </c>
      <c r="AD7" s="450" t="s">
        <v>208</v>
      </c>
      <c r="AE7" s="450" t="s">
        <v>212</v>
      </c>
      <c r="AF7" s="450" t="s">
        <v>2056</v>
      </c>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row>
    <row r="8" spans="2:16384" x14ac:dyDescent="0.25">
      <c r="B8" s="453" t="s">
        <v>144</v>
      </c>
      <c r="C8" s="454" t="s">
        <v>145</v>
      </c>
      <c r="D8" s="455" t="s">
        <v>79</v>
      </c>
      <c r="E8" s="456" t="s">
        <v>146</v>
      </c>
      <c r="F8" s="457">
        <v>2</v>
      </c>
      <c r="G8" s="269">
        <v>171.32999999999998</v>
      </c>
      <c r="H8" s="270">
        <v>170.05</v>
      </c>
      <c r="I8" s="361">
        <v>182.67733491999996</v>
      </c>
      <c r="J8" s="361">
        <v>182.14656365496066</v>
      </c>
      <c r="K8" s="361">
        <v>181.67824890758311</v>
      </c>
      <c r="L8" s="1420">
        <v>181.37656572776882</v>
      </c>
      <c r="M8" s="1420">
        <v>180.9816556012949</v>
      </c>
      <c r="N8" s="1420">
        <v>179.12967005955343</v>
      </c>
      <c r="O8" s="1420">
        <v>177.02994797074484</v>
      </c>
      <c r="P8" s="1420">
        <v>174.934869287737</v>
      </c>
      <c r="Q8" s="1420">
        <v>172.88869068559973</v>
      </c>
      <c r="R8" s="1420">
        <v>156.48166521164831</v>
      </c>
      <c r="S8" s="1420">
        <v>152.07432029832992</v>
      </c>
      <c r="T8" s="1420">
        <v>152.01340810896647</v>
      </c>
      <c r="U8" s="1420">
        <v>151.03614086238244</v>
      </c>
      <c r="V8" s="1420">
        <v>150.36040771526572</v>
      </c>
      <c r="W8" s="1420">
        <v>157.84847795231147</v>
      </c>
      <c r="X8" s="1420">
        <v>161.67915002594677</v>
      </c>
      <c r="Y8" s="1420">
        <v>165.43486380479538</v>
      </c>
      <c r="Z8" s="1420">
        <v>169.19429323692785</v>
      </c>
      <c r="AA8" s="1420">
        <v>172.96041654159674</v>
      </c>
      <c r="AB8" s="1420"/>
      <c r="AC8" s="1420"/>
      <c r="AD8" s="1420"/>
      <c r="AE8" s="1420"/>
      <c r="AF8" s="1420"/>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row>
    <row r="9" spans="2:16384" ht="14.4" thickBot="1" x14ac:dyDescent="0.3">
      <c r="B9" s="458" t="s">
        <v>147</v>
      </c>
      <c r="C9" s="448" t="s">
        <v>148</v>
      </c>
      <c r="D9" s="449" t="s">
        <v>79</v>
      </c>
      <c r="E9" s="459" t="s">
        <v>149</v>
      </c>
      <c r="F9" s="460">
        <v>1</v>
      </c>
      <c r="G9" s="360">
        <v>146.4</v>
      </c>
      <c r="H9" s="361">
        <v>161.1</v>
      </c>
      <c r="I9" s="361">
        <v>154.67995390354966</v>
      </c>
      <c r="J9" s="361">
        <v>152.84573127758506</v>
      </c>
      <c r="K9" s="361">
        <v>151.20927714442684</v>
      </c>
      <c r="L9" s="1457">
        <v>149.73686638655658</v>
      </c>
      <c r="M9" s="1457">
        <v>148.28460387717095</v>
      </c>
      <c r="N9" s="1457">
        <v>145.69286594048114</v>
      </c>
      <c r="O9" s="1457">
        <v>142.96185257775954</v>
      </c>
      <c r="P9" s="1457">
        <v>140.31811073354899</v>
      </c>
      <c r="Q9" s="1457">
        <v>137.72677067797207</v>
      </c>
      <c r="R9" s="1457">
        <v>120.85374073537754</v>
      </c>
      <c r="S9" s="1457">
        <v>114.28127431861523</v>
      </c>
      <c r="T9" s="1457">
        <v>111.15325080613107</v>
      </c>
      <c r="U9" s="1457">
        <v>107.28507337138493</v>
      </c>
      <c r="V9" s="1457">
        <v>103.82557662209121</v>
      </c>
      <c r="W9" s="1457">
        <v>106.01670086567917</v>
      </c>
      <c r="X9" s="1457">
        <v>105.68632412949306</v>
      </c>
      <c r="Y9" s="1457">
        <v>105.31202061286788</v>
      </c>
      <c r="Z9" s="1457">
        <v>104.94608816818726</v>
      </c>
      <c r="AA9" s="1457">
        <v>104.5898333203907</v>
      </c>
      <c r="AB9" s="1421"/>
      <c r="AC9" s="1421"/>
      <c r="AD9" s="1421"/>
      <c r="AE9" s="1421"/>
      <c r="AF9" s="14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c r="BHB9" s="21"/>
      <c r="BHC9" s="21"/>
      <c r="BHD9" s="21"/>
      <c r="BHE9" s="21"/>
      <c r="BHF9" s="21"/>
      <c r="BHG9" s="21"/>
      <c r="BHH9" s="21"/>
      <c r="BHI9" s="21"/>
      <c r="BHJ9" s="21"/>
      <c r="BHK9" s="21"/>
      <c r="BHL9" s="21"/>
      <c r="BHM9" s="21"/>
      <c r="BHN9" s="21"/>
      <c r="BHO9" s="21"/>
      <c r="BHP9" s="21"/>
      <c r="BHQ9" s="21"/>
      <c r="BHR9" s="21"/>
      <c r="BHS9" s="21"/>
      <c r="BHT9" s="21"/>
      <c r="BHU9" s="21"/>
      <c r="BHV9" s="21"/>
      <c r="BHW9" s="21"/>
      <c r="BHX9" s="21"/>
      <c r="BHY9" s="21"/>
      <c r="BHZ9" s="21"/>
      <c r="BIA9" s="21"/>
      <c r="BIB9" s="21"/>
      <c r="BIC9" s="21"/>
      <c r="BID9" s="21"/>
      <c r="BIE9" s="21"/>
      <c r="BIF9" s="21"/>
      <c r="BIG9" s="21"/>
      <c r="BIH9" s="21"/>
      <c r="BII9" s="21"/>
      <c r="BIJ9" s="21"/>
      <c r="BIK9" s="21"/>
      <c r="BIL9" s="21"/>
      <c r="BIM9" s="21"/>
      <c r="BIN9" s="21"/>
      <c r="BIO9" s="21"/>
      <c r="BIP9" s="21"/>
      <c r="BIQ9" s="21"/>
      <c r="BIR9" s="21"/>
      <c r="BIS9" s="21"/>
      <c r="BIT9" s="21"/>
      <c r="BIU9" s="21"/>
      <c r="BIV9" s="21"/>
      <c r="BIW9" s="21"/>
      <c r="BIX9" s="21"/>
      <c r="BIY9" s="21"/>
      <c r="BIZ9" s="21"/>
      <c r="BJA9" s="21"/>
      <c r="BJB9" s="21"/>
      <c r="BJC9" s="21"/>
      <c r="BJD9" s="21"/>
      <c r="BJE9" s="21"/>
      <c r="BJF9" s="21"/>
      <c r="BJG9" s="21"/>
      <c r="BJH9" s="21"/>
      <c r="BJI9" s="21"/>
      <c r="BJJ9" s="21"/>
      <c r="BJK9" s="21"/>
      <c r="BJL9" s="21"/>
      <c r="BJM9" s="21"/>
      <c r="BJN9" s="21"/>
      <c r="BJO9" s="21"/>
      <c r="BJP9" s="21"/>
      <c r="BJQ9" s="21"/>
      <c r="BJR9" s="21"/>
      <c r="BJS9" s="21"/>
      <c r="BJT9" s="21"/>
      <c r="BJU9" s="21"/>
      <c r="BJV9" s="21"/>
      <c r="BJW9" s="21"/>
      <c r="BJX9" s="21"/>
      <c r="BJY9" s="21"/>
      <c r="BJZ9" s="21"/>
      <c r="BKA9" s="21"/>
      <c r="BKB9" s="21"/>
      <c r="BKC9" s="21"/>
      <c r="BKD9" s="21"/>
      <c r="BKE9" s="21"/>
      <c r="BKF9" s="21"/>
      <c r="BKG9" s="21"/>
      <c r="BKH9" s="21"/>
      <c r="BKI9" s="21"/>
      <c r="BKJ9" s="21"/>
      <c r="BKK9" s="21"/>
      <c r="BKL9" s="21"/>
      <c r="BKM9" s="21"/>
      <c r="BKN9" s="21"/>
      <c r="BKO9" s="21"/>
      <c r="BKP9" s="21"/>
      <c r="BKQ9" s="21"/>
      <c r="BKR9" s="21"/>
      <c r="BKS9" s="21"/>
      <c r="BKT9" s="21"/>
      <c r="BKU9" s="21"/>
      <c r="BKV9" s="21"/>
      <c r="BKW9" s="21"/>
      <c r="BKX9" s="21"/>
      <c r="BKY9" s="21"/>
      <c r="BKZ9" s="21"/>
      <c r="BLA9" s="21"/>
      <c r="BLB9" s="21"/>
      <c r="BLC9" s="21"/>
      <c r="BLD9" s="21"/>
      <c r="BLE9" s="21"/>
      <c r="BLF9" s="21"/>
      <c r="BLG9" s="21"/>
      <c r="BLH9" s="21"/>
      <c r="BLI9" s="21"/>
      <c r="BLJ9" s="21"/>
      <c r="BLK9" s="21"/>
      <c r="BLL9" s="21"/>
      <c r="BLM9" s="21"/>
      <c r="BLN9" s="21"/>
      <c r="BLO9" s="21"/>
      <c r="BLP9" s="21"/>
      <c r="BLQ9" s="21"/>
      <c r="BLR9" s="21"/>
      <c r="BLS9" s="21"/>
      <c r="BLT9" s="21"/>
      <c r="BLU9" s="21"/>
      <c r="BLV9" s="21"/>
      <c r="BLW9" s="21"/>
      <c r="BLX9" s="21"/>
      <c r="BLY9" s="21"/>
      <c r="BLZ9" s="21"/>
      <c r="BMA9" s="21"/>
      <c r="BMB9" s="21"/>
      <c r="BMC9" s="21"/>
      <c r="BMD9" s="21"/>
      <c r="BME9" s="21"/>
      <c r="BMF9" s="21"/>
      <c r="BMG9" s="21"/>
      <c r="BMH9" s="21"/>
      <c r="BMI9" s="21"/>
      <c r="BMJ9" s="21"/>
      <c r="BMK9" s="21"/>
      <c r="BML9" s="21"/>
      <c r="BMM9" s="21"/>
      <c r="BMN9" s="21"/>
      <c r="BMO9" s="21"/>
      <c r="BMP9" s="21"/>
      <c r="BMQ9" s="21"/>
      <c r="BMR9" s="21"/>
      <c r="BMS9" s="21"/>
      <c r="BMT9" s="21"/>
      <c r="BMU9" s="21"/>
      <c r="BMV9" s="21"/>
      <c r="BMW9" s="21"/>
      <c r="BMX9" s="21"/>
      <c r="BMY9" s="21"/>
      <c r="BMZ9" s="21"/>
      <c r="BNA9" s="21"/>
      <c r="BNB9" s="21"/>
      <c r="BNC9" s="21"/>
      <c r="BND9" s="21"/>
      <c r="BNE9" s="21"/>
      <c r="BNF9" s="21"/>
      <c r="BNG9" s="21"/>
      <c r="BNH9" s="21"/>
      <c r="BNI9" s="21"/>
      <c r="BNJ9" s="21"/>
      <c r="BNK9" s="21"/>
      <c r="BNL9" s="21"/>
      <c r="BNM9" s="21"/>
      <c r="BNN9" s="21"/>
      <c r="BNO9" s="21"/>
      <c r="BNP9" s="21"/>
      <c r="BNQ9" s="21"/>
      <c r="BNR9" s="21"/>
      <c r="BNS9" s="21"/>
      <c r="BNT9" s="21"/>
      <c r="BNU9" s="21"/>
      <c r="BNV9" s="21"/>
      <c r="BNW9" s="21"/>
      <c r="BNX9" s="21"/>
      <c r="BNY9" s="21"/>
      <c r="BNZ9" s="21"/>
      <c r="BOA9" s="21"/>
      <c r="BOB9" s="21"/>
      <c r="BOC9" s="21"/>
      <c r="BOD9" s="21"/>
      <c r="BOE9" s="21"/>
      <c r="BOF9" s="21"/>
      <c r="BOG9" s="21"/>
      <c r="BOH9" s="21"/>
      <c r="BOI9" s="21"/>
      <c r="BOJ9" s="21"/>
      <c r="BOK9" s="21"/>
      <c r="BOL9" s="21"/>
      <c r="BOM9" s="21"/>
      <c r="BON9" s="21"/>
      <c r="BOO9" s="21"/>
      <c r="BOP9" s="21"/>
      <c r="BOQ9" s="21"/>
      <c r="BOR9" s="21"/>
      <c r="BOS9" s="21"/>
      <c r="BOT9" s="21"/>
      <c r="BOU9" s="21"/>
      <c r="BOV9" s="21"/>
      <c r="BOW9" s="21"/>
      <c r="BOX9" s="21"/>
      <c r="BOY9" s="21"/>
      <c r="BOZ9" s="21"/>
      <c r="BPA9" s="21"/>
      <c r="BPB9" s="21"/>
      <c r="BPC9" s="21"/>
      <c r="BPD9" s="21"/>
      <c r="BPE9" s="21"/>
      <c r="BPF9" s="21"/>
      <c r="BPG9" s="21"/>
      <c r="BPH9" s="21"/>
      <c r="BPI9" s="21"/>
      <c r="BPJ9" s="21"/>
      <c r="BPK9" s="21"/>
      <c r="BPL9" s="21"/>
      <c r="BPM9" s="21"/>
      <c r="BPN9" s="21"/>
      <c r="BPO9" s="21"/>
      <c r="BPP9" s="21"/>
      <c r="BPQ9" s="21"/>
      <c r="BPR9" s="21"/>
      <c r="BPS9" s="21"/>
      <c r="BPT9" s="21"/>
      <c r="BPU9" s="21"/>
      <c r="BPV9" s="21"/>
      <c r="BPW9" s="21"/>
      <c r="BPX9" s="21"/>
      <c r="BPY9" s="21"/>
      <c r="BPZ9" s="21"/>
      <c r="BQA9" s="21"/>
      <c r="BQB9" s="21"/>
      <c r="BQC9" s="21"/>
      <c r="BQD9" s="21"/>
      <c r="BQE9" s="21"/>
      <c r="BQF9" s="21"/>
      <c r="BQG9" s="21"/>
      <c r="BQH9" s="21"/>
      <c r="BQI9" s="21"/>
      <c r="BQJ9" s="21"/>
      <c r="BQK9" s="21"/>
      <c r="BQL9" s="21"/>
      <c r="BQM9" s="21"/>
      <c r="BQN9" s="21"/>
      <c r="BQO9" s="21"/>
      <c r="BQP9" s="21"/>
      <c r="BQQ9" s="21"/>
      <c r="BQR9" s="21"/>
      <c r="BQS9" s="21"/>
      <c r="BQT9" s="21"/>
      <c r="BQU9" s="21"/>
      <c r="BQV9" s="21"/>
      <c r="BQW9" s="21"/>
      <c r="BQX9" s="21"/>
      <c r="BQY9" s="21"/>
      <c r="BQZ9" s="21"/>
      <c r="BRA9" s="21"/>
      <c r="BRB9" s="21"/>
      <c r="BRC9" s="21"/>
      <c r="BRD9" s="21"/>
      <c r="BRE9" s="21"/>
      <c r="BRF9" s="21"/>
      <c r="BRG9" s="21"/>
      <c r="BRH9" s="21"/>
      <c r="BRI9" s="21"/>
      <c r="BRJ9" s="21"/>
      <c r="BRK9" s="21"/>
      <c r="BRL9" s="21"/>
      <c r="BRM9" s="21"/>
      <c r="BRN9" s="21"/>
      <c r="BRO9" s="21"/>
      <c r="BRP9" s="21"/>
      <c r="BRQ9" s="21"/>
      <c r="BRR9" s="21"/>
      <c r="BRS9" s="21"/>
      <c r="BRT9" s="21"/>
      <c r="BRU9" s="21"/>
      <c r="BRV9" s="21"/>
      <c r="BRW9" s="21"/>
      <c r="BRX9" s="21"/>
      <c r="BRY9" s="21"/>
      <c r="BRZ9" s="21"/>
      <c r="BSA9" s="21"/>
      <c r="BSB9" s="21"/>
      <c r="BSC9" s="21"/>
      <c r="BSD9" s="21"/>
      <c r="BSE9" s="21"/>
      <c r="BSF9" s="21"/>
      <c r="BSG9" s="21"/>
      <c r="BSH9" s="21"/>
      <c r="BSI9" s="21"/>
      <c r="BSJ9" s="21"/>
      <c r="BSK9" s="21"/>
      <c r="BSL9" s="21"/>
      <c r="BSM9" s="21"/>
      <c r="BSN9" s="21"/>
      <c r="BSO9" s="21"/>
      <c r="BSP9" s="21"/>
      <c r="BSQ9" s="21"/>
      <c r="BSR9" s="21"/>
      <c r="BSS9" s="21"/>
      <c r="BST9" s="21"/>
      <c r="BSU9" s="21"/>
      <c r="BSV9" s="21"/>
      <c r="BSW9" s="21"/>
      <c r="BSX9" s="21"/>
      <c r="BSY9" s="21"/>
      <c r="BSZ9" s="21"/>
      <c r="BTA9" s="21"/>
      <c r="BTB9" s="21"/>
      <c r="BTC9" s="21"/>
      <c r="BTD9" s="21"/>
      <c r="BTE9" s="21"/>
      <c r="BTF9" s="21"/>
      <c r="BTG9" s="21"/>
      <c r="BTH9" s="21"/>
      <c r="BTI9" s="21"/>
      <c r="BTJ9" s="21"/>
      <c r="BTK9" s="21"/>
      <c r="BTL9" s="21"/>
      <c r="BTM9" s="21"/>
      <c r="BTN9" s="21"/>
      <c r="BTO9" s="21"/>
      <c r="BTP9" s="21"/>
      <c r="BTQ9" s="21"/>
      <c r="BTR9" s="21"/>
      <c r="BTS9" s="21"/>
      <c r="BTT9" s="21"/>
      <c r="BTU9" s="21"/>
      <c r="BTV9" s="21"/>
      <c r="BTW9" s="21"/>
      <c r="BTX9" s="21"/>
      <c r="BTY9" s="21"/>
      <c r="BTZ9" s="21"/>
      <c r="BUA9" s="21"/>
      <c r="BUB9" s="21"/>
      <c r="BUC9" s="21"/>
      <c r="BUD9" s="21"/>
      <c r="BUE9" s="21"/>
      <c r="BUF9" s="21"/>
      <c r="BUG9" s="21"/>
      <c r="BUH9" s="21"/>
      <c r="BUI9" s="21"/>
      <c r="BUJ9" s="21"/>
      <c r="BUK9" s="21"/>
      <c r="BUL9" s="21"/>
      <c r="BUM9" s="21"/>
      <c r="BUN9" s="21"/>
      <c r="BUO9" s="21"/>
      <c r="BUP9" s="21"/>
      <c r="BUQ9" s="21"/>
      <c r="BUR9" s="21"/>
      <c r="BUS9" s="21"/>
      <c r="BUT9" s="21"/>
      <c r="BUU9" s="21"/>
      <c r="BUV9" s="21"/>
      <c r="BUW9" s="21"/>
      <c r="BUX9" s="21"/>
      <c r="BUY9" s="21"/>
      <c r="BUZ9" s="21"/>
      <c r="BVA9" s="21"/>
      <c r="BVB9" s="21"/>
      <c r="BVC9" s="21"/>
      <c r="BVD9" s="21"/>
      <c r="BVE9" s="21"/>
      <c r="BVF9" s="21"/>
      <c r="BVG9" s="21"/>
      <c r="BVH9" s="21"/>
      <c r="BVI9" s="21"/>
      <c r="BVJ9" s="21"/>
      <c r="BVK9" s="21"/>
      <c r="BVL9" s="21"/>
      <c r="BVM9" s="21"/>
      <c r="BVN9" s="21"/>
      <c r="BVO9" s="21"/>
      <c r="BVP9" s="21"/>
      <c r="BVQ9" s="21"/>
      <c r="BVR9" s="21"/>
      <c r="BVS9" s="21"/>
      <c r="BVT9" s="21"/>
      <c r="BVU9" s="21"/>
      <c r="BVV9" s="21"/>
      <c r="BVW9" s="21"/>
      <c r="BVX9" s="21"/>
      <c r="BVY9" s="21"/>
      <c r="BVZ9" s="21"/>
      <c r="BWA9" s="21"/>
      <c r="BWB9" s="21"/>
      <c r="BWC9" s="21"/>
      <c r="BWD9" s="21"/>
      <c r="BWE9" s="21"/>
      <c r="BWF9" s="21"/>
      <c r="BWG9" s="21"/>
      <c r="BWH9" s="21"/>
      <c r="BWI9" s="21"/>
      <c r="BWJ9" s="21"/>
      <c r="BWK9" s="21"/>
      <c r="BWL9" s="21"/>
      <c r="BWM9" s="21"/>
      <c r="BWN9" s="21"/>
      <c r="BWO9" s="21"/>
      <c r="BWP9" s="21"/>
      <c r="BWQ9" s="21"/>
      <c r="BWR9" s="21"/>
      <c r="BWS9" s="21"/>
      <c r="BWT9" s="21"/>
      <c r="BWU9" s="21"/>
      <c r="BWV9" s="21"/>
      <c r="BWW9" s="21"/>
      <c r="BWX9" s="21"/>
      <c r="BWY9" s="21"/>
      <c r="BWZ9" s="21"/>
      <c r="BXA9" s="21"/>
      <c r="BXB9" s="21"/>
      <c r="BXC9" s="21"/>
      <c r="BXD9" s="21"/>
      <c r="BXE9" s="21"/>
      <c r="BXF9" s="21"/>
      <c r="BXG9" s="21"/>
      <c r="BXH9" s="21"/>
      <c r="BXI9" s="21"/>
      <c r="BXJ9" s="21"/>
      <c r="BXK9" s="21"/>
      <c r="BXL9" s="21"/>
      <c r="BXM9" s="21"/>
      <c r="BXN9" s="21"/>
      <c r="BXO9" s="21"/>
      <c r="BXP9" s="21"/>
      <c r="BXQ9" s="21"/>
      <c r="BXR9" s="21"/>
      <c r="BXS9" s="21"/>
      <c r="BXT9" s="21"/>
      <c r="BXU9" s="21"/>
      <c r="BXV9" s="21"/>
      <c r="BXW9" s="21"/>
      <c r="BXX9" s="21"/>
      <c r="BXY9" s="21"/>
      <c r="BXZ9" s="21"/>
      <c r="BYA9" s="21"/>
      <c r="BYB9" s="21"/>
      <c r="BYC9" s="21"/>
      <c r="BYD9" s="21"/>
      <c r="BYE9" s="21"/>
      <c r="BYF9" s="21"/>
      <c r="BYG9" s="21"/>
      <c r="BYH9" s="21"/>
      <c r="BYI9" s="21"/>
      <c r="BYJ9" s="21"/>
      <c r="BYK9" s="21"/>
      <c r="BYL9" s="21"/>
      <c r="BYM9" s="21"/>
      <c r="BYN9" s="21"/>
      <c r="BYO9" s="21"/>
      <c r="BYP9" s="21"/>
      <c r="BYQ9" s="21"/>
      <c r="BYR9" s="21"/>
      <c r="BYS9" s="21"/>
      <c r="BYT9" s="21"/>
      <c r="BYU9" s="21"/>
      <c r="BYV9" s="21"/>
      <c r="BYW9" s="21"/>
      <c r="BYX9" s="21"/>
      <c r="BYY9" s="21"/>
      <c r="BYZ9" s="21"/>
      <c r="BZA9" s="21"/>
      <c r="BZB9" s="21"/>
      <c r="BZC9" s="21"/>
      <c r="BZD9" s="21"/>
      <c r="BZE9" s="21"/>
      <c r="BZF9" s="21"/>
      <c r="BZG9" s="21"/>
      <c r="BZH9" s="21"/>
      <c r="BZI9" s="21"/>
      <c r="BZJ9" s="21"/>
      <c r="BZK9" s="21"/>
      <c r="BZL9" s="21"/>
      <c r="BZM9" s="21"/>
      <c r="BZN9" s="21"/>
      <c r="BZO9" s="21"/>
      <c r="BZP9" s="21"/>
      <c r="BZQ9" s="21"/>
      <c r="BZR9" s="21"/>
      <c r="BZS9" s="21"/>
      <c r="BZT9" s="21"/>
      <c r="BZU9" s="21"/>
      <c r="BZV9" s="21"/>
      <c r="BZW9" s="21"/>
      <c r="BZX9" s="21"/>
      <c r="BZY9" s="21"/>
      <c r="BZZ9" s="21"/>
      <c r="CAA9" s="21"/>
      <c r="CAB9" s="21"/>
      <c r="CAC9" s="21"/>
      <c r="CAD9" s="21"/>
      <c r="CAE9" s="21"/>
      <c r="CAF9" s="21"/>
      <c r="CAG9" s="21"/>
      <c r="CAH9" s="21"/>
      <c r="CAI9" s="21"/>
      <c r="CAJ9" s="21"/>
      <c r="CAK9" s="21"/>
      <c r="CAL9" s="21"/>
      <c r="CAM9" s="21"/>
      <c r="CAN9" s="21"/>
      <c r="CAO9" s="21"/>
      <c r="CAP9" s="21"/>
      <c r="CAQ9" s="21"/>
      <c r="CAR9" s="21"/>
      <c r="CAS9" s="21"/>
      <c r="CAT9" s="21"/>
      <c r="CAU9" s="21"/>
      <c r="CAV9" s="21"/>
      <c r="CAW9" s="21"/>
      <c r="CAX9" s="21"/>
      <c r="CAY9" s="21"/>
      <c r="CAZ9" s="21"/>
      <c r="CBA9" s="21"/>
      <c r="CBB9" s="21"/>
      <c r="CBC9" s="21"/>
      <c r="CBD9" s="21"/>
      <c r="CBE9" s="21"/>
      <c r="CBF9" s="21"/>
      <c r="CBG9" s="21"/>
      <c r="CBH9" s="21"/>
      <c r="CBI9" s="21"/>
      <c r="CBJ9" s="21"/>
      <c r="CBK9" s="21"/>
      <c r="CBL9" s="21"/>
      <c r="CBM9" s="21"/>
      <c r="CBN9" s="21"/>
      <c r="CBO9" s="21"/>
      <c r="CBP9" s="21"/>
      <c r="CBQ9" s="21"/>
      <c r="CBR9" s="21"/>
      <c r="CBS9" s="21"/>
      <c r="CBT9" s="21"/>
      <c r="CBU9" s="21"/>
      <c r="CBV9" s="21"/>
      <c r="CBW9" s="21"/>
      <c r="CBX9" s="21"/>
      <c r="CBY9" s="21"/>
      <c r="CBZ9" s="21"/>
      <c r="CCA9" s="21"/>
      <c r="CCB9" s="21"/>
      <c r="CCC9" s="21"/>
      <c r="CCD9" s="21"/>
      <c r="CCE9" s="21"/>
      <c r="CCF9" s="21"/>
      <c r="CCG9" s="21"/>
      <c r="CCH9" s="21"/>
      <c r="CCI9" s="21"/>
      <c r="CCJ9" s="21"/>
      <c r="CCK9" s="21"/>
      <c r="CCL9" s="21"/>
      <c r="CCM9" s="21"/>
      <c r="CCN9" s="21"/>
      <c r="CCO9" s="21"/>
      <c r="CCP9" s="21"/>
      <c r="CCQ9" s="21"/>
      <c r="CCR9" s="21"/>
      <c r="CCS9" s="21"/>
      <c r="CCT9" s="21"/>
      <c r="CCU9" s="21"/>
      <c r="CCV9" s="21"/>
      <c r="CCW9" s="21"/>
      <c r="CCX9" s="21"/>
      <c r="CCY9" s="21"/>
      <c r="CCZ9" s="21"/>
      <c r="CDA9" s="21"/>
      <c r="CDB9" s="21"/>
      <c r="CDC9" s="21"/>
      <c r="CDD9" s="21"/>
      <c r="CDE9" s="21"/>
      <c r="CDF9" s="21"/>
      <c r="CDG9" s="21"/>
      <c r="CDH9" s="21"/>
      <c r="CDI9" s="21"/>
      <c r="CDJ9" s="21"/>
      <c r="CDK9" s="21"/>
      <c r="CDL9" s="21"/>
      <c r="CDM9" s="21"/>
      <c r="CDN9" s="21"/>
      <c r="CDO9" s="21"/>
      <c r="CDP9" s="21"/>
      <c r="CDQ9" s="21"/>
      <c r="CDR9" s="21"/>
      <c r="CDS9" s="21"/>
      <c r="CDT9" s="21"/>
      <c r="CDU9" s="21"/>
      <c r="CDV9" s="21"/>
      <c r="CDW9" s="21"/>
      <c r="CDX9" s="21"/>
      <c r="CDY9" s="21"/>
      <c r="CDZ9" s="21"/>
      <c r="CEA9" s="21"/>
      <c r="CEB9" s="21"/>
      <c r="CEC9" s="21"/>
      <c r="CED9" s="21"/>
      <c r="CEE9" s="21"/>
      <c r="CEF9" s="21"/>
      <c r="CEG9" s="21"/>
      <c r="CEH9" s="21"/>
      <c r="CEI9" s="21"/>
      <c r="CEJ9" s="21"/>
      <c r="CEK9" s="21"/>
      <c r="CEL9" s="21"/>
      <c r="CEM9" s="21"/>
      <c r="CEN9" s="21"/>
      <c r="CEO9" s="21"/>
      <c r="CEP9" s="21"/>
      <c r="CEQ9" s="21"/>
      <c r="CER9" s="21"/>
      <c r="CES9" s="21"/>
      <c r="CET9" s="21"/>
      <c r="CEU9" s="21"/>
      <c r="CEV9" s="21"/>
      <c r="CEW9" s="21"/>
      <c r="CEX9" s="21"/>
      <c r="CEY9" s="21"/>
      <c r="CEZ9" s="21"/>
      <c r="CFA9" s="21"/>
      <c r="CFB9" s="21"/>
      <c r="CFC9" s="21"/>
      <c r="CFD9" s="21"/>
      <c r="CFE9" s="21"/>
      <c r="CFF9" s="21"/>
      <c r="CFG9" s="21"/>
      <c r="CFH9" s="21"/>
      <c r="CFI9" s="21"/>
      <c r="CFJ9" s="21"/>
      <c r="CFK9" s="21"/>
      <c r="CFL9" s="21"/>
      <c r="CFM9" s="21"/>
      <c r="CFN9" s="21"/>
      <c r="CFO9" s="21"/>
      <c r="CFP9" s="21"/>
      <c r="CFQ9" s="21"/>
      <c r="CFR9" s="21"/>
      <c r="CFS9" s="21"/>
      <c r="CFT9" s="21"/>
      <c r="CFU9" s="21"/>
      <c r="CFV9" s="21"/>
      <c r="CFW9" s="21"/>
      <c r="CFX9" s="21"/>
      <c r="CFY9" s="21"/>
      <c r="CFZ9" s="21"/>
      <c r="CGA9" s="21"/>
      <c r="CGB9" s="21"/>
      <c r="CGC9" s="21"/>
      <c r="CGD9" s="21"/>
      <c r="CGE9" s="21"/>
      <c r="CGF9" s="21"/>
      <c r="CGG9" s="21"/>
      <c r="CGH9" s="21"/>
      <c r="CGI9" s="21"/>
      <c r="CGJ9" s="21"/>
      <c r="CGK9" s="21"/>
      <c r="CGL9" s="21"/>
      <c r="CGM9" s="21"/>
      <c r="CGN9" s="21"/>
      <c r="CGO9" s="21"/>
      <c r="CGP9" s="21"/>
      <c r="CGQ9" s="21"/>
      <c r="CGR9" s="21"/>
      <c r="CGS9" s="21"/>
      <c r="CGT9" s="21"/>
      <c r="CGU9" s="21"/>
      <c r="CGV9" s="21"/>
      <c r="CGW9" s="21"/>
      <c r="CGX9" s="21"/>
      <c r="CGY9" s="21"/>
      <c r="CGZ9" s="21"/>
      <c r="CHA9" s="21"/>
      <c r="CHB9" s="21"/>
      <c r="CHC9" s="21"/>
      <c r="CHD9" s="21"/>
      <c r="CHE9" s="21"/>
      <c r="CHF9" s="21"/>
      <c r="CHG9" s="21"/>
      <c r="CHH9" s="21"/>
      <c r="CHI9" s="21"/>
      <c r="CHJ9" s="21"/>
      <c r="CHK9" s="21"/>
      <c r="CHL9" s="21"/>
      <c r="CHM9" s="21"/>
      <c r="CHN9" s="21"/>
      <c r="CHO9" s="21"/>
      <c r="CHP9" s="21"/>
      <c r="CHQ9" s="21"/>
      <c r="CHR9" s="21"/>
      <c r="CHS9" s="21"/>
      <c r="CHT9" s="21"/>
      <c r="CHU9" s="21"/>
      <c r="CHV9" s="21"/>
      <c r="CHW9" s="21"/>
      <c r="CHX9" s="21"/>
      <c r="CHY9" s="21"/>
      <c r="CHZ9" s="21"/>
      <c r="CIA9" s="21"/>
      <c r="CIB9" s="21"/>
      <c r="CIC9" s="21"/>
      <c r="CID9" s="21"/>
      <c r="CIE9" s="21"/>
      <c r="CIF9" s="21"/>
      <c r="CIG9" s="21"/>
      <c r="CIH9" s="21"/>
      <c r="CII9" s="21"/>
      <c r="CIJ9" s="21"/>
      <c r="CIK9" s="21"/>
      <c r="CIL9" s="21"/>
      <c r="CIM9" s="21"/>
      <c r="CIN9" s="21"/>
      <c r="CIO9" s="21"/>
      <c r="CIP9" s="21"/>
      <c r="CIQ9" s="21"/>
      <c r="CIR9" s="21"/>
      <c r="CIS9" s="21"/>
      <c r="CIT9" s="21"/>
      <c r="CIU9" s="21"/>
      <c r="CIV9" s="21"/>
      <c r="CIW9" s="21"/>
      <c r="CIX9" s="21"/>
      <c r="CIY9" s="21"/>
      <c r="CIZ9" s="21"/>
      <c r="CJA9" s="21"/>
      <c r="CJB9" s="21"/>
      <c r="CJC9" s="21"/>
      <c r="CJD9" s="21"/>
      <c r="CJE9" s="21"/>
      <c r="CJF9" s="21"/>
      <c r="CJG9" s="21"/>
      <c r="CJH9" s="21"/>
      <c r="CJI9" s="21"/>
      <c r="CJJ9" s="21"/>
      <c r="CJK9" s="21"/>
      <c r="CJL9" s="21"/>
      <c r="CJM9" s="21"/>
      <c r="CJN9" s="21"/>
      <c r="CJO9" s="21"/>
      <c r="CJP9" s="21"/>
      <c r="CJQ9" s="21"/>
      <c r="CJR9" s="21"/>
      <c r="CJS9" s="21"/>
      <c r="CJT9" s="21"/>
      <c r="CJU9" s="21"/>
      <c r="CJV9" s="21"/>
      <c r="CJW9" s="21"/>
      <c r="CJX9" s="21"/>
      <c r="CJY9" s="21"/>
      <c r="CJZ9" s="21"/>
      <c r="CKA9" s="21"/>
      <c r="CKB9" s="21"/>
      <c r="CKC9" s="21"/>
      <c r="CKD9" s="21"/>
      <c r="CKE9" s="21"/>
      <c r="CKF9" s="21"/>
      <c r="CKG9" s="21"/>
      <c r="CKH9" s="21"/>
      <c r="CKI9" s="21"/>
      <c r="CKJ9" s="21"/>
      <c r="CKK9" s="21"/>
      <c r="CKL9" s="21"/>
      <c r="CKM9" s="21"/>
      <c r="CKN9" s="21"/>
      <c r="CKO9" s="21"/>
      <c r="CKP9" s="21"/>
      <c r="CKQ9" s="21"/>
      <c r="CKR9" s="21"/>
      <c r="CKS9" s="21"/>
      <c r="CKT9" s="21"/>
      <c r="CKU9" s="21"/>
      <c r="CKV9" s="21"/>
      <c r="CKW9" s="21"/>
      <c r="CKX9" s="21"/>
      <c r="CKY9" s="21"/>
      <c r="CKZ9" s="21"/>
      <c r="CLA9" s="21"/>
      <c r="CLB9" s="21"/>
      <c r="CLC9" s="21"/>
      <c r="CLD9" s="21"/>
      <c r="CLE9" s="21"/>
      <c r="CLF9" s="21"/>
      <c r="CLG9" s="21"/>
      <c r="CLH9" s="21"/>
      <c r="CLI9" s="21"/>
      <c r="CLJ9" s="21"/>
      <c r="CLK9" s="21"/>
      <c r="CLL9" s="21"/>
      <c r="CLM9" s="21"/>
      <c r="CLN9" s="21"/>
      <c r="CLO9" s="21"/>
      <c r="CLP9" s="21"/>
      <c r="CLQ9" s="21"/>
      <c r="CLR9" s="21"/>
      <c r="CLS9" s="21"/>
      <c r="CLT9" s="21"/>
      <c r="CLU9" s="21"/>
      <c r="CLV9" s="21"/>
      <c r="CLW9" s="21"/>
      <c r="CLX9" s="21"/>
      <c r="CLY9" s="21"/>
      <c r="CLZ9" s="21"/>
      <c r="CMA9" s="21"/>
      <c r="CMB9" s="21"/>
      <c r="CMC9" s="21"/>
      <c r="CMD9" s="21"/>
      <c r="CME9" s="21"/>
      <c r="CMF9" s="21"/>
      <c r="CMG9" s="21"/>
      <c r="CMH9" s="21"/>
      <c r="CMI9" s="21"/>
      <c r="CMJ9" s="21"/>
      <c r="CMK9" s="21"/>
      <c r="CML9" s="21"/>
      <c r="CMM9" s="21"/>
      <c r="CMN9" s="21"/>
      <c r="CMO9" s="21"/>
      <c r="CMP9" s="21"/>
      <c r="CMQ9" s="21"/>
      <c r="CMR9" s="21"/>
      <c r="CMS9" s="21"/>
      <c r="CMT9" s="21"/>
      <c r="CMU9" s="21"/>
      <c r="CMV9" s="21"/>
      <c r="CMW9" s="21"/>
      <c r="CMX9" s="21"/>
      <c r="CMY9" s="21"/>
      <c r="CMZ9" s="21"/>
      <c r="CNA9" s="21"/>
      <c r="CNB9" s="21"/>
      <c r="CNC9" s="21"/>
      <c r="CND9" s="21"/>
      <c r="CNE9" s="21"/>
      <c r="CNF9" s="21"/>
      <c r="CNG9" s="21"/>
      <c r="CNH9" s="21"/>
      <c r="CNI9" s="21"/>
      <c r="CNJ9" s="21"/>
      <c r="CNK9" s="21"/>
      <c r="CNL9" s="21"/>
      <c r="CNM9" s="21"/>
      <c r="CNN9" s="21"/>
      <c r="CNO9" s="21"/>
      <c r="CNP9" s="21"/>
      <c r="CNQ9" s="21"/>
      <c r="CNR9" s="21"/>
      <c r="CNS9" s="21"/>
      <c r="CNT9" s="21"/>
      <c r="CNU9" s="21"/>
      <c r="CNV9" s="21"/>
      <c r="CNW9" s="21"/>
      <c r="CNX9" s="21"/>
      <c r="CNY9" s="21"/>
      <c r="CNZ9" s="21"/>
      <c r="COA9" s="21"/>
      <c r="COB9" s="21"/>
      <c r="COC9" s="21"/>
      <c r="COD9" s="21"/>
      <c r="COE9" s="21"/>
      <c r="COF9" s="21"/>
      <c r="COG9" s="21"/>
      <c r="COH9" s="21"/>
      <c r="COI9" s="21"/>
      <c r="COJ9" s="21"/>
      <c r="COK9" s="21"/>
      <c r="COL9" s="21"/>
      <c r="COM9" s="21"/>
      <c r="CON9" s="21"/>
      <c r="COO9" s="21"/>
      <c r="COP9" s="21"/>
      <c r="COQ9" s="21"/>
      <c r="COR9" s="21"/>
      <c r="COS9" s="21"/>
      <c r="COT9" s="21"/>
      <c r="COU9" s="21"/>
      <c r="COV9" s="21"/>
      <c r="COW9" s="21"/>
      <c r="COX9" s="21"/>
      <c r="COY9" s="21"/>
      <c r="COZ9" s="21"/>
      <c r="CPA9" s="21"/>
      <c r="CPB9" s="21"/>
      <c r="CPC9" s="21"/>
      <c r="CPD9" s="21"/>
      <c r="CPE9" s="21"/>
      <c r="CPF9" s="21"/>
      <c r="CPG9" s="21"/>
      <c r="CPH9" s="21"/>
      <c r="CPI9" s="21"/>
      <c r="CPJ9" s="21"/>
      <c r="CPK9" s="21"/>
      <c r="CPL9" s="21"/>
      <c r="CPM9" s="21"/>
      <c r="CPN9" s="21"/>
      <c r="CPO9" s="21"/>
      <c r="CPP9" s="21"/>
      <c r="CPQ9" s="21"/>
      <c r="CPR9" s="21"/>
      <c r="CPS9" s="21"/>
      <c r="CPT9" s="21"/>
      <c r="CPU9" s="21"/>
      <c r="CPV9" s="21"/>
      <c r="CPW9" s="21"/>
      <c r="CPX9" s="21"/>
      <c r="CPY9" s="21"/>
      <c r="CPZ9" s="21"/>
      <c r="CQA9" s="21"/>
      <c r="CQB9" s="21"/>
      <c r="CQC9" s="21"/>
      <c r="CQD9" s="21"/>
      <c r="CQE9" s="21"/>
      <c r="CQF9" s="21"/>
      <c r="CQG9" s="21"/>
      <c r="CQH9" s="21"/>
      <c r="CQI9" s="21"/>
      <c r="CQJ9" s="21"/>
      <c r="CQK9" s="21"/>
      <c r="CQL9" s="21"/>
      <c r="CQM9" s="21"/>
      <c r="CQN9" s="21"/>
      <c r="CQO9" s="21"/>
      <c r="CQP9" s="21"/>
      <c r="CQQ9" s="21"/>
      <c r="CQR9" s="21"/>
      <c r="CQS9" s="21"/>
      <c r="CQT9" s="21"/>
      <c r="CQU9" s="21"/>
      <c r="CQV9" s="21"/>
      <c r="CQW9" s="21"/>
      <c r="CQX9" s="21"/>
      <c r="CQY9" s="21"/>
      <c r="CQZ9" s="21"/>
      <c r="CRA9" s="21"/>
      <c r="CRB9" s="21"/>
      <c r="CRC9" s="21"/>
      <c r="CRD9" s="21"/>
      <c r="CRE9" s="21"/>
      <c r="CRF9" s="21"/>
      <c r="CRG9" s="21"/>
      <c r="CRH9" s="21"/>
      <c r="CRI9" s="21"/>
      <c r="CRJ9" s="21"/>
      <c r="CRK9" s="21"/>
      <c r="CRL9" s="21"/>
      <c r="CRM9" s="21"/>
      <c r="CRN9" s="21"/>
      <c r="CRO9" s="21"/>
      <c r="CRP9" s="21"/>
      <c r="CRQ9" s="21"/>
      <c r="CRR9" s="21"/>
      <c r="CRS9" s="21"/>
      <c r="CRT9" s="21"/>
      <c r="CRU9" s="21"/>
      <c r="CRV9" s="21"/>
      <c r="CRW9" s="21"/>
      <c r="CRX9" s="21"/>
      <c r="CRY9" s="21"/>
      <c r="CRZ9" s="21"/>
      <c r="CSA9" s="21"/>
      <c r="CSB9" s="21"/>
      <c r="CSC9" s="21"/>
      <c r="CSD9" s="21"/>
      <c r="CSE9" s="21"/>
      <c r="CSF9" s="21"/>
      <c r="CSG9" s="21"/>
      <c r="CSH9" s="21"/>
      <c r="CSI9" s="21"/>
      <c r="CSJ9" s="21"/>
      <c r="CSK9" s="21"/>
      <c r="CSL9" s="21"/>
      <c r="CSM9" s="21"/>
      <c r="CSN9" s="21"/>
      <c r="CSO9" s="21"/>
      <c r="CSP9" s="21"/>
      <c r="CSQ9" s="21"/>
      <c r="CSR9" s="21"/>
      <c r="CSS9" s="21"/>
      <c r="CST9" s="21"/>
      <c r="CSU9" s="21"/>
      <c r="CSV9" s="21"/>
      <c r="CSW9" s="21"/>
      <c r="CSX9" s="21"/>
      <c r="CSY9" s="21"/>
      <c r="CSZ9" s="21"/>
      <c r="CTA9" s="21"/>
      <c r="CTB9" s="21"/>
      <c r="CTC9" s="21"/>
      <c r="CTD9" s="21"/>
      <c r="CTE9" s="21"/>
      <c r="CTF9" s="21"/>
      <c r="CTG9" s="21"/>
      <c r="CTH9" s="21"/>
      <c r="CTI9" s="21"/>
      <c r="CTJ9" s="21"/>
      <c r="CTK9" s="21"/>
      <c r="CTL9" s="21"/>
      <c r="CTM9" s="21"/>
      <c r="CTN9" s="21"/>
      <c r="CTO9" s="21"/>
      <c r="CTP9" s="21"/>
      <c r="CTQ9" s="21"/>
      <c r="CTR9" s="21"/>
      <c r="CTS9" s="21"/>
      <c r="CTT9" s="21"/>
      <c r="CTU9" s="21"/>
      <c r="CTV9" s="21"/>
      <c r="CTW9" s="21"/>
      <c r="CTX9" s="21"/>
      <c r="CTY9" s="21"/>
      <c r="CTZ9" s="21"/>
      <c r="CUA9" s="21"/>
      <c r="CUB9" s="21"/>
      <c r="CUC9" s="21"/>
      <c r="CUD9" s="21"/>
      <c r="CUE9" s="21"/>
      <c r="CUF9" s="21"/>
      <c r="CUG9" s="21"/>
      <c r="CUH9" s="21"/>
      <c r="CUI9" s="21"/>
      <c r="CUJ9" s="21"/>
      <c r="CUK9" s="21"/>
      <c r="CUL9" s="21"/>
      <c r="CUM9" s="21"/>
      <c r="CUN9" s="21"/>
      <c r="CUO9" s="21"/>
      <c r="CUP9" s="21"/>
      <c r="CUQ9" s="21"/>
      <c r="CUR9" s="21"/>
      <c r="CUS9" s="21"/>
      <c r="CUT9" s="21"/>
      <c r="CUU9" s="21"/>
      <c r="CUV9" s="21"/>
      <c r="CUW9" s="21"/>
      <c r="CUX9" s="21"/>
      <c r="CUY9" s="21"/>
      <c r="CUZ9" s="21"/>
      <c r="CVA9" s="21"/>
      <c r="CVB9" s="21"/>
      <c r="CVC9" s="21"/>
      <c r="CVD9" s="21"/>
      <c r="CVE9" s="21"/>
      <c r="CVF9" s="21"/>
      <c r="CVG9" s="21"/>
      <c r="CVH9" s="21"/>
      <c r="CVI9" s="21"/>
      <c r="CVJ9" s="21"/>
      <c r="CVK9" s="21"/>
      <c r="CVL9" s="21"/>
      <c r="CVM9" s="21"/>
      <c r="CVN9" s="21"/>
      <c r="CVO9" s="21"/>
      <c r="CVP9" s="21"/>
      <c r="CVQ9" s="21"/>
      <c r="CVR9" s="21"/>
      <c r="CVS9" s="21"/>
      <c r="CVT9" s="21"/>
      <c r="CVU9" s="21"/>
      <c r="CVV9" s="21"/>
      <c r="CVW9" s="21"/>
      <c r="CVX9" s="21"/>
      <c r="CVY9" s="21"/>
      <c r="CVZ9" s="21"/>
      <c r="CWA9" s="21"/>
      <c r="CWB9" s="21"/>
      <c r="CWC9" s="21"/>
      <c r="CWD9" s="21"/>
      <c r="CWE9" s="21"/>
      <c r="CWF9" s="21"/>
      <c r="CWG9" s="21"/>
      <c r="CWH9" s="21"/>
      <c r="CWI9" s="21"/>
      <c r="CWJ9" s="21"/>
      <c r="CWK9" s="21"/>
      <c r="CWL9" s="21"/>
      <c r="CWM9" s="21"/>
      <c r="CWN9" s="21"/>
      <c r="CWO9" s="21"/>
      <c r="CWP9" s="21"/>
      <c r="CWQ9" s="21"/>
      <c r="CWR9" s="21"/>
      <c r="CWS9" s="21"/>
      <c r="CWT9" s="21"/>
      <c r="CWU9" s="21"/>
      <c r="CWV9" s="21"/>
      <c r="CWW9" s="21"/>
      <c r="CWX9" s="21"/>
      <c r="CWY9" s="21"/>
      <c r="CWZ9" s="21"/>
      <c r="CXA9" s="21"/>
      <c r="CXB9" s="21"/>
      <c r="CXC9" s="21"/>
      <c r="CXD9" s="21"/>
      <c r="CXE9" s="21"/>
      <c r="CXF9" s="21"/>
      <c r="CXG9" s="21"/>
      <c r="CXH9" s="21"/>
      <c r="CXI9" s="21"/>
      <c r="CXJ9" s="21"/>
      <c r="CXK9" s="21"/>
      <c r="CXL9" s="21"/>
      <c r="CXM9" s="21"/>
      <c r="CXN9" s="21"/>
      <c r="CXO9" s="21"/>
      <c r="CXP9" s="21"/>
      <c r="CXQ9" s="21"/>
      <c r="CXR9" s="21"/>
      <c r="CXS9" s="21"/>
      <c r="CXT9" s="21"/>
      <c r="CXU9" s="21"/>
      <c r="CXV9" s="21"/>
      <c r="CXW9" s="21"/>
      <c r="CXX9" s="21"/>
      <c r="CXY9" s="21"/>
      <c r="CXZ9" s="21"/>
      <c r="CYA9" s="21"/>
      <c r="CYB9" s="21"/>
      <c r="CYC9" s="21"/>
      <c r="CYD9" s="21"/>
      <c r="CYE9" s="21"/>
      <c r="CYF9" s="21"/>
      <c r="CYG9" s="21"/>
      <c r="CYH9" s="21"/>
      <c r="CYI9" s="21"/>
      <c r="CYJ9" s="21"/>
      <c r="CYK9" s="21"/>
      <c r="CYL9" s="21"/>
      <c r="CYM9" s="21"/>
      <c r="CYN9" s="21"/>
      <c r="CYO9" s="21"/>
      <c r="CYP9" s="21"/>
      <c r="CYQ9" s="21"/>
      <c r="CYR9" s="21"/>
      <c r="CYS9" s="21"/>
      <c r="CYT9" s="21"/>
      <c r="CYU9" s="21"/>
      <c r="CYV9" s="21"/>
      <c r="CYW9" s="21"/>
      <c r="CYX9" s="21"/>
      <c r="CYY9" s="21"/>
      <c r="CYZ9" s="21"/>
      <c r="CZA9" s="21"/>
      <c r="CZB9" s="21"/>
      <c r="CZC9" s="21"/>
      <c r="CZD9" s="21"/>
      <c r="CZE9" s="21"/>
      <c r="CZF9" s="21"/>
      <c r="CZG9" s="21"/>
      <c r="CZH9" s="21"/>
      <c r="CZI9" s="21"/>
      <c r="CZJ9" s="21"/>
      <c r="CZK9" s="21"/>
      <c r="CZL9" s="21"/>
      <c r="CZM9" s="21"/>
      <c r="CZN9" s="21"/>
      <c r="CZO9" s="21"/>
      <c r="CZP9" s="21"/>
      <c r="CZQ9" s="21"/>
      <c r="CZR9" s="21"/>
      <c r="CZS9" s="21"/>
      <c r="CZT9" s="21"/>
      <c r="CZU9" s="21"/>
      <c r="CZV9" s="21"/>
      <c r="CZW9" s="21"/>
      <c r="CZX9" s="21"/>
      <c r="CZY9" s="21"/>
      <c r="CZZ9" s="21"/>
      <c r="DAA9" s="21"/>
      <c r="DAB9" s="21"/>
      <c r="DAC9" s="21"/>
      <c r="DAD9" s="21"/>
      <c r="DAE9" s="21"/>
      <c r="DAF9" s="21"/>
      <c r="DAG9" s="21"/>
      <c r="DAH9" s="21"/>
      <c r="DAI9" s="21"/>
      <c r="DAJ9" s="21"/>
      <c r="DAK9" s="21"/>
      <c r="DAL9" s="21"/>
      <c r="DAM9" s="21"/>
      <c r="DAN9" s="21"/>
      <c r="DAO9" s="21"/>
      <c r="DAP9" s="21"/>
      <c r="DAQ9" s="21"/>
      <c r="DAR9" s="21"/>
      <c r="DAS9" s="21"/>
      <c r="DAT9" s="21"/>
      <c r="DAU9" s="21"/>
      <c r="DAV9" s="21"/>
      <c r="DAW9" s="21"/>
      <c r="DAX9" s="21"/>
      <c r="DAY9" s="21"/>
      <c r="DAZ9" s="21"/>
      <c r="DBA9" s="21"/>
      <c r="DBB9" s="21"/>
      <c r="DBC9" s="21"/>
      <c r="DBD9" s="21"/>
      <c r="DBE9" s="21"/>
      <c r="DBF9" s="21"/>
      <c r="DBG9" s="21"/>
      <c r="DBH9" s="21"/>
      <c r="DBI9" s="21"/>
      <c r="DBJ9" s="21"/>
      <c r="DBK9" s="21"/>
      <c r="DBL9" s="21"/>
      <c r="DBM9" s="21"/>
      <c r="DBN9" s="21"/>
      <c r="DBO9" s="21"/>
      <c r="DBP9" s="21"/>
      <c r="DBQ9" s="21"/>
      <c r="DBR9" s="21"/>
      <c r="DBS9" s="21"/>
      <c r="DBT9" s="21"/>
      <c r="DBU9" s="21"/>
      <c r="DBV9" s="21"/>
      <c r="DBW9" s="21"/>
      <c r="DBX9" s="21"/>
      <c r="DBY9" s="21"/>
      <c r="DBZ9" s="21"/>
      <c r="DCA9" s="21"/>
      <c r="DCB9" s="21"/>
      <c r="DCC9" s="21"/>
      <c r="DCD9" s="21"/>
      <c r="DCE9" s="21"/>
      <c r="DCF9" s="21"/>
      <c r="DCG9" s="21"/>
      <c r="DCH9" s="21"/>
      <c r="DCI9" s="21"/>
      <c r="DCJ9" s="21"/>
      <c r="DCK9" s="21"/>
      <c r="DCL9" s="21"/>
      <c r="DCM9" s="21"/>
      <c r="DCN9" s="21"/>
      <c r="DCO9" s="21"/>
      <c r="DCP9" s="21"/>
      <c r="DCQ9" s="21"/>
      <c r="DCR9" s="21"/>
      <c r="DCS9" s="21"/>
      <c r="DCT9" s="21"/>
      <c r="DCU9" s="21"/>
      <c r="DCV9" s="21"/>
      <c r="DCW9" s="21"/>
      <c r="DCX9" s="21"/>
      <c r="DCY9" s="21"/>
      <c r="DCZ9" s="21"/>
      <c r="DDA9" s="21"/>
      <c r="DDB9" s="21"/>
      <c r="DDC9" s="21"/>
      <c r="DDD9" s="21"/>
      <c r="DDE9" s="21"/>
      <c r="DDF9" s="21"/>
      <c r="DDG9" s="21"/>
      <c r="DDH9" s="21"/>
      <c r="DDI9" s="21"/>
      <c r="DDJ9" s="21"/>
      <c r="DDK9" s="21"/>
      <c r="DDL9" s="21"/>
      <c r="DDM9" s="21"/>
      <c r="DDN9" s="21"/>
      <c r="DDO9" s="21"/>
      <c r="DDP9" s="21"/>
      <c r="DDQ9" s="21"/>
      <c r="DDR9" s="21"/>
      <c r="DDS9" s="21"/>
      <c r="DDT9" s="21"/>
      <c r="DDU9" s="21"/>
      <c r="DDV9" s="21"/>
      <c r="DDW9" s="21"/>
      <c r="DDX9" s="21"/>
      <c r="DDY9" s="21"/>
      <c r="DDZ9" s="21"/>
      <c r="DEA9" s="21"/>
      <c r="DEB9" s="21"/>
      <c r="DEC9" s="21"/>
      <c r="DED9" s="21"/>
      <c r="DEE9" s="21"/>
      <c r="DEF9" s="21"/>
      <c r="DEG9" s="21"/>
      <c r="DEH9" s="21"/>
      <c r="DEI9" s="21"/>
      <c r="DEJ9" s="21"/>
      <c r="DEK9" s="21"/>
      <c r="DEL9" s="21"/>
      <c r="DEM9" s="21"/>
      <c r="DEN9" s="21"/>
      <c r="DEO9" s="21"/>
      <c r="DEP9" s="21"/>
      <c r="DEQ9" s="21"/>
      <c r="DER9" s="21"/>
      <c r="DES9" s="21"/>
      <c r="DET9" s="21"/>
      <c r="DEU9" s="21"/>
      <c r="DEV9" s="21"/>
      <c r="DEW9" s="21"/>
      <c r="DEX9" s="21"/>
      <c r="DEY9" s="21"/>
      <c r="DEZ9" s="21"/>
      <c r="DFA9" s="21"/>
      <c r="DFB9" s="21"/>
      <c r="DFC9" s="21"/>
      <c r="DFD9" s="21"/>
      <c r="DFE9" s="21"/>
      <c r="DFF9" s="21"/>
      <c r="DFG9" s="21"/>
      <c r="DFH9" s="21"/>
      <c r="DFI9" s="21"/>
      <c r="DFJ9" s="21"/>
      <c r="DFK9" s="21"/>
      <c r="DFL9" s="21"/>
      <c r="DFM9" s="21"/>
      <c r="DFN9" s="21"/>
      <c r="DFO9" s="21"/>
      <c r="DFP9" s="21"/>
      <c r="DFQ9" s="21"/>
      <c r="DFR9" s="21"/>
      <c r="DFS9" s="21"/>
      <c r="DFT9" s="21"/>
      <c r="DFU9" s="21"/>
      <c r="DFV9" s="21"/>
      <c r="DFW9" s="21"/>
      <c r="DFX9" s="21"/>
      <c r="DFY9" s="21"/>
      <c r="DFZ9" s="21"/>
      <c r="DGA9" s="21"/>
      <c r="DGB9" s="21"/>
      <c r="DGC9" s="21"/>
      <c r="DGD9" s="21"/>
      <c r="DGE9" s="21"/>
      <c r="DGF9" s="21"/>
      <c r="DGG9" s="21"/>
      <c r="DGH9" s="21"/>
      <c r="DGI9" s="21"/>
      <c r="DGJ9" s="21"/>
      <c r="DGK9" s="21"/>
      <c r="DGL9" s="21"/>
      <c r="DGM9" s="21"/>
      <c r="DGN9" s="21"/>
      <c r="DGO9" s="21"/>
      <c r="DGP9" s="21"/>
      <c r="DGQ9" s="21"/>
      <c r="DGR9" s="21"/>
      <c r="DGS9" s="21"/>
      <c r="DGT9" s="21"/>
      <c r="DGU9" s="21"/>
      <c r="DGV9" s="21"/>
      <c r="DGW9" s="21"/>
      <c r="DGX9" s="21"/>
      <c r="DGY9" s="21"/>
      <c r="DGZ9" s="21"/>
      <c r="DHA9" s="21"/>
      <c r="DHB9" s="21"/>
      <c r="DHC9" s="21"/>
      <c r="DHD9" s="21"/>
      <c r="DHE9" s="21"/>
      <c r="DHF9" s="21"/>
      <c r="DHG9" s="21"/>
      <c r="DHH9" s="21"/>
      <c r="DHI9" s="21"/>
      <c r="DHJ9" s="21"/>
      <c r="DHK9" s="21"/>
      <c r="DHL9" s="21"/>
      <c r="DHM9" s="21"/>
      <c r="DHN9" s="21"/>
      <c r="DHO9" s="21"/>
      <c r="DHP9" s="21"/>
      <c r="DHQ9" s="21"/>
      <c r="DHR9" s="21"/>
      <c r="DHS9" s="21"/>
      <c r="DHT9" s="21"/>
      <c r="DHU9" s="21"/>
      <c r="DHV9" s="21"/>
      <c r="DHW9" s="21"/>
      <c r="DHX9" s="21"/>
      <c r="DHY9" s="21"/>
      <c r="DHZ9" s="21"/>
      <c r="DIA9" s="21"/>
      <c r="DIB9" s="21"/>
      <c r="DIC9" s="21"/>
      <c r="DID9" s="21"/>
      <c r="DIE9" s="21"/>
      <c r="DIF9" s="21"/>
      <c r="DIG9" s="21"/>
      <c r="DIH9" s="21"/>
      <c r="DII9" s="21"/>
      <c r="DIJ9" s="21"/>
      <c r="DIK9" s="21"/>
      <c r="DIL9" s="21"/>
      <c r="DIM9" s="21"/>
      <c r="DIN9" s="21"/>
      <c r="DIO9" s="21"/>
      <c r="DIP9" s="21"/>
      <c r="DIQ9" s="21"/>
      <c r="DIR9" s="21"/>
      <c r="DIS9" s="21"/>
      <c r="DIT9" s="21"/>
      <c r="DIU9" s="21"/>
      <c r="DIV9" s="21"/>
      <c r="DIW9" s="21"/>
      <c r="DIX9" s="21"/>
      <c r="DIY9" s="21"/>
      <c r="DIZ9" s="21"/>
      <c r="DJA9" s="21"/>
      <c r="DJB9" s="21"/>
      <c r="DJC9" s="21"/>
      <c r="DJD9" s="21"/>
      <c r="DJE9" s="21"/>
      <c r="DJF9" s="21"/>
      <c r="DJG9" s="21"/>
      <c r="DJH9" s="21"/>
      <c r="DJI9" s="21"/>
      <c r="DJJ9" s="21"/>
      <c r="DJK9" s="21"/>
      <c r="DJL9" s="21"/>
      <c r="DJM9" s="21"/>
      <c r="DJN9" s="21"/>
      <c r="DJO9" s="21"/>
      <c r="DJP9" s="21"/>
      <c r="DJQ9" s="21"/>
      <c r="DJR9" s="21"/>
      <c r="DJS9" s="21"/>
      <c r="DJT9" s="21"/>
      <c r="DJU9" s="21"/>
      <c r="DJV9" s="21"/>
      <c r="DJW9" s="21"/>
      <c r="DJX9" s="21"/>
      <c r="DJY9" s="21"/>
      <c r="DJZ9" s="21"/>
      <c r="DKA9" s="21"/>
      <c r="DKB9" s="21"/>
      <c r="DKC9" s="21"/>
      <c r="DKD9" s="21"/>
      <c r="DKE9" s="21"/>
      <c r="DKF9" s="21"/>
      <c r="DKG9" s="21"/>
      <c r="DKH9" s="21"/>
      <c r="DKI9" s="21"/>
      <c r="DKJ9" s="21"/>
      <c r="DKK9" s="21"/>
      <c r="DKL9" s="21"/>
      <c r="DKM9" s="21"/>
      <c r="DKN9" s="21"/>
      <c r="DKO9" s="21"/>
      <c r="DKP9" s="21"/>
      <c r="DKQ9" s="21"/>
      <c r="DKR9" s="21"/>
      <c r="DKS9" s="21"/>
      <c r="DKT9" s="21"/>
      <c r="DKU9" s="21"/>
      <c r="DKV9" s="21"/>
      <c r="DKW9" s="21"/>
      <c r="DKX9" s="21"/>
      <c r="DKY9" s="21"/>
      <c r="DKZ9" s="21"/>
      <c r="DLA9" s="21"/>
      <c r="DLB9" s="21"/>
      <c r="DLC9" s="21"/>
      <c r="DLD9" s="21"/>
      <c r="DLE9" s="21"/>
      <c r="DLF9" s="21"/>
      <c r="DLG9" s="21"/>
      <c r="DLH9" s="21"/>
      <c r="DLI9" s="21"/>
      <c r="DLJ9" s="21"/>
      <c r="DLK9" s="21"/>
      <c r="DLL9" s="21"/>
      <c r="DLM9" s="21"/>
      <c r="DLN9" s="21"/>
      <c r="DLO9" s="21"/>
      <c r="DLP9" s="21"/>
      <c r="DLQ9" s="21"/>
      <c r="DLR9" s="21"/>
      <c r="DLS9" s="21"/>
      <c r="DLT9" s="21"/>
      <c r="DLU9" s="21"/>
      <c r="DLV9" s="21"/>
      <c r="DLW9" s="21"/>
      <c r="DLX9" s="21"/>
      <c r="DLY9" s="21"/>
      <c r="DLZ9" s="21"/>
      <c r="DMA9" s="21"/>
      <c r="DMB9" s="21"/>
      <c r="DMC9" s="21"/>
      <c r="DMD9" s="21"/>
      <c r="DME9" s="21"/>
      <c r="DMF9" s="21"/>
      <c r="DMG9" s="21"/>
      <c r="DMH9" s="21"/>
      <c r="DMI9" s="21"/>
      <c r="DMJ9" s="21"/>
      <c r="DMK9" s="21"/>
      <c r="DML9" s="21"/>
      <c r="DMM9" s="21"/>
      <c r="DMN9" s="21"/>
      <c r="DMO9" s="21"/>
      <c r="DMP9" s="21"/>
      <c r="DMQ9" s="21"/>
      <c r="DMR9" s="21"/>
      <c r="DMS9" s="21"/>
      <c r="DMT9" s="21"/>
      <c r="DMU9" s="21"/>
      <c r="DMV9" s="21"/>
      <c r="DMW9" s="21"/>
      <c r="DMX9" s="21"/>
      <c r="DMY9" s="21"/>
      <c r="DMZ9" s="21"/>
      <c r="DNA9" s="21"/>
      <c r="DNB9" s="21"/>
      <c r="DNC9" s="21"/>
      <c r="DND9" s="21"/>
      <c r="DNE9" s="21"/>
      <c r="DNF9" s="21"/>
      <c r="DNG9" s="21"/>
      <c r="DNH9" s="21"/>
      <c r="DNI9" s="21"/>
      <c r="DNJ9" s="21"/>
      <c r="DNK9" s="21"/>
      <c r="DNL9" s="21"/>
      <c r="DNM9" s="21"/>
      <c r="DNN9" s="21"/>
      <c r="DNO9" s="21"/>
      <c r="DNP9" s="21"/>
      <c r="DNQ9" s="21"/>
      <c r="DNR9" s="21"/>
      <c r="DNS9" s="21"/>
      <c r="DNT9" s="21"/>
      <c r="DNU9" s="21"/>
      <c r="DNV9" s="21"/>
      <c r="DNW9" s="21"/>
      <c r="DNX9" s="21"/>
      <c r="DNY9" s="21"/>
      <c r="DNZ9" s="21"/>
      <c r="DOA9" s="21"/>
      <c r="DOB9" s="21"/>
      <c r="DOC9" s="21"/>
      <c r="DOD9" s="21"/>
      <c r="DOE9" s="21"/>
      <c r="DOF9" s="21"/>
      <c r="DOG9" s="21"/>
      <c r="DOH9" s="21"/>
      <c r="DOI9" s="21"/>
      <c r="DOJ9" s="21"/>
      <c r="DOK9" s="21"/>
      <c r="DOL9" s="21"/>
      <c r="DOM9" s="21"/>
      <c r="DON9" s="21"/>
      <c r="DOO9" s="21"/>
      <c r="DOP9" s="21"/>
      <c r="DOQ9" s="21"/>
      <c r="DOR9" s="21"/>
      <c r="DOS9" s="21"/>
      <c r="DOT9" s="21"/>
      <c r="DOU9" s="21"/>
      <c r="DOV9" s="21"/>
      <c r="DOW9" s="21"/>
      <c r="DOX9" s="21"/>
      <c r="DOY9" s="21"/>
      <c r="DOZ9" s="21"/>
      <c r="DPA9" s="21"/>
      <c r="DPB9" s="21"/>
      <c r="DPC9" s="21"/>
      <c r="DPD9" s="21"/>
      <c r="DPE9" s="21"/>
      <c r="DPF9" s="21"/>
      <c r="DPG9" s="21"/>
      <c r="DPH9" s="21"/>
      <c r="DPI9" s="21"/>
      <c r="DPJ9" s="21"/>
      <c r="DPK9" s="21"/>
      <c r="DPL9" s="21"/>
      <c r="DPM9" s="21"/>
      <c r="DPN9" s="21"/>
      <c r="DPO9" s="21"/>
      <c r="DPP9" s="21"/>
      <c r="DPQ9" s="21"/>
      <c r="DPR9" s="21"/>
      <c r="DPS9" s="21"/>
      <c r="DPT9" s="21"/>
      <c r="DPU9" s="21"/>
      <c r="DPV9" s="21"/>
      <c r="DPW9" s="21"/>
      <c r="DPX9" s="21"/>
      <c r="DPY9" s="21"/>
      <c r="DPZ9" s="21"/>
      <c r="DQA9" s="21"/>
      <c r="DQB9" s="21"/>
      <c r="DQC9" s="21"/>
      <c r="DQD9" s="21"/>
      <c r="DQE9" s="21"/>
      <c r="DQF9" s="21"/>
      <c r="DQG9" s="21"/>
      <c r="DQH9" s="21"/>
      <c r="DQI9" s="21"/>
      <c r="DQJ9" s="21"/>
      <c r="DQK9" s="21"/>
      <c r="DQL9" s="21"/>
      <c r="DQM9" s="21"/>
      <c r="DQN9" s="21"/>
      <c r="DQO9" s="21"/>
      <c r="DQP9" s="21"/>
      <c r="DQQ9" s="21"/>
      <c r="DQR9" s="21"/>
      <c r="DQS9" s="21"/>
      <c r="DQT9" s="21"/>
      <c r="DQU9" s="21"/>
      <c r="DQV9" s="21"/>
      <c r="DQW9" s="21"/>
      <c r="DQX9" s="21"/>
      <c r="DQY9" s="21"/>
      <c r="DQZ9" s="21"/>
      <c r="DRA9" s="21"/>
      <c r="DRB9" s="21"/>
      <c r="DRC9" s="21"/>
      <c r="DRD9" s="21"/>
      <c r="DRE9" s="21"/>
      <c r="DRF9" s="21"/>
      <c r="DRG9" s="21"/>
      <c r="DRH9" s="21"/>
      <c r="DRI9" s="21"/>
      <c r="DRJ9" s="21"/>
      <c r="DRK9" s="21"/>
      <c r="DRL9" s="21"/>
      <c r="DRM9" s="21"/>
      <c r="DRN9" s="21"/>
      <c r="DRO9" s="21"/>
      <c r="DRP9" s="21"/>
      <c r="DRQ9" s="21"/>
      <c r="DRR9" s="21"/>
      <c r="DRS9" s="21"/>
      <c r="DRT9" s="21"/>
      <c r="DRU9" s="21"/>
      <c r="DRV9" s="21"/>
      <c r="DRW9" s="21"/>
      <c r="DRX9" s="21"/>
      <c r="DRY9" s="21"/>
      <c r="DRZ9" s="21"/>
      <c r="DSA9" s="21"/>
      <c r="DSB9" s="21"/>
      <c r="DSC9" s="21"/>
      <c r="DSD9" s="21"/>
      <c r="DSE9" s="21"/>
      <c r="DSF9" s="21"/>
      <c r="DSG9" s="21"/>
      <c r="DSH9" s="21"/>
      <c r="DSI9" s="21"/>
      <c r="DSJ9" s="21"/>
      <c r="DSK9" s="21"/>
      <c r="DSL9" s="21"/>
      <c r="DSM9" s="21"/>
      <c r="DSN9" s="21"/>
      <c r="DSO9" s="21"/>
      <c r="DSP9" s="21"/>
      <c r="DSQ9" s="21"/>
      <c r="DSR9" s="21"/>
      <c r="DSS9" s="21"/>
      <c r="DST9" s="21"/>
      <c r="DSU9" s="21"/>
      <c r="DSV9" s="21"/>
      <c r="DSW9" s="21"/>
      <c r="DSX9" s="21"/>
      <c r="DSY9" s="21"/>
      <c r="DSZ9" s="21"/>
      <c r="DTA9" s="21"/>
      <c r="DTB9" s="21"/>
      <c r="DTC9" s="21"/>
      <c r="DTD9" s="21"/>
      <c r="DTE9" s="21"/>
      <c r="DTF9" s="21"/>
      <c r="DTG9" s="21"/>
      <c r="DTH9" s="21"/>
      <c r="DTI9" s="21"/>
      <c r="DTJ9" s="21"/>
      <c r="DTK9" s="21"/>
      <c r="DTL9" s="21"/>
      <c r="DTM9" s="21"/>
      <c r="DTN9" s="21"/>
      <c r="DTO9" s="21"/>
      <c r="DTP9" s="21"/>
      <c r="DTQ9" s="21"/>
      <c r="DTR9" s="21"/>
      <c r="DTS9" s="21"/>
      <c r="DTT9" s="21"/>
      <c r="DTU9" s="21"/>
      <c r="DTV9" s="21"/>
      <c r="DTW9" s="21"/>
      <c r="DTX9" s="21"/>
      <c r="DTY9" s="21"/>
      <c r="DTZ9" s="21"/>
      <c r="DUA9" s="21"/>
      <c r="DUB9" s="21"/>
      <c r="DUC9" s="21"/>
      <c r="DUD9" s="21"/>
      <c r="DUE9" s="21"/>
      <c r="DUF9" s="21"/>
      <c r="DUG9" s="21"/>
      <c r="DUH9" s="21"/>
      <c r="DUI9" s="21"/>
      <c r="DUJ9" s="21"/>
      <c r="DUK9" s="21"/>
      <c r="DUL9" s="21"/>
      <c r="DUM9" s="21"/>
      <c r="DUN9" s="21"/>
      <c r="DUO9" s="21"/>
      <c r="DUP9" s="21"/>
      <c r="DUQ9" s="21"/>
      <c r="DUR9" s="21"/>
      <c r="DUS9" s="21"/>
      <c r="DUT9" s="21"/>
      <c r="DUU9" s="21"/>
      <c r="DUV9" s="21"/>
      <c r="DUW9" s="21"/>
      <c r="DUX9" s="21"/>
      <c r="DUY9" s="21"/>
      <c r="DUZ9" s="21"/>
      <c r="DVA9" s="21"/>
      <c r="DVB9" s="21"/>
      <c r="DVC9" s="21"/>
      <c r="DVD9" s="21"/>
      <c r="DVE9" s="21"/>
      <c r="DVF9" s="21"/>
      <c r="DVG9" s="21"/>
      <c r="DVH9" s="21"/>
      <c r="DVI9" s="21"/>
      <c r="DVJ9" s="21"/>
      <c r="DVK9" s="21"/>
      <c r="DVL9" s="21"/>
      <c r="DVM9" s="21"/>
      <c r="DVN9" s="21"/>
      <c r="DVO9" s="21"/>
      <c r="DVP9" s="21"/>
      <c r="DVQ9" s="21"/>
      <c r="DVR9" s="21"/>
      <c r="DVS9" s="21"/>
      <c r="DVT9" s="21"/>
      <c r="DVU9" s="21"/>
      <c r="DVV9" s="21"/>
      <c r="DVW9" s="21"/>
      <c r="DVX9" s="21"/>
      <c r="DVY9" s="21"/>
      <c r="DVZ9" s="21"/>
      <c r="DWA9" s="21"/>
      <c r="DWB9" s="21"/>
      <c r="DWC9" s="21"/>
      <c r="DWD9" s="21"/>
      <c r="DWE9" s="21"/>
      <c r="DWF9" s="21"/>
      <c r="DWG9" s="21"/>
      <c r="DWH9" s="21"/>
      <c r="DWI9" s="21"/>
      <c r="DWJ9" s="21"/>
      <c r="DWK9" s="21"/>
      <c r="DWL9" s="21"/>
      <c r="DWM9" s="21"/>
      <c r="DWN9" s="21"/>
      <c r="DWO9" s="21"/>
      <c r="DWP9" s="21"/>
      <c r="DWQ9" s="21"/>
      <c r="DWR9" s="21"/>
      <c r="DWS9" s="21"/>
      <c r="DWT9" s="21"/>
      <c r="DWU9" s="21"/>
      <c r="DWV9" s="21"/>
      <c r="DWW9" s="21"/>
      <c r="DWX9" s="21"/>
      <c r="DWY9" s="21"/>
      <c r="DWZ9" s="21"/>
      <c r="DXA9" s="21"/>
      <c r="DXB9" s="21"/>
      <c r="DXC9" s="21"/>
      <c r="DXD9" s="21"/>
      <c r="DXE9" s="21"/>
      <c r="DXF9" s="21"/>
      <c r="DXG9" s="21"/>
      <c r="DXH9" s="21"/>
      <c r="DXI9" s="21"/>
      <c r="DXJ9" s="21"/>
      <c r="DXK9" s="21"/>
      <c r="DXL9" s="21"/>
      <c r="DXM9" s="21"/>
      <c r="DXN9" s="21"/>
      <c r="DXO9" s="21"/>
      <c r="DXP9" s="21"/>
      <c r="DXQ9" s="21"/>
      <c r="DXR9" s="21"/>
      <c r="DXS9" s="21"/>
      <c r="DXT9" s="21"/>
      <c r="DXU9" s="21"/>
      <c r="DXV9" s="21"/>
      <c r="DXW9" s="21"/>
      <c r="DXX9" s="21"/>
      <c r="DXY9" s="21"/>
      <c r="DXZ9" s="21"/>
      <c r="DYA9" s="21"/>
      <c r="DYB9" s="21"/>
      <c r="DYC9" s="21"/>
      <c r="DYD9" s="21"/>
      <c r="DYE9" s="21"/>
      <c r="DYF9" s="21"/>
      <c r="DYG9" s="21"/>
      <c r="DYH9" s="21"/>
      <c r="DYI9" s="21"/>
      <c r="DYJ9" s="21"/>
      <c r="DYK9" s="21"/>
      <c r="DYL9" s="21"/>
      <c r="DYM9" s="21"/>
      <c r="DYN9" s="21"/>
      <c r="DYO9" s="21"/>
      <c r="DYP9" s="21"/>
      <c r="DYQ9" s="21"/>
      <c r="DYR9" s="21"/>
      <c r="DYS9" s="21"/>
      <c r="DYT9" s="21"/>
      <c r="DYU9" s="21"/>
      <c r="DYV9" s="21"/>
      <c r="DYW9" s="21"/>
      <c r="DYX9" s="21"/>
      <c r="DYY9" s="21"/>
      <c r="DYZ9" s="21"/>
      <c r="DZA9" s="21"/>
      <c r="DZB9" s="21"/>
      <c r="DZC9" s="21"/>
      <c r="DZD9" s="21"/>
      <c r="DZE9" s="21"/>
      <c r="DZF9" s="21"/>
      <c r="DZG9" s="21"/>
      <c r="DZH9" s="21"/>
      <c r="DZI9" s="21"/>
      <c r="DZJ9" s="21"/>
      <c r="DZK9" s="21"/>
      <c r="DZL9" s="21"/>
      <c r="DZM9" s="21"/>
      <c r="DZN9" s="21"/>
      <c r="DZO9" s="21"/>
      <c r="DZP9" s="21"/>
      <c r="DZQ9" s="21"/>
      <c r="DZR9" s="21"/>
      <c r="DZS9" s="21"/>
      <c r="DZT9" s="21"/>
      <c r="DZU9" s="21"/>
      <c r="DZV9" s="21"/>
      <c r="DZW9" s="21"/>
      <c r="DZX9" s="21"/>
      <c r="DZY9" s="21"/>
      <c r="DZZ9" s="21"/>
      <c r="EAA9" s="21"/>
      <c r="EAB9" s="21"/>
      <c r="EAC9" s="21"/>
      <c r="EAD9" s="21"/>
      <c r="EAE9" s="21"/>
      <c r="EAF9" s="21"/>
      <c r="EAG9" s="21"/>
      <c r="EAH9" s="21"/>
      <c r="EAI9" s="21"/>
      <c r="EAJ9" s="21"/>
      <c r="EAK9" s="21"/>
      <c r="EAL9" s="21"/>
      <c r="EAM9" s="21"/>
      <c r="EAN9" s="21"/>
      <c r="EAO9" s="21"/>
      <c r="EAP9" s="21"/>
      <c r="EAQ9" s="21"/>
      <c r="EAR9" s="21"/>
      <c r="EAS9" s="21"/>
      <c r="EAT9" s="21"/>
      <c r="EAU9" s="21"/>
      <c r="EAV9" s="21"/>
      <c r="EAW9" s="21"/>
      <c r="EAX9" s="21"/>
      <c r="EAY9" s="21"/>
      <c r="EAZ9" s="21"/>
      <c r="EBA9" s="21"/>
      <c r="EBB9" s="21"/>
      <c r="EBC9" s="21"/>
      <c r="EBD9" s="21"/>
      <c r="EBE9" s="21"/>
      <c r="EBF9" s="21"/>
      <c r="EBG9" s="21"/>
      <c r="EBH9" s="21"/>
      <c r="EBI9" s="21"/>
      <c r="EBJ9" s="21"/>
      <c r="EBK9" s="21"/>
      <c r="EBL9" s="21"/>
      <c r="EBM9" s="21"/>
      <c r="EBN9" s="21"/>
      <c r="EBO9" s="21"/>
      <c r="EBP9" s="21"/>
      <c r="EBQ9" s="21"/>
      <c r="EBR9" s="21"/>
      <c r="EBS9" s="21"/>
      <c r="EBT9" s="21"/>
      <c r="EBU9" s="21"/>
      <c r="EBV9" s="21"/>
      <c r="EBW9" s="21"/>
      <c r="EBX9" s="21"/>
      <c r="EBY9" s="21"/>
      <c r="EBZ9" s="21"/>
      <c r="ECA9" s="21"/>
      <c r="ECB9" s="21"/>
      <c r="ECC9" s="21"/>
      <c r="ECD9" s="21"/>
      <c r="ECE9" s="21"/>
      <c r="ECF9" s="21"/>
      <c r="ECG9" s="21"/>
      <c r="ECH9" s="21"/>
      <c r="ECI9" s="21"/>
      <c r="ECJ9" s="21"/>
      <c r="ECK9" s="21"/>
      <c r="ECL9" s="21"/>
      <c r="ECM9" s="21"/>
      <c r="ECN9" s="21"/>
      <c r="ECO9" s="21"/>
      <c r="ECP9" s="21"/>
      <c r="ECQ9" s="21"/>
      <c r="ECR9" s="21"/>
      <c r="ECS9" s="21"/>
      <c r="ECT9" s="21"/>
      <c r="ECU9" s="21"/>
      <c r="ECV9" s="21"/>
      <c r="ECW9" s="21"/>
      <c r="ECX9" s="21"/>
      <c r="ECY9" s="21"/>
      <c r="ECZ9" s="21"/>
      <c r="EDA9" s="21"/>
      <c r="EDB9" s="21"/>
      <c r="EDC9" s="21"/>
      <c r="EDD9" s="21"/>
      <c r="EDE9" s="21"/>
      <c r="EDF9" s="21"/>
      <c r="EDG9" s="21"/>
      <c r="EDH9" s="21"/>
      <c r="EDI9" s="21"/>
      <c r="EDJ9" s="21"/>
      <c r="EDK9" s="21"/>
      <c r="EDL9" s="21"/>
      <c r="EDM9" s="21"/>
      <c r="EDN9" s="21"/>
      <c r="EDO9" s="21"/>
      <c r="EDP9" s="21"/>
      <c r="EDQ9" s="21"/>
      <c r="EDR9" s="21"/>
      <c r="EDS9" s="21"/>
      <c r="EDT9" s="21"/>
      <c r="EDU9" s="21"/>
      <c r="EDV9" s="21"/>
      <c r="EDW9" s="21"/>
      <c r="EDX9" s="21"/>
      <c r="EDY9" s="21"/>
      <c r="EDZ9" s="21"/>
      <c r="EEA9" s="21"/>
      <c r="EEB9" s="21"/>
      <c r="EEC9" s="21"/>
      <c r="EED9" s="21"/>
      <c r="EEE9" s="21"/>
      <c r="EEF9" s="21"/>
      <c r="EEG9" s="21"/>
      <c r="EEH9" s="21"/>
      <c r="EEI9" s="21"/>
      <c r="EEJ9" s="21"/>
      <c r="EEK9" s="21"/>
      <c r="EEL9" s="21"/>
      <c r="EEM9" s="21"/>
      <c r="EEN9" s="21"/>
      <c r="EEO9" s="21"/>
      <c r="EEP9" s="21"/>
      <c r="EEQ9" s="21"/>
      <c r="EER9" s="21"/>
      <c r="EES9" s="21"/>
      <c r="EET9" s="21"/>
      <c r="EEU9" s="21"/>
      <c r="EEV9" s="21"/>
      <c r="EEW9" s="21"/>
      <c r="EEX9" s="21"/>
      <c r="EEY9" s="21"/>
      <c r="EEZ9" s="21"/>
      <c r="EFA9" s="21"/>
      <c r="EFB9" s="21"/>
      <c r="EFC9" s="21"/>
      <c r="EFD9" s="21"/>
      <c r="EFE9" s="21"/>
      <c r="EFF9" s="21"/>
      <c r="EFG9" s="21"/>
      <c r="EFH9" s="21"/>
      <c r="EFI9" s="21"/>
      <c r="EFJ9" s="21"/>
      <c r="EFK9" s="21"/>
      <c r="EFL9" s="21"/>
      <c r="EFM9" s="21"/>
      <c r="EFN9" s="21"/>
      <c r="EFO9" s="21"/>
      <c r="EFP9" s="21"/>
      <c r="EFQ9" s="21"/>
      <c r="EFR9" s="21"/>
      <c r="EFS9" s="21"/>
      <c r="EFT9" s="21"/>
      <c r="EFU9" s="21"/>
      <c r="EFV9" s="21"/>
      <c r="EFW9" s="21"/>
      <c r="EFX9" s="21"/>
      <c r="EFY9" s="21"/>
      <c r="EFZ9" s="21"/>
      <c r="EGA9" s="21"/>
      <c r="EGB9" s="21"/>
      <c r="EGC9" s="21"/>
      <c r="EGD9" s="21"/>
      <c r="EGE9" s="21"/>
      <c r="EGF9" s="21"/>
      <c r="EGG9" s="21"/>
      <c r="EGH9" s="21"/>
      <c r="EGI9" s="21"/>
      <c r="EGJ9" s="21"/>
      <c r="EGK9" s="21"/>
      <c r="EGL9" s="21"/>
      <c r="EGM9" s="21"/>
      <c r="EGN9" s="21"/>
      <c r="EGO9" s="21"/>
      <c r="EGP9" s="21"/>
      <c r="EGQ9" s="21"/>
      <c r="EGR9" s="21"/>
      <c r="EGS9" s="21"/>
      <c r="EGT9" s="21"/>
      <c r="EGU9" s="21"/>
      <c r="EGV9" s="21"/>
      <c r="EGW9" s="21"/>
      <c r="EGX9" s="21"/>
      <c r="EGY9" s="21"/>
      <c r="EGZ9" s="21"/>
      <c r="EHA9" s="21"/>
      <c r="EHB9" s="21"/>
      <c r="EHC9" s="21"/>
      <c r="EHD9" s="21"/>
      <c r="EHE9" s="21"/>
      <c r="EHF9" s="21"/>
      <c r="EHG9" s="21"/>
      <c r="EHH9" s="21"/>
      <c r="EHI9" s="21"/>
      <c r="EHJ9" s="21"/>
      <c r="EHK9" s="21"/>
      <c r="EHL9" s="21"/>
      <c r="EHM9" s="21"/>
      <c r="EHN9" s="21"/>
      <c r="EHO9" s="21"/>
      <c r="EHP9" s="21"/>
      <c r="EHQ9" s="21"/>
      <c r="EHR9" s="21"/>
      <c r="EHS9" s="21"/>
      <c r="EHT9" s="21"/>
      <c r="EHU9" s="21"/>
      <c r="EHV9" s="21"/>
      <c r="EHW9" s="21"/>
      <c r="EHX9" s="21"/>
      <c r="EHY9" s="21"/>
      <c r="EHZ9" s="21"/>
      <c r="EIA9" s="21"/>
      <c r="EIB9" s="21"/>
      <c r="EIC9" s="21"/>
      <c r="EID9" s="21"/>
      <c r="EIE9" s="21"/>
      <c r="EIF9" s="21"/>
      <c r="EIG9" s="21"/>
      <c r="EIH9" s="21"/>
      <c r="EII9" s="21"/>
      <c r="EIJ9" s="21"/>
      <c r="EIK9" s="21"/>
      <c r="EIL9" s="21"/>
      <c r="EIM9" s="21"/>
      <c r="EIN9" s="21"/>
      <c r="EIO9" s="21"/>
      <c r="EIP9" s="21"/>
      <c r="EIQ9" s="21"/>
      <c r="EIR9" s="21"/>
      <c r="EIS9" s="21"/>
      <c r="EIT9" s="21"/>
      <c r="EIU9" s="21"/>
      <c r="EIV9" s="21"/>
      <c r="EIW9" s="21"/>
      <c r="EIX9" s="21"/>
      <c r="EIY9" s="21"/>
      <c r="EIZ9" s="21"/>
      <c r="EJA9" s="21"/>
      <c r="EJB9" s="21"/>
      <c r="EJC9" s="21"/>
      <c r="EJD9" s="21"/>
      <c r="EJE9" s="21"/>
      <c r="EJF9" s="21"/>
      <c r="EJG9" s="21"/>
      <c r="EJH9" s="21"/>
      <c r="EJI9" s="21"/>
      <c r="EJJ9" s="21"/>
      <c r="EJK9" s="21"/>
      <c r="EJL9" s="21"/>
      <c r="EJM9" s="21"/>
      <c r="EJN9" s="21"/>
      <c r="EJO9" s="21"/>
      <c r="EJP9" s="21"/>
      <c r="EJQ9" s="21"/>
      <c r="EJR9" s="21"/>
      <c r="EJS9" s="21"/>
      <c r="EJT9" s="21"/>
      <c r="EJU9" s="21"/>
      <c r="EJV9" s="21"/>
      <c r="EJW9" s="21"/>
      <c r="EJX9" s="21"/>
      <c r="EJY9" s="21"/>
      <c r="EJZ9" s="21"/>
      <c r="EKA9" s="21"/>
      <c r="EKB9" s="21"/>
      <c r="EKC9" s="21"/>
      <c r="EKD9" s="21"/>
      <c r="EKE9" s="21"/>
      <c r="EKF9" s="21"/>
      <c r="EKG9" s="21"/>
      <c r="EKH9" s="21"/>
      <c r="EKI9" s="21"/>
      <c r="EKJ9" s="21"/>
      <c r="EKK9" s="21"/>
      <c r="EKL9" s="21"/>
      <c r="EKM9" s="21"/>
      <c r="EKN9" s="21"/>
      <c r="EKO9" s="21"/>
      <c r="EKP9" s="21"/>
      <c r="EKQ9" s="21"/>
      <c r="EKR9" s="21"/>
      <c r="EKS9" s="21"/>
      <c r="EKT9" s="21"/>
      <c r="EKU9" s="21"/>
      <c r="EKV9" s="21"/>
      <c r="EKW9" s="21"/>
      <c r="EKX9" s="21"/>
      <c r="EKY9" s="21"/>
      <c r="EKZ9" s="21"/>
      <c r="ELA9" s="21"/>
      <c r="ELB9" s="21"/>
      <c r="ELC9" s="21"/>
      <c r="ELD9" s="21"/>
      <c r="ELE9" s="21"/>
      <c r="ELF9" s="21"/>
      <c r="ELG9" s="21"/>
      <c r="ELH9" s="21"/>
      <c r="ELI9" s="21"/>
      <c r="ELJ9" s="21"/>
      <c r="ELK9" s="21"/>
      <c r="ELL9" s="21"/>
      <c r="ELM9" s="21"/>
      <c r="ELN9" s="21"/>
      <c r="ELO9" s="21"/>
      <c r="ELP9" s="21"/>
      <c r="ELQ9" s="21"/>
      <c r="ELR9" s="21"/>
      <c r="ELS9" s="21"/>
      <c r="ELT9" s="21"/>
      <c r="ELU9" s="21"/>
      <c r="ELV9" s="21"/>
      <c r="ELW9" s="21"/>
      <c r="ELX9" s="21"/>
      <c r="ELY9" s="21"/>
      <c r="ELZ9" s="21"/>
      <c r="EMA9" s="21"/>
      <c r="EMB9" s="21"/>
      <c r="EMC9" s="21"/>
      <c r="EMD9" s="21"/>
      <c r="EME9" s="21"/>
      <c r="EMF9" s="21"/>
      <c r="EMG9" s="21"/>
      <c r="EMH9" s="21"/>
      <c r="EMI9" s="21"/>
      <c r="EMJ9" s="21"/>
      <c r="EMK9" s="21"/>
      <c r="EML9" s="21"/>
      <c r="EMM9" s="21"/>
      <c r="EMN9" s="21"/>
      <c r="EMO9" s="21"/>
      <c r="EMP9" s="21"/>
      <c r="EMQ9" s="21"/>
      <c r="EMR9" s="21"/>
      <c r="EMS9" s="21"/>
      <c r="EMT9" s="21"/>
      <c r="EMU9" s="21"/>
      <c r="EMV9" s="21"/>
      <c r="EMW9" s="21"/>
      <c r="EMX9" s="21"/>
      <c r="EMY9" s="21"/>
      <c r="EMZ9" s="21"/>
      <c r="ENA9" s="21"/>
      <c r="ENB9" s="21"/>
      <c r="ENC9" s="21"/>
      <c r="END9" s="21"/>
      <c r="ENE9" s="21"/>
      <c r="ENF9" s="21"/>
      <c r="ENG9" s="21"/>
      <c r="ENH9" s="21"/>
      <c r="ENI9" s="21"/>
      <c r="ENJ9" s="21"/>
      <c r="ENK9" s="21"/>
      <c r="ENL9" s="21"/>
      <c r="ENM9" s="21"/>
      <c r="ENN9" s="21"/>
      <c r="ENO9" s="21"/>
      <c r="ENP9" s="21"/>
      <c r="ENQ9" s="21"/>
      <c r="ENR9" s="21"/>
      <c r="ENS9" s="21"/>
      <c r="ENT9" s="21"/>
      <c r="ENU9" s="21"/>
      <c r="ENV9" s="21"/>
      <c r="ENW9" s="21"/>
      <c r="ENX9" s="21"/>
      <c r="ENY9" s="21"/>
      <c r="ENZ9" s="21"/>
      <c r="EOA9" s="21"/>
      <c r="EOB9" s="21"/>
      <c r="EOC9" s="21"/>
      <c r="EOD9" s="21"/>
      <c r="EOE9" s="21"/>
      <c r="EOF9" s="21"/>
      <c r="EOG9" s="21"/>
      <c r="EOH9" s="21"/>
      <c r="EOI9" s="21"/>
      <c r="EOJ9" s="21"/>
      <c r="EOK9" s="21"/>
      <c r="EOL9" s="21"/>
      <c r="EOM9" s="21"/>
      <c r="EON9" s="21"/>
      <c r="EOO9" s="21"/>
      <c r="EOP9" s="21"/>
      <c r="EOQ9" s="21"/>
      <c r="EOR9" s="21"/>
      <c r="EOS9" s="21"/>
      <c r="EOT9" s="21"/>
      <c r="EOU9" s="21"/>
      <c r="EOV9" s="21"/>
      <c r="EOW9" s="21"/>
      <c r="EOX9" s="21"/>
      <c r="EOY9" s="21"/>
      <c r="EOZ9" s="21"/>
      <c r="EPA9" s="21"/>
      <c r="EPB9" s="21"/>
      <c r="EPC9" s="21"/>
      <c r="EPD9" s="21"/>
      <c r="EPE9" s="21"/>
      <c r="EPF9" s="21"/>
      <c r="EPG9" s="21"/>
      <c r="EPH9" s="21"/>
      <c r="EPI9" s="21"/>
      <c r="EPJ9" s="21"/>
      <c r="EPK9" s="21"/>
      <c r="EPL9" s="21"/>
      <c r="EPM9" s="21"/>
      <c r="EPN9" s="21"/>
      <c r="EPO9" s="21"/>
      <c r="EPP9" s="21"/>
      <c r="EPQ9" s="21"/>
      <c r="EPR9" s="21"/>
      <c r="EPS9" s="21"/>
      <c r="EPT9" s="21"/>
      <c r="EPU9" s="21"/>
      <c r="EPV9" s="21"/>
      <c r="EPW9" s="21"/>
      <c r="EPX9" s="21"/>
      <c r="EPY9" s="21"/>
      <c r="EPZ9" s="21"/>
      <c r="EQA9" s="21"/>
      <c r="EQB9" s="21"/>
      <c r="EQC9" s="21"/>
      <c r="EQD9" s="21"/>
      <c r="EQE9" s="21"/>
      <c r="EQF9" s="21"/>
      <c r="EQG9" s="21"/>
      <c r="EQH9" s="21"/>
      <c r="EQI9" s="21"/>
      <c r="EQJ9" s="21"/>
      <c r="EQK9" s="21"/>
      <c r="EQL9" s="21"/>
      <c r="EQM9" s="21"/>
      <c r="EQN9" s="21"/>
      <c r="EQO9" s="21"/>
      <c r="EQP9" s="21"/>
      <c r="EQQ9" s="21"/>
      <c r="EQR9" s="21"/>
      <c r="EQS9" s="21"/>
      <c r="EQT9" s="21"/>
      <c r="EQU9" s="21"/>
      <c r="EQV9" s="21"/>
      <c r="EQW9" s="21"/>
      <c r="EQX9" s="21"/>
      <c r="EQY9" s="21"/>
      <c r="EQZ9" s="21"/>
      <c r="ERA9" s="21"/>
      <c r="ERB9" s="21"/>
      <c r="ERC9" s="21"/>
      <c r="ERD9" s="21"/>
      <c r="ERE9" s="21"/>
      <c r="ERF9" s="21"/>
      <c r="ERG9" s="21"/>
      <c r="ERH9" s="21"/>
      <c r="ERI9" s="21"/>
      <c r="ERJ9" s="21"/>
      <c r="ERK9" s="21"/>
      <c r="ERL9" s="21"/>
      <c r="ERM9" s="21"/>
      <c r="ERN9" s="21"/>
      <c r="ERO9" s="21"/>
      <c r="ERP9" s="21"/>
      <c r="ERQ9" s="21"/>
      <c r="ERR9" s="21"/>
      <c r="ERS9" s="21"/>
      <c r="ERT9" s="21"/>
      <c r="ERU9" s="21"/>
      <c r="ERV9" s="21"/>
      <c r="ERW9" s="21"/>
      <c r="ERX9" s="21"/>
      <c r="ERY9" s="21"/>
      <c r="ERZ9" s="21"/>
      <c r="ESA9" s="21"/>
      <c r="ESB9" s="21"/>
      <c r="ESC9" s="21"/>
      <c r="ESD9" s="21"/>
      <c r="ESE9" s="21"/>
      <c r="ESF9" s="21"/>
      <c r="ESG9" s="21"/>
      <c r="ESH9" s="21"/>
      <c r="ESI9" s="21"/>
      <c r="ESJ9" s="21"/>
      <c r="ESK9" s="21"/>
      <c r="ESL9" s="21"/>
      <c r="ESM9" s="21"/>
      <c r="ESN9" s="21"/>
      <c r="ESO9" s="21"/>
      <c r="ESP9" s="21"/>
      <c r="ESQ9" s="21"/>
      <c r="ESR9" s="21"/>
      <c r="ESS9" s="21"/>
      <c r="EST9" s="21"/>
      <c r="ESU9" s="21"/>
      <c r="ESV9" s="21"/>
      <c r="ESW9" s="21"/>
      <c r="ESX9" s="21"/>
      <c r="ESY9" s="21"/>
      <c r="ESZ9" s="21"/>
      <c r="ETA9" s="21"/>
      <c r="ETB9" s="21"/>
      <c r="ETC9" s="21"/>
      <c r="ETD9" s="21"/>
      <c r="ETE9" s="21"/>
      <c r="ETF9" s="21"/>
      <c r="ETG9" s="21"/>
      <c r="ETH9" s="21"/>
      <c r="ETI9" s="21"/>
      <c r="ETJ9" s="21"/>
      <c r="ETK9" s="21"/>
      <c r="ETL9" s="21"/>
      <c r="ETM9" s="21"/>
      <c r="ETN9" s="21"/>
      <c r="ETO9" s="21"/>
      <c r="ETP9" s="21"/>
      <c r="ETQ9" s="21"/>
      <c r="ETR9" s="21"/>
      <c r="ETS9" s="21"/>
      <c r="ETT9" s="21"/>
      <c r="ETU9" s="21"/>
      <c r="ETV9" s="21"/>
      <c r="ETW9" s="21"/>
      <c r="ETX9" s="21"/>
      <c r="ETY9" s="21"/>
      <c r="ETZ9" s="21"/>
      <c r="EUA9" s="21"/>
      <c r="EUB9" s="21"/>
      <c r="EUC9" s="21"/>
      <c r="EUD9" s="21"/>
      <c r="EUE9" s="21"/>
      <c r="EUF9" s="21"/>
      <c r="EUG9" s="21"/>
      <c r="EUH9" s="21"/>
      <c r="EUI9" s="21"/>
      <c r="EUJ9" s="21"/>
      <c r="EUK9" s="21"/>
      <c r="EUL9" s="21"/>
      <c r="EUM9" s="21"/>
      <c r="EUN9" s="21"/>
      <c r="EUO9" s="21"/>
      <c r="EUP9" s="21"/>
      <c r="EUQ9" s="21"/>
      <c r="EUR9" s="21"/>
      <c r="EUS9" s="21"/>
      <c r="EUT9" s="21"/>
      <c r="EUU9" s="21"/>
      <c r="EUV9" s="21"/>
      <c r="EUW9" s="21"/>
      <c r="EUX9" s="21"/>
      <c r="EUY9" s="21"/>
      <c r="EUZ9" s="21"/>
      <c r="EVA9" s="21"/>
      <c r="EVB9" s="21"/>
      <c r="EVC9" s="21"/>
      <c r="EVD9" s="21"/>
      <c r="EVE9" s="21"/>
      <c r="EVF9" s="21"/>
      <c r="EVG9" s="21"/>
      <c r="EVH9" s="21"/>
      <c r="EVI9" s="21"/>
      <c r="EVJ9" s="21"/>
      <c r="EVK9" s="21"/>
      <c r="EVL9" s="21"/>
      <c r="EVM9" s="21"/>
      <c r="EVN9" s="21"/>
      <c r="EVO9" s="21"/>
      <c r="EVP9" s="21"/>
      <c r="EVQ9" s="21"/>
      <c r="EVR9" s="21"/>
      <c r="EVS9" s="21"/>
      <c r="EVT9" s="21"/>
      <c r="EVU9" s="21"/>
      <c r="EVV9" s="21"/>
      <c r="EVW9" s="21"/>
      <c r="EVX9" s="21"/>
      <c r="EVY9" s="21"/>
      <c r="EVZ9" s="21"/>
      <c r="EWA9" s="21"/>
      <c r="EWB9" s="21"/>
      <c r="EWC9" s="21"/>
      <c r="EWD9" s="21"/>
      <c r="EWE9" s="21"/>
      <c r="EWF9" s="21"/>
      <c r="EWG9" s="21"/>
      <c r="EWH9" s="21"/>
      <c r="EWI9" s="21"/>
      <c r="EWJ9" s="21"/>
      <c r="EWK9" s="21"/>
      <c r="EWL9" s="21"/>
      <c r="EWM9" s="21"/>
      <c r="EWN9" s="21"/>
      <c r="EWO9" s="21"/>
      <c r="EWP9" s="21"/>
      <c r="EWQ9" s="21"/>
      <c r="EWR9" s="21"/>
      <c r="EWS9" s="21"/>
      <c r="EWT9" s="21"/>
      <c r="EWU9" s="21"/>
      <c r="EWV9" s="21"/>
      <c r="EWW9" s="21"/>
      <c r="EWX9" s="21"/>
      <c r="EWY9" s="21"/>
      <c r="EWZ9" s="21"/>
      <c r="EXA9" s="21"/>
      <c r="EXB9" s="21"/>
      <c r="EXC9" s="21"/>
      <c r="EXD9" s="21"/>
      <c r="EXE9" s="21"/>
      <c r="EXF9" s="21"/>
      <c r="EXG9" s="21"/>
      <c r="EXH9" s="21"/>
      <c r="EXI9" s="21"/>
      <c r="EXJ9" s="21"/>
      <c r="EXK9" s="21"/>
      <c r="EXL9" s="21"/>
      <c r="EXM9" s="21"/>
      <c r="EXN9" s="21"/>
      <c r="EXO9" s="21"/>
      <c r="EXP9" s="21"/>
      <c r="EXQ9" s="21"/>
      <c r="EXR9" s="21"/>
      <c r="EXS9" s="21"/>
      <c r="EXT9" s="21"/>
      <c r="EXU9" s="21"/>
      <c r="EXV9" s="21"/>
      <c r="EXW9" s="21"/>
      <c r="EXX9" s="21"/>
      <c r="EXY9" s="21"/>
      <c r="EXZ9" s="21"/>
      <c r="EYA9" s="21"/>
      <c r="EYB9" s="21"/>
      <c r="EYC9" s="21"/>
      <c r="EYD9" s="21"/>
      <c r="EYE9" s="21"/>
      <c r="EYF9" s="21"/>
      <c r="EYG9" s="21"/>
      <c r="EYH9" s="21"/>
      <c r="EYI9" s="21"/>
      <c r="EYJ9" s="21"/>
      <c r="EYK9" s="21"/>
      <c r="EYL9" s="21"/>
      <c r="EYM9" s="21"/>
      <c r="EYN9" s="21"/>
      <c r="EYO9" s="21"/>
      <c r="EYP9" s="21"/>
      <c r="EYQ9" s="21"/>
      <c r="EYR9" s="21"/>
      <c r="EYS9" s="21"/>
      <c r="EYT9" s="21"/>
      <c r="EYU9" s="21"/>
      <c r="EYV9" s="21"/>
      <c r="EYW9" s="21"/>
      <c r="EYX9" s="21"/>
      <c r="EYY9" s="21"/>
      <c r="EYZ9" s="21"/>
      <c r="EZA9" s="21"/>
      <c r="EZB9" s="21"/>
      <c r="EZC9" s="21"/>
      <c r="EZD9" s="21"/>
      <c r="EZE9" s="21"/>
      <c r="EZF9" s="21"/>
      <c r="EZG9" s="21"/>
      <c r="EZH9" s="21"/>
      <c r="EZI9" s="21"/>
      <c r="EZJ9" s="21"/>
      <c r="EZK9" s="21"/>
      <c r="EZL9" s="21"/>
      <c r="EZM9" s="21"/>
      <c r="EZN9" s="21"/>
      <c r="EZO9" s="21"/>
      <c r="EZP9" s="21"/>
      <c r="EZQ9" s="21"/>
      <c r="EZR9" s="21"/>
      <c r="EZS9" s="21"/>
      <c r="EZT9" s="21"/>
      <c r="EZU9" s="21"/>
      <c r="EZV9" s="21"/>
      <c r="EZW9" s="21"/>
      <c r="EZX9" s="21"/>
      <c r="EZY9" s="21"/>
      <c r="EZZ9" s="21"/>
      <c r="FAA9" s="21"/>
      <c r="FAB9" s="21"/>
      <c r="FAC9" s="21"/>
      <c r="FAD9" s="21"/>
      <c r="FAE9" s="21"/>
      <c r="FAF9" s="21"/>
      <c r="FAG9" s="21"/>
      <c r="FAH9" s="21"/>
      <c r="FAI9" s="21"/>
      <c r="FAJ9" s="21"/>
      <c r="FAK9" s="21"/>
      <c r="FAL9" s="21"/>
      <c r="FAM9" s="21"/>
      <c r="FAN9" s="21"/>
      <c r="FAO9" s="21"/>
      <c r="FAP9" s="21"/>
      <c r="FAQ9" s="21"/>
      <c r="FAR9" s="21"/>
      <c r="FAS9" s="21"/>
      <c r="FAT9" s="21"/>
      <c r="FAU9" s="21"/>
      <c r="FAV9" s="21"/>
      <c r="FAW9" s="21"/>
      <c r="FAX9" s="21"/>
      <c r="FAY9" s="21"/>
      <c r="FAZ9" s="21"/>
      <c r="FBA9" s="21"/>
      <c r="FBB9" s="21"/>
      <c r="FBC9" s="21"/>
      <c r="FBD9" s="21"/>
      <c r="FBE9" s="21"/>
      <c r="FBF9" s="21"/>
      <c r="FBG9" s="21"/>
      <c r="FBH9" s="21"/>
      <c r="FBI9" s="21"/>
      <c r="FBJ9" s="21"/>
      <c r="FBK9" s="21"/>
      <c r="FBL9" s="21"/>
      <c r="FBM9" s="21"/>
      <c r="FBN9" s="21"/>
      <c r="FBO9" s="21"/>
      <c r="FBP9" s="21"/>
      <c r="FBQ9" s="21"/>
      <c r="FBR9" s="21"/>
      <c r="FBS9" s="21"/>
      <c r="FBT9" s="21"/>
      <c r="FBU9" s="21"/>
      <c r="FBV9" s="21"/>
      <c r="FBW9" s="21"/>
      <c r="FBX9" s="21"/>
      <c r="FBY9" s="21"/>
      <c r="FBZ9" s="21"/>
      <c r="FCA9" s="21"/>
      <c r="FCB9" s="21"/>
      <c r="FCC9" s="21"/>
      <c r="FCD9" s="21"/>
      <c r="FCE9" s="21"/>
      <c r="FCF9" s="21"/>
      <c r="FCG9" s="21"/>
      <c r="FCH9" s="21"/>
      <c r="FCI9" s="21"/>
      <c r="FCJ9" s="21"/>
      <c r="FCK9" s="21"/>
      <c r="FCL9" s="21"/>
      <c r="FCM9" s="21"/>
      <c r="FCN9" s="21"/>
      <c r="FCO9" s="21"/>
      <c r="FCP9" s="21"/>
      <c r="FCQ9" s="21"/>
      <c r="FCR9" s="21"/>
      <c r="FCS9" s="21"/>
      <c r="FCT9" s="21"/>
      <c r="FCU9" s="21"/>
      <c r="FCV9" s="21"/>
      <c r="FCW9" s="21"/>
      <c r="FCX9" s="21"/>
      <c r="FCY9" s="21"/>
      <c r="FCZ9" s="21"/>
      <c r="FDA9" s="21"/>
      <c r="FDB9" s="21"/>
      <c r="FDC9" s="21"/>
      <c r="FDD9" s="21"/>
      <c r="FDE9" s="21"/>
      <c r="FDF9" s="21"/>
      <c r="FDG9" s="21"/>
      <c r="FDH9" s="21"/>
      <c r="FDI9" s="21"/>
      <c r="FDJ9" s="21"/>
      <c r="FDK9" s="21"/>
      <c r="FDL9" s="21"/>
      <c r="FDM9" s="21"/>
      <c r="FDN9" s="21"/>
      <c r="FDO9" s="21"/>
      <c r="FDP9" s="21"/>
      <c r="FDQ9" s="21"/>
      <c r="FDR9" s="21"/>
      <c r="FDS9" s="21"/>
      <c r="FDT9" s="21"/>
      <c r="FDU9" s="21"/>
      <c r="FDV9" s="21"/>
      <c r="FDW9" s="21"/>
      <c r="FDX9" s="21"/>
      <c r="FDY9" s="21"/>
      <c r="FDZ9" s="21"/>
      <c r="FEA9" s="21"/>
      <c r="FEB9" s="21"/>
      <c r="FEC9" s="21"/>
      <c r="FED9" s="21"/>
      <c r="FEE9" s="21"/>
      <c r="FEF9" s="21"/>
      <c r="FEG9" s="21"/>
      <c r="FEH9" s="21"/>
      <c r="FEI9" s="21"/>
      <c r="FEJ9" s="21"/>
      <c r="FEK9" s="21"/>
      <c r="FEL9" s="21"/>
      <c r="FEM9" s="21"/>
      <c r="FEN9" s="21"/>
      <c r="FEO9" s="21"/>
      <c r="FEP9" s="21"/>
      <c r="FEQ9" s="21"/>
      <c r="FER9" s="21"/>
      <c r="FES9" s="21"/>
      <c r="FET9" s="21"/>
      <c r="FEU9" s="21"/>
      <c r="FEV9" s="21"/>
      <c r="FEW9" s="21"/>
      <c r="FEX9" s="21"/>
      <c r="FEY9" s="21"/>
      <c r="FEZ9" s="21"/>
      <c r="FFA9" s="21"/>
      <c r="FFB9" s="21"/>
      <c r="FFC9" s="21"/>
      <c r="FFD9" s="21"/>
      <c r="FFE9" s="21"/>
      <c r="FFF9" s="21"/>
      <c r="FFG9" s="21"/>
      <c r="FFH9" s="21"/>
      <c r="FFI9" s="21"/>
      <c r="FFJ9" s="21"/>
      <c r="FFK9" s="21"/>
      <c r="FFL9" s="21"/>
      <c r="FFM9" s="21"/>
      <c r="FFN9" s="21"/>
      <c r="FFO9" s="21"/>
      <c r="FFP9" s="21"/>
      <c r="FFQ9" s="21"/>
      <c r="FFR9" s="21"/>
      <c r="FFS9" s="21"/>
      <c r="FFT9" s="21"/>
      <c r="FFU9" s="21"/>
      <c r="FFV9" s="21"/>
      <c r="FFW9" s="21"/>
      <c r="FFX9" s="21"/>
      <c r="FFY9" s="21"/>
      <c r="FFZ9" s="21"/>
      <c r="FGA9" s="21"/>
      <c r="FGB9" s="21"/>
      <c r="FGC9" s="21"/>
      <c r="FGD9" s="21"/>
      <c r="FGE9" s="21"/>
      <c r="FGF9" s="21"/>
      <c r="FGG9" s="21"/>
      <c r="FGH9" s="21"/>
      <c r="FGI9" s="21"/>
      <c r="FGJ9" s="21"/>
      <c r="FGK9" s="21"/>
      <c r="FGL9" s="21"/>
      <c r="FGM9" s="21"/>
      <c r="FGN9" s="21"/>
      <c r="FGO9" s="21"/>
      <c r="FGP9" s="21"/>
      <c r="FGQ9" s="21"/>
      <c r="FGR9" s="21"/>
      <c r="FGS9" s="21"/>
      <c r="FGT9" s="21"/>
      <c r="FGU9" s="21"/>
      <c r="FGV9" s="21"/>
      <c r="FGW9" s="21"/>
      <c r="FGX9" s="21"/>
      <c r="FGY9" s="21"/>
      <c r="FGZ9" s="21"/>
      <c r="FHA9" s="21"/>
      <c r="FHB9" s="21"/>
      <c r="FHC9" s="21"/>
      <c r="FHD9" s="21"/>
      <c r="FHE9" s="21"/>
      <c r="FHF9" s="21"/>
      <c r="FHG9" s="21"/>
      <c r="FHH9" s="21"/>
      <c r="FHI9" s="21"/>
      <c r="FHJ9" s="21"/>
      <c r="FHK9" s="21"/>
      <c r="FHL9" s="21"/>
      <c r="FHM9" s="21"/>
      <c r="FHN9" s="21"/>
      <c r="FHO9" s="21"/>
      <c r="FHP9" s="21"/>
      <c r="FHQ9" s="21"/>
      <c r="FHR9" s="21"/>
      <c r="FHS9" s="21"/>
      <c r="FHT9" s="21"/>
      <c r="FHU9" s="21"/>
      <c r="FHV9" s="21"/>
      <c r="FHW9" s="21"/>
      <c r="FHX9" s="21"/>
      <c r="FHY9" s="21"/>
      <c r="FHZ9" s="21"/>
      <c r="FIA9" s="21"/>
      <c r="FIB9" s="21"/>
      <c r="FIC9" s="21"/>
      <c r="FID9" s="21"/>
      <c r="FIE9" s="21"/>
      <c r="FIF9" s="21"/>
      <c r="FIG9" s="21"/>
      <c r="FIH9" s="21"/>
      <c r="FII9" s="21"/>
      <c r="FIJ9" s="21"/>
      <c r="FIK9" s="21"/>
      <c r="FIL9" s="21"/>
      <c r="FIM9" s="21"/>
      <c r="FIN9" s="21"/>
      <c r="FIO9" s="21"/>
      <c r="FIP9" s="21"/>
      <c r="FIQ9" s="21"/>
      <c r="FIR9" s="21"/>
      <c r="FIS9" s="21"/>
      <c r="FIT9" s="21"/>
      <c r="FIU9" s="21"/>
      <c r="FIV9" s="21"/>
      <c r="FIW9" s="21"/>
      <c r="FIX9" s="21"/>
      <c r="FIY9" s="21"/>
      <c r="FIZ9" s="21"/>
      <c r="FJA9" s="21"/>
      <c r="FJB9" s="21"/>
      <c r="FJC9" s="21"/>
      <c r="FJD9" s="21"/>
      <c r="FJE9" s="21"/>
      <c r="FJF9" s="21"/>
      <c r="FJG9" s="21"/>
      <c r="FJH9" s="21"/>
      <c r="FJI9" s="21"/>
      <c r="FJJ9" s="21"/>
      <c r="FJK9" s="21"/>
      <c r="FJL9" s="21"/>
      <c r="FJM9" s="21"/>
      <c r="FJN9" s="21"/>
      <c r="FJO9" s="21"/>
      <c r="FJP9" s="21"/>
      <c r="FJQ9" s="21"/>
      <c r="FJR9" s="21"/>
      <c r="FJS9" s="21"/>
      <c r="FJT9" s="21"/>
      <c r="FJU9" s="21"/>
      <c r="FJV9" s="21"/>
      <c r="FJW9" s="21"/>
      <c r="FJX9" s="21"/>
      <c r="FJY9" s="21"/>
      <c r="FJZ9" s="21"/>
      <c r="FKA9" s="21"/>
      <c r="FKB9" s="21"/>
      <c r="FKC9" s="21"/>
      <c r="FKD9" s="21"/>
      <c r="FKE9" s="21"/>
      <c r="FKF9" s="21"/>
      <c r="FKG9" s="21"/>
      <c r="FKH9" s="21"/>
      <c r="FKI9" s="21"/>
      <c r="FKJ9" s="21"/>
      <c r="FKK9" s="21"/>
      <c r="FKL9" s="21"/>
      <c r="FKM9" s="21"/>
      <c r="FKN9" s="21"/>
      <c r="FKO9" s="21"/>
      <c r="FKP9" s="21"/>
      <c r="FKQ9" s="21"/>
      <c r="FKR9" s="21"/>
      <c r="FKS9" s="21"/>
      <c r="FKT9" s="21"/>
      <c r="FKU9" s="21"/>
      <c r="FKV9" s="21"/>
      <c r="FKW9" s="21"/>
      <c r="FKX9" s="21"/>
      <c r="FKY9" s="21"/>
      <c r="FKZ9" s="21"/>
      <c r="FLA9" s="21"/>
      <c r="FLB9" s="21"/>
      <c r="FLC9" s="21"/>
      <c r="FLD9" s="21"/>
      <c r="FLE9" s="21"/>
      <c r="FLF9" s="21"/>
      <c r="FLG9" s="21"/>
      <c r="FLH9" s="21"/>
      <c r="FLI9" s="21"/>
      <c r="FLJ9" s="21"/>
      <c r="FLK9" s="21"/>
      <c r="FLL9" s="21"/>
      <c r="FLM9" s="21"/>
      <c r="FLN9" s="21"/>
      <c r="FLO9" s="21"/>
      <c r="FLP9" s="21"/>
      <c r="FLQ9" s="21"/>
      <c r="FLR9" s="21"/>
      <c r="FLS9" s="21"/>
      <c r="FLT9" s="21"/>
      <c r="FLU9" s="21"/>
      <c r="FLV9" s="21"/>
      <c r="FLW9" s="21"/>
      <c r="FLX9" s="21"/>
      <c r="FLY9" s="21"/>
      <c r="FLZ9" s="21"/>
      <c r="FMA9" s="21"/>
      <c r="FMB9" s="21"/>
      <c r="FMC9" s="21"/>
      <c r="FMD9" s="21"/>
      <c r="FME9" s="21"/>
      <c r="FMF9" s="21"/>
      <c r="FMG9" s="21"/>
      <c r="FMH9" s="21"/>
      <c r="FMI9" s="21"/>
      <c r="FMJ9" s="21"/>
      <c r="FMK9" s="21"/>
      <c r="FML9" s="21"/>
      <c r="FMM9" s="21"/>
      <c r="FMN9" s="21"/>
      <c r="FMO9" s="21"/>
      <c r="FMP9" s="21"/>
      <c r="FMQ9" s="21"/>
      <c r="FMR9" s="21"/>
      <c r="FMS9" s="21"/>
      <c r="FMT9" s="21"/>
      <c r="FMU9" s="21"/>
      <c r="FMV9" s="21"/>
      <c r="FMW9" s="21"/>
      <c r="FMX9" s="21"/>
      <c r="FMY9" s="21"/>
      <c r="FMZ9" s="21"/>
      <c r="FNA9" s="21"/>
      <c r="FNB9" s="21"/>
      <c r="FNC9" s="21"/>
      <c r="FND9" s="21"/>
      <c r="FNE9" s="21"/>
      <c r="FNF9" s="21"/>
      <c r="FNG9" s="21"/>
      <c r="FNH9" s="21"/>
      <c r="FNI9" s="21"/>
      <c r="FNJ9" s="21"/>
      <c r="FNK9" s="21"/>
      <c r="FNL9" s="21"/>
      <c r="FNM9" s="21"/>
      <c r="FNN9" s="21"/>
      <c r="FNO9" s="21"/>
      <c r="FNP9" s="21"/>
      <c r="FNQ9" s="21"/>
      <c r="FNR9" s="21"/>
      <c r="FNS9" s="21"/>
      <c r="FNT9" s="21"/>
      <c r="FNU9" s="21"/>
      <c r="FNV9" s="21"/>
      <c r="FNW9" s="21"/>
      <c r="FNX9" s="21"/>
      <c r="FNY9" s="21"/>
      <c r="FNZ9" s="21"/>
      <c r="FOA9" s="21"/>
      <c r="FOB9" s="21"/>
      <c r="FOC9" s="21"/>
      <c r="FOD9" s="21"/>
      <c r="FOE9" s="21"/>
      <c r="FOF9" s="21"/>
      <c r="FOG9" s="21"/>
      <c r="FOH9" s="21"/>
      <c r="FOI9" s="21"/>
      <c r="FOJ9" s="21"/>
      <c r="FOK9" s="21"/>
      <c r="FOL9" s="21"/>
      <c r="FOM9" s="21"/>
      <c r="FON9" s="21"/>
      <c r="FOO9" s="21"/>
      <c r="FOP9" s="21"/>
      <c r="FOQ9" s="21"/>
      <c r="FOR9" s="21"/>
      <c r="FOS9" s="21"/>
      <c r="FOT9" s="21"/>
      <c r="FOU9" s="21"/>
      <c r="FOV9" s="21"/>
      <c r="FOW9" s="21"/>
      <c r="FOX9" s="21"/>
      <c r="FOY9" s="21"/>
      <c r="FOZ9" s="21"/>
      <c r="FPA9" s="21"/>
      <c r="FPB9" s="21"/>
      <c r="FPC9" s="21"/>
      <c r="FPD9" s="21"/>
      <c r="FPE9" s="21"/>
      <c r="FPF9" s="21"/>
      <c r="FPG9" s="21"/>
      <c r="FPH9" s="21"/>
      <c r="FPI9" s="21"/>
      <c r="FPJ9" s="21"/>
      <c r="FPK9" s="21"/>
      <c r="FPL9" s="21"/>
      <c r="FPM9" s="21"/>
      <c r="FPN9" s="21"/>
      <c r="FPO9" s="21"/>
      <c r="FPP9" s="21"/>
      <c r="FPQ9" s="21"/>
      <c r="FPR9" s="21"/>
      <c r="FPS9" s="21"/>
      <c r="FPT9" s="21"/>
      <c r="FPU9" s="21"/>
      <c r="FPV9" s="21"/>
      <c r="FPW9" s="21"/>
      <c r="FPX9" s="21"/>
      <c r="FPY9" s="21"/>
      <c r="FPZ9" s="21"/>
      <c r="FQA9" s="21"/>
      <c r="FQB9" s="21"/>
      <c r="FQC9" s="21"/>
      <c r="FQD9" s="21"/>
      <c r="FQE9" s="21"/>
      <c r="FQF9" s="21"/>
      <c r="FQG9" s="21"/>
      <c r="FQH9" s="21"/>
      <c r="FQI9" s="21"/>
      <c r="FQJ9" s="21"/>
      <c r="FQK9" s="21"/>
      <c r="FQL9" s="21"/>
      <c r="FQM9" s="21"/>
      <c r="FQN9" s="21"/>
      <c r="FQO9" s="21"/>
      <c r="FQP9" s="21"/>
      <c r="FQQ9" s="21"/>
      <c r="FQR9" s="21"/>
      <c r="FQS9" s="21"/>
      <c r="FQT9" s="21"/>
      <c r="FQU9" s="21"/>
      <c r="FQV9" s="21"/>
      <c r="FQW9" s="21"/>
      <c r="FQX9" s="21"/>
      <c r="FQY9" s="21"/>
      <c r="FQZ9" s="21"/>
      <c r="FRA9" s="21"/>
      <c r="FRB9" s="21"/>
      <c r="FRC9" s="21"/>
      <c r="FRD9" s="21"/>
      <c r="FRE9" s="21"/>
      <c r="FRF9" s="21"/>
      <c r="FRG9" s="21"/>
      <c r="FRH9" s="21"/>
      <c r="FRI9" s="21"/>
      <c r="FRJ9" s="21"/>
      <c r="FRK9" s="21"/>
      <c r="FRL9" s="21"/>
      <c r="FRM9" s="21"/>
      <c r="FRN9" s="21"/>
      <c r="FRO9" s="21"/>
      <c r="FRP9" s="21"/>
      <c r="FRQ9" s="21"/>
      <c r="FRR9" s="21"/>
      <c r="FRS9" s="21"/>
      <c r="FRT9" s="21"/>
      <c r="FRU9" s="21"/>
      <c r="FRV9" s="21"/>
      <c r="FRW9" s="21"/>
      <c r="FRX9" s="21"/>
      <c r="FRY9" s="21"/>
      <c r="FRZ9" s="21"/>
      <c r="FSA9" s="21"/>
      <c r="FSB9" s="21"/>
      <c r="FSC9" s="21"/>
      <c r="FSD9" s="21"/>
      <c r="FSE9" s="21"/>
      <c r="FSF9" s="21"/>
      <c r="FSG9" s="21"/>
      <c r="FSH9" s="21"/>
      <c r="FSI9" s="21"/>
      <c r="FSJ9" s="21"/>
      <c r="FSK9" s="21"/>
      <c r="FSL9" s="21"/>
      <c r="FSM9" s="21"/>
      <c r="FSN9" s="21"/>
      <c r="FSO9" s="21"/>
      <c r="FSP9" s="21"/>
      <c r="FSQ9" s="21"/>
      <c r="FSR9" s="21"/>
      <c r="FSS9" s="21"/>
      <c r="FST9" s="21"/>
      <c r="FSU9" s="21"/>
      <c r="FSV9" s="21"/>
      <c r="FSW9" s="21"/>
      <c r="FSX9" s="21"/>
      <c r="FSY9" s="21"/>
      <c r="FSZ9" s="21"/>
      <c r="FTA9" s="21"/>
      <c r="FTB9" s="21"/>
      <c r="FTC9" s="21"/>
      <c r="FTD9" s="21"/>
      <c r="FTE9" s="21"/>
      <c r="FTF9" s="21"/>
      <c r="FTG9" s="21"/>
      <c r="FTH9" s="21"/>
      <c r="FTI9" s="21"/>
      <c r="FTJ9" s="21"/>
      <c r="FTK9" s="21"/>
      <c r="FTL9" s="21"/>
      <c r="FTM9" s="21"/>
      <c r="FTN9" s="21"/>
      <c r="FTO9" s="21"/>
      <c r="FTP9" s="21"/>
      <c r="FTQ9" s="21"/>
      <c r="FTR9" s="21"/>
      <c r="FTS9" s="21"/>
      <c r="FTT9" s="21"/>
      <c r="FTU9" s="21"/>
      <c r="FTV9" s="21"/>
      <c r="FTW9" s="21"/>
      <c r="FTX9" s="21"/>
      <c r="FTY9" s="21"/>
      <c r="FTZ9" s="21"/>
      <c r="FUA9" s="21"/>
      <c r="FUB9" s="21"/>
      <c r="FUC9" s="21"/>
      <c r="FUD9" s="21"/>
      <c r="FUE9" s="21"/>
      <c r="FUF9" s="21"/>
      <c r="FUG9" s="21"/>
      <c r="FUH9" s="21"/>
      <c r="FUI9" s="21"/>
      <c r="FUJ9" s="21"/>
      <c r="FUK9" s="21"/>
      <c r="FUL9" s="21"/>
      <c r="FUM9" s="21"/>
      <c r="FUN9" s="21"/>
      <c r="FUO9" s="21"/>
      <c r="FUP9" s="21"/>
      <c r="FUQ9" s="21"/>
      <c r="FUR9" s="21"/>
      <c r="FUS9" s="21"/>
      <c r="FUT9" s="21"/>
      <c r="FUU9" s="21"/>
      <c r="FUV9" s="21"/>
      <c r="FUW9" s="21"/>
      <c r="FUX9" s="21"/>
      <c r="FUY9" s="21"/>
      <c r="FUZ9" s="21"/>
      <c r="FVA9" s="21"/>
      <c r="FVB9" s="21"/>
      <c r="FVC9" s="21"/>
      <c r="FVD9" s="21"/>
      <c r="FVE9" s="21"/>
      <c r="FVF9" s="21"/>
      <c r="FVG9" s="21"/>
      <c r="FVH9" s="21"/>
      <c r="FVI9" s="21"/>
      <c r="FVJ9" s="21"/>
      <c r="FVK9" s="21"/>
      <c r="FVL9" s="21"/>
      <c r="FVM9" s="21"/>
      <c r="FVN9" s="21"/>
      <c r="FVO9" s="21"/>
      <c r="FVP9" s="21"/>
      <c r="FVQ9" s="21"/>
      <c r="FVR9" s="21"/>
      <c r="FVS9" s="21"/>
      <c r="FVT9" s="21"/>
      <c r="FVU9" s="21"/>
      <c r="FVV9" s="21"/>
      <c r="FVW9" s="21"/>
      <c r="FVX9" s="21"/>
      <c r="FVY9" s="21"/>
      <c r="FVZ9" s="21"/>
      <c r="FWA9" s="21"/>
      <c r="FWB9" s="21"/>
      <c r="FWC9" s="21"/>
      <c r="FWD9" s="21"/>
      <c r="FWE9" s="21"/>
      <c r="FWF9" s="21"/>
      <c r="FWG9" s="21"/>
      <c r="FWH9" s="21"/>
      <c r="FWI9" s="21"/>
      <c r="FWJ9" s="21"/>
      <c r="FWK9" s="21"/>
      <c r="FWL9" s="21"/>
      <c r="FWM9" s="21"/>
      <c r="FWN9" s="21"/>
      <c r="FWO9" s="21"/>
      <c r="FWP9" s="21"/>
      <c r="FWQ9" s="21"/>
      <c r="FWR9" s="21"/>
      <c r="FWS9" s="21"/>
      <c r="FWT9" s="21"/>
      <c r="FWU9" s="21"/>
      <c r="FWV9" s="21"/>
      <c r="FWW9" s="21"/>
      <c r="FWX9" s="21"/>
      <c r="FWY9" s="21"/>
      <c r="FWZ9" s="21"/>
      <c r="FXA9" s="21"/>
      <c r="FXB9" s="21"/>
      <c r="FXC9" s="21"/>
      <c r="FXD9" s="21"/>
      <c r="FXE9" s="21"/>
      <c r="FXF9" s="21"/>
      <c r="FXG9" s="21"/>
      <c r="FXH9" s="21"/>
      <c r="FXI9" s="21"/>
      <c r="FXJ9" s="21"/>
      <c r="FXK9" s="21"/>
      <c r="FXL9" s="21"/>
      <c r="FXM9" s="21"/>
      <c r="FXN9" s="21"/>
      <c r="FXO9" s="21"/>
      <c r="FXP9" s="21"/>
      <c r="FXQ9" s="21"/>
      <c r="FXR9" s="21"/>
      <c r="FXS9" s="21"/>
      <c r="FXT9" s="21"/>
      <c r="FXU9" s="21"/>
      <c r="FXV9" s="21"/>
      <c r="FXW9" s="21"/>
      <c r="FXX9" s="21"/>
      <c r="FXY9" s="21"/>
      <c r="FXZ9" s="21"/>
      <c r="FYA9" s="21"/>
      <c r="FYB9" s="21"/>
      <c r="FYC9" s="21"/>
      <c r="FYD9" s="21"/>
      <c r="FYE9" s="21"/>
      <c r="FYF9" s="21"/>
      <c r="FYG9" s="21"/>
      <c r="FYH9" s="21"/>
      <c r="FYI9" s="21"/>
      <c r="FYJ9" s="21"/>
      <c r="FYK9" s="21"/>
      <c r="FYL9" s="21"/>
      <c r="FYM9" s="21"/>
      <c r="FYN9" s="21"/>
      <c r="FYO9" s="21"/>
      <c r="FYP9" s="21"/>
      <c r="FYQ9" s="21"/>
      <c r="FYR9" s="21"/>
      <c r="FYS9" s="21"/>
      <c r="FYT9" s="21"/>
      <c r="FYU9" s="21"/>
      <c r="FYV9" s="21"/>
      <c r="FYW9" s="21"/>
      <c r="FYX9" s="21"/>
      <c r="FYY9" s="21"/>
      <c r="FYZ9" s="21"/>
      <c r="FZA9" s="21"/>
      <c r="FZB9" s="21"/>
      <c r="FZC9" s="21"/>
      <c r="FZD9" s="21"/>
      <c r="FZE9" s="21"/>
      <c r="FZF9" s="21"/>
      <c r="FZG9" s="21"/>
      <c r="FZH9" s="21"/>
      <c r="FZI9" s="21"/>
      <c r="FZJ9" s="21"/>
      <c r="FZK9" s="21"/>
      <c r="FZL9" s="21"/>
      <c r="FZM9" s="21"/>
      <c r="FZN9" s="21"/>
      <c r="FZO9" s="21"/>
      <c r="FZP9" s="21"/>
      <c r="FZQ9" s="21"/>
      <c r="FZR9" s="21"/>
      <c r="FZS9" s="21"/>
      <c r="FZT9" s="21"/>
      <c r="FZU9" s="21"/>
      <c r="FZV9" s="21"/>
      <c r="FZW9" s="21"/>
      <c r="FZX9" s="21"/>
      <c r="FZY9" s="21"/>
      <c r="FZZ9" s="21"/>
      <c r="GAA9" s="21"/>
      <c r="GAB9" s="21"/>
      <c r="GAC9" s="21"/>
      <c r="GAD9" s="21"/>
      <c r="GAE9" s="21"/>
      <c r="GAF9" s="21"/>
      <c r="GAG9" s="21"/>
      <c r="GAH9" s="21"/>
      <c r="GAI9" s="21"/>
      <c r="GAJ9" s="21"/>
      <c r="GAK9" s="21"/>
      <c r="GAL9" s="21"/>
      <c r="GAM9" s="21"/>
      <c r="GAN9" s="21"/>
      <c r="GAO9" s="21"/>
      <c r="GAP9" s="21"/>
      <c r="GAQ9" s="21"/>
      <c r="GAR9" s="21"/>
      <c r="GAS9" s="21"/>
      <c r="GAT9" s="21"/>
      <c r="GAU9" s="21"/>
      <c r="GAV9" s="21"/>
      <c r="GAW9" s="21"/>
      <c r="GAX9" s="21"/>
      <c r="GAY9" s="21"/>
      <c r="GAZ9" s="21"/>
      <c r="GBA9" s="21"/>
      <c r="GBB9" s="21"/>
      <c r="GBC9" s="21"/>
      <c r="GBD9" s="21"/>
      <c r="GBE9" s="21"/>
      <c r="GBF9" s="21"/>
      <c r="GBG9" s="21"/>
      <c r="GBH9" s="21"/>
      <c r="GBI9" s="21"/>
      <c r="GBJ9" s="21"/>
      <c r="GBK9" s="21"/>
      <c r="GBL9" s="21"/>
      <c r="GBM9" s="21"/>
      <c r="GBN9" s="21"/>
      <c r="GBO9" s="21"/>
      <c r="GBP9" s="21"/>
      <c r="GBQ9" s="21"/>
      <c r="GBR9" s="21"/>
      <c r="GBS9" s="21"/>
      <c r="GBT9" s="21"/>
      <c r="GBU9" s="21"/>
      <c r="GBV9" s="21"/>
      <c r="GBW9" s="21"/>
      <c r="GBX9" s="21"/>
      <c r="GBY9" s="21"/>
      <c r="GBZ9" s="21"/>
      <c r="GCA9" s="21"/>
      <c r="GCB9" s="21"/>
      <c r="GCC9" s="21"/>
      <c r="GCD9" s="21"/>
      <c r="GCE9" s="21"/>
      <c r="GCF9" s="21"/>
      <c r="GCG9" s="21"/>
      <c r="GCH9" s="21"/>
      <c r="GCI9" s="21"/>
      <c r="GCJ9" s="21"/>
      <c r="GCK9" s="21"/>
      <c r="GCL9" s="21"/>
      <c r="GCM9" s="21"/>
      <c r="GCN9" s="21"/>
      <c r="GCO9" s="21"/>
      <c r="GCP9" s="21"/>
      <c r="GCQ9" s="21"/>
      <c r="GCR9" s="21"/>
      <c r="GCS9" s="21"/>
      <c r="GCT9" s="21"/>
      <c r="GCU9" s="21"/>
      <c r="GCV9" s="21"/>
      <c r="GCW9" s="21"/>
      <c r="GCX9" s="21"/>
      <c r="GCY9" s="21"/>
      <c r="GCZ9" s="21"/>
      <c r="GDA9" s="21"/>
      <c r="GDB9" s="21"/>
      <c r="GDC9" s="21"/>
      <c r="GDD9" s="21"/>
      <c r="GDE9" s="21"/>
      <c r="GDF9" s="21"/>
      <c r="GDG9" s="21"/>
      <c r="GDH9" s="21"/>
      <c r="GDI9" s="21"/>
      <c r="GDJ9" s="21"/>
      <c r="GDK9" s="21"/>
      <c r="GDL9" s="21"/>
      <c r="GDM9" s="21"/>
      <c r="GDN9" s="21"/>
      <c r="GDO9" s="21"/>
      <c r="GDP9" s="21"/>
      <c r="GDQ9" s="21"/>
      <c r="GDR9" s="21"/>
      <c r="GDS9" s="21"/>
      <c r="GDT9" s="21"/>
      <c r="GDU9" s="21"/>
      <c r="GDV9" s="21"/>
      <c r="GDW9" s="21"/>
      <c r="GDX9" s="21"/>
      <c r="GDY9" s="21"/>
      <c r="GDZ9" s="21"/>
      <c r="GEA9" s="21"/>
      <c r="GEB9" s="21"/>
      <c r="GEC9" s="21"/>
      <c r="GED9" s="21"/>
      <c r="GEE9" s="21"/>
      <c r="GEF9" s="21"/>
      <c r="GEG9" s="21"/>
      <c r="GEH9" s="21"/>
      <c r="GEI9" s="21"/>
      <c r="GEJ9" s="21"/>
      <c r="GEK9" s="21"/>
      <c r="GEL9" s="21"/>
      <c r="GEM9" s="21"/>
      <c r="GEN9" s="21"/>
      <c r="GEO9" s="21"/>
      <c r="GEP9" s="21"/>
      <c r="GEQ9" s="21"/>
      <c r="GER9" s="21"/>
      <c r="GES9" s="21"/>
      <c r="GET9" s="21"/>
      <c r="GEU9" s="21"/>
      <c r="GEV9" s="21"/>
      <c r="GEW9" s="21"/>
      <c r="GEX9" s="21"/>
      <c r="GEY9" s="21"/>
      <c r="GEZ9" s="21"/>
      <c r="GFA9" s="21"/>
      <c r="GFB9" s="21"/>
      <c r="GFC9" s="21"/>
      <c r="GFD9" s="21"/>
      <c r="GFE9" s="21"/>
      <c r="GFF9" s="21"/>
      <c r="GFG9" s="21"/>
      <c r="GFH9" s="21"/>
      <c r="GFI9" s="21"/>
      <c r="GFJ9" s="21"/>
      <c r="GFK9" s="21"/>
      <c r="GFL9" s="21"/>
      <c r="GFM9" s="21"/>
      <c r="GFN9" s="21"/>
      <c r="GFO9" s="21"/>
      <c r="GFP9" s="21"/>
      <c r="GFQ9" s="21"/>
      <c r="GFR9" s="21"/>
      <c r="GFS9" s="21"/>
      <c r="GFT9" s="21"/>
      <c r="GFU9" s="21"/>
      <c r="GFV9" s="21"/>
      <c r="GFW9" s="21"/>
      <c r="GFX9" s="21"/>
      <c r="GFY9" s="21"/>
      <c r="GFZ9" s="21"/>
      <c r="GGA9" s="21"/>
      <c r="GGB9" s="21"/>
      <c r="GGC9" s="21"/>
      <c r="GGD9" s="21"/>
      <c r="GGE9" s="21"/>
      <c r="GGF9" s="21"/>
      <c r="GGG9" s="21"/>
      <c r="GGH9" s="21"/>
      <c r="GGI9" s="21"/>
      <c r="GGJ9" s="21"/>
      <c r="GGK9" s="21"/>
      <c r="GGL9" s="21"/>
      <c r="GGM9" s="21"/>
      <c r="GGN9" s="21"/>
      <c r="GGO9" s="21"/>
      <c r="GGP9" s="21"/>
      <c r="GGQ9" s="21"/>
      <c r="GGR9" s="21"/>
      <c r="GGS9" s="21"/>
      <c r="GGT9" s="21"/>
      <c r="GGU9" s="21"/>
      <c r="GGV9" s="21"/>
      <c r="GGW9" s="21"/>
      <c r="GGX9" s="21"/>
      <c r="GGY9" s="21"/>
      <c r="GGZ9" s="21"/>
      <c r="GHA9" s="21"/>
      <c r="GHB9" s="21"/>
      <c r="GHC9" s="21"/>
      <c r="GHD9" s="21"/>
      <c r="GHE9" s="21"/>
      <c r="GHF9" s="21"/>
      <c r="GHG9" s="21"/>
      <c r="GHH9" s="21"/>
      <c r="GHI9" s="21"/>
      <c r="GHJ9" s="21"/>
      <c r="GHK9" s="21"/>
      <c r="GHL9" s="21"/>
      <c r="GHM9" s="21"/>
      <c r="GHN9" s="21"/>
      <c r="GHO9" s="21"/>
      <c r="GHP9" s="21"/>
      <c r="GHQ9" s="21"/>
      <c r="GHR9" s="21"/>
      <c r="GHS9" s="21"/>
      <c r="GHT9" s="21"/>
      <c r="GHU9" s="21"/>
      <c r="GHV9" s="21"/>
      <c r="GHW9" s="21"/>
      <c r="GHX9" s="21"/>
      <c r="GHY9" s="21"/>
      <c r="GHZ9" s="21"/>
      <c r="GIA9" s="21"/>
      <c r="GIB9" s="21"/>
      <c r="GIC9" s="21"/>
      <c r="GID9" s="21"/>
      <c r="GIE9" s="21"/>
      <c r="GIF9" s="21"/>
      <c r="GIG9" s="21"/>
      <c r="GIH9" s="21"/>
      <c r="GII9" s="21"/>
      <c r="GIJ9" s="21"/>
      <c r="GIK9" s="21"/>
      <c r="GIL9" s="21"/>
      <c r="GIM9" s="21"/>
      <c r="GIN9" s="21"/>
      <c r="GIO9" s="21"/>
      <c r="GIP9" s="21"/>
      <c r="GIQ9" s="21"/>
      <c r="GIR9" s="21"/>
      <c r="GIS9" s="21"/>
      <c r="GIT9" s="21"/>
      <c r="GIU9" s="21"/>
      <c r="GIV9" s="21"/>
      <c r="GIW9" s="21"/>
      <c r="GIX9" s="21"/>
      <c r="GIY9" s="21"/>
      <c r="GIZ9" s="21"/>
      <c r="GJA9" s="21"/>
      <c r="GJB9" s="21"/>
      <c r="GJC9" s="21"/>
      <c r="GJD9" s="21"/>
      <c r="GJE9" s="21"/>
      <c r="GJF9" s="21"/>
      <c r="GJG9" s="21"/>
      <c r="GJH9" s="21"/>
      <c r="GJI9" s="21"/>
      <c r="GJJ9" s="21"/>
      <c r="GJK9" s="21"/>
      <c r="GJL9" s="21"/>
      <c r="GJM9" s="21"/>
      <c r="GJN9" s="21"/>
      <c r="GJO9" s="21"/>
      <c r="GJP9" s="21"/>
      <c r="GJQ9" s="21"/>
      <c r="GJR9" s="21"/>
      <c r="GJS9" s="21"/>
      <c r="GJT9" s="21"/>
      <c r="GJU9" s="21"/>
      <c r="GJV9" s="21"/>
      <c r="GJW9" s="21"/>
      <c r="GJX9" s="21"/>
      <c r="GJY9" s="21"/>
      <c r="GJZ9" s="21"/>
      <c r="GKA9" s="21"/>
      <c r="GKB9" s="21"/>
      <c r="GKC9" s="21"/>
      <c r="GKD9" s="21"/>
      <c r="GKE9" s="21"/>
      <c r="GKF9" s="21"/>
      <c r="GKG9" s="21"/>
      <c r="GKH9" s="21"/>
      <c r="GKI9" s="21"/>
      <c r="GKJ9" s="21"/>
      <c r="GKK9" s="21"/>
      <c r="GKL9" s="21"/>
      <c r="GKM9" s="21"/>
      <c r="GKN9" s="21"/>
      <c r="GKO9" s="21"/>
      <c r="GKP9" s="21"/>
      <c r="GKQ9" s="21"/>
      <c r="GKR9" s="21"/>
      <c r="GKS9" s="21"/>
      <c r="GKT9" s="21"/>
      <c r="GKU9" s="21"/>
      <c r="GKV9" s="21"/>
      <c r="GKW9" s="21"/>
      <c r="GKX9" s="21"/>
      <c r="GKY9" s="21"/>
      <c r="GKZ9" s="21"/>
      <c r="GLA9" s="21"/>
      <c r="GLB9" s="21"/>
      <c r="GLC9" s="21"/>
      <c r="GLD9" s="21"/>
      <c r="GLE9" s="21"/>
      <c r="GLF9" s="21"/>
      <c r="GLG9" s="21"/>
      <c r="GLH9" s="21"/>
      <c r="GLI9" s="21"/>
      <c r="GLJ9" s="21"/>
      <c r="GLK9" s="21"/>
      <c r="GLL9" s="21"/>
      <c r="GLM9" s="21"/>
      <c r="GLN9" s="21"/>
      <c r="GLO9" s="21"/>
      <c r="GLP9" s="21"/>
      <c r="GLQ9" s="21"/>
      <c r="GLR9" s="21"/>
      <c r="GLS9" s="21"/>
      <c r="GLT9" s="21"/>
      <c r="GLU9" s="21"/>
      <c r="GLV9" s="21"/>
      <c r="GLW9" s="21"/>
      <c r="GLX9" s="21"/>
      <c r="GLY9" s="21"/>
      <c r="GLZ9" s="21"/>
      <c r="GMA9" s="21"/>
      <c r="GMB9" s="21"/>
      <c r="GMC9" s="21"/>
      <c r="GMD9" s="21"/>
      <c r="GME9" s="21"/>
      <c r="GMF9" s="21"/>
      <c r="GMG9" s="21"/>
      <c r="GMH9" s="21"/>
      <c r="GMI9" s="21"/>
      <c r="GMJ9" s="21"/>
      <c r="GMK9" s="21"/>
      <c r="GML9" s="21"/>
      <c r="GMM9" s="21"/>
      <c r="GMN9" s="21"/>
      <c r="GMO9" s="21"/>
      <c r="GMP9" s="21"/>
      <c r="GMQ9" s="21"/>
      <c r="GMR9" s="21"/>
      <c r="GMS9" s="21"/>
      <c r="GMT9" s="21"/>
      <c r="GMU9" s="21"/>
      <c r="GMV9" s="21"/>
      <c r="GMW9" s="21"/>
      <c r="GMX9" s="21"/>
      <c r="GMY9" s="21"/>
      <c r="GMZ9" s="21"/>
      <c r="GNA9" s="21"/>
      <c r="GNB9" s="21"/>
      <c r="GNC9" s="21"/>
      <c r="GND9" s="21"/>
      <c r="GNE9" s="21"/>
      <c r="GNF9" s="21"/>
      <c r="GNG9" s="21"/>
      <c r="GNH9" s="21"/>
      <c r="GNI9" s="21"/>
      <c r="GNJ9" s="21"/>
      <c r="GNK9" s="21"/>
      <c r="GNL9" s="21"/>
      <c r="GNM9" s="21"/>
      <c r="GNN9" s="21"/>
      <c r="GNO9" s="21"/>
      <c r="GNP9" s="21"/>
      <c r="GNQ9" s="21"/>
      <c r="GNR9" s="21"/>
      <c r="GNS9" s="21"/>
      <c r="GNT9" s="21"/>
      <c r="GNU9" s="21"/>
      <c r="GNV9" s="21"/>
      <c r="GNW9" s="21"/>
      <c r="GNX9" s="21"/>
      <c r="GNY9" s="21"/>
      <c r="GNZ9" s="21"/>
      <c r="GOA9" s="21"/>
      <c r="GOB9" s="21"/>
      <c r="GOC9" s="21"/>
      <c r="GOD9" s="21"/>
      <c r="GOE9" s="21"/>
      <c r="GOF9" s="21"/>
      <c r="GOG9" s="21"/>
      <c r="GOH9" s="21"/>
      <c r="GOI9" s="21"/>
      <c r="GOJ9" s="21"/>
      <c r="GOK9" s="21"/>
      <c r="GOL9" s="21"/>
      <c r="GOM9" s="21"/>
      <c r="GON9" s="21"/>
      <c r="GOO9" s="21"/>
      <c r="GOP9" s="21"/>
      <c r="GOQ9" s="21"/>
      <c r="GOR9" s="21"/>
      <c r="GOS9" s="21"/>
      <c r="GOT9" s="21"/>
      <c r="GOU9" s="21"/>
      <c r="GOV9" s="21"/>
      <c r="GOW9" s="21"/>
      <c r="GOX9" s="21"/>
      <c r="GOY9" s="21"/>
      <c r="GOZ9" s="21"/>
      <c r="GPA9" s="21"/>
      <c r="GPB9" s="21"/>
      <c r="GPC9" s="21"/>
      <c r="GPD9" s="21"/>
      <c r="GPE9" s="21"/>
      <c r="GPF9" s="21"/>
      <c r="GPG9" s="21"/>
      <c r="GPH9" s="21"/>
      <c r="GPI9" s="21"/>
      <c r="GPJ9" s="21"/>
      <c r="GPK9" s="21"/>
      <c r="GPL9" s="21"/>
      <c r="GPM9" s="21"/>
      <c r="GPN9" s="21"/>
      <c r="GPO9" s="21"/>
      <c r="GPP9" s="21"/>
      <c r="GPQ9" s="21"/>
      <c r="GPR9" s="21"/>
      <c r="GPS9" s="21"/>
      <c r="GPT9" s="21"/>
      <c r="GPU9" s="21"/>
      <c r="GPV9" s="21"/>
      <c r="GPW9" s="21"/>
      <c r="GPX9" s="21"/>
      <c r="GPY9" s="21"/>
      <c r="GPZ9" s="21"/>
      <c r="GQA9" s="21"/>
      <c r="GQB9" s="21"/>
      <c r="GQC9" s="21"/>
      <c r="GQD9" s="21"/>
      <c r="GQE9" s="21"/>
      <c r="GQF9" s="21"/>
      <c r="GQG9" s="21"/>
      <c r="GQH9" s="21"/>
      <c r="GQI9" s="21"/>
      <c r="GQJ9" s="21"/>
      <c r="GQK9" s="21"/>
      <c r="GQL9" s="21"/>
      <c r="GQM9" s="21"/>
      <c r="GQN9" s="21"/>
      <c r="GQO9" s="21"/>
      <c r="GQP9" s="21"/>
      <c r="GQQ9" s="21"/>
      <c r="GQR9" s="21"/>
      <c r="GQS9" s="21"/>
      <c r="GQT9" s="21"/>
      <c r="GQU9" s="21"/>
      <c r="GQV9" s="21"/>
      <c r="GQW9" s="21"/>
      <c r="GQX9" s="21"/>
      <c r="GQY9" s="21"/>
      <c r="GQZ9" s="21"/>
      <c r="GRA9" s="21"/>
      <c r="GRB9" s="21"/>
      <c r="GRC9" s="21"/>
      <c r="GRD9" s="21"/>
      <c r="GRE9" s="21"/>
      <c r="GRF9" s="21"/>
      <c r="GRG9" s="21"/>
      <c r="GRH9" s="21"/>
      <c r="GRI9" s="21"/>
      <c r="GRJ9" s="21"/>
      <c r="GRK9" s="21"/>
      <c r="GRL9" s="21"/>
      <c r="GRM9" s="21"/>
      <c r="GRN9" s="21"/>
      <c r="GRO9" s="21"/>
      <c r="GRP9" s="21"/>
      <c r="GRQ9" s="21"/>
      <c r="GRR9" s="21"/>
      <c r="GRS9" s="21"/>
      <c r="GRT9" s="21"/>
      <c r="GRU9" s="21"/>
      <c r="GRV9" s="21"/>
      <c r="GRW9" s="21"/>
      <c r="GRX9" s="21"/>
      <c r="GRY9" s="21"/>
      <c r="GRZ9" s="21"/>
      <c r="GSA9" s="21"/>
      <c r="GSB9" s="21"/>
      <c r="GSC9" s="21"/>
      <c r="GSD9" s="21"/>
      <c r="GSE9" s="21"/>
      <c r="GSF9" s="21"/>
      <c r="GSG9" s="21"/>
      <c r="GSH9" s="21"/>
      <c r="GSI9" s="21"/>
      <c r="GSJ9" s="21"/>
      <c r="GSK9" s="21"/>
      <c r="GSL9" s="21"/>
      <c r="GSM9" s="21"/>
      <c r="GSN9" s="21"/>
      <c r="GSO9" s="21"/>
      <c r="GSP9" s="21"/>
      <c r="GSQ9" s="21"/>
      <c r="GSR9" s="21"/>
      <c r="GSS9" s="21"/>
      <c r="GST9" s="21"/>
      <c r="GSU9" s="21"/>
      <c r="GSV9" s="21"/>
      <c r="GSW9" s="21"/>
      <c r="GSX9" s="21"/>
      <c r="GSY9" s="21"/>
      <c r="GSZ9" s="21"/>
      <c r="GTA9" s="21"/>
      <c r="GTB9" s="21"/>
      <c r="GTC9" s="21"/>
      <c r="GTD9" s="21"/>
      <c r="GTE9" s="21"/>
      <c r="GTF9" s="21"/>
      <c r="GTG9" s="21"/>
      <c r="GTH9" s="21"/>
      <c r="GTI9" s="21"/>
      <c r="GTJ9" s="21"/>
      <c r="GTK9" s="21"/>
      <c r="GTL9" s="21"/>
      <c r="GTM9" s="21"/>
      <c r="GTN9" s="21"/>
      <c r="GTO9" s="21"/>
      <c r="GTP9" s="21"/>
      <c r="GTQ9" s="21"/>
      <c r="GTR9" s="21"/>
      <c r="GTS9" s="21"/>
      <c r="GTT9" s="21"/>
      <c r="GTU9" s="21"/>
      <c r="GTV9" s="21"/>
      <c r="GTW9" s="21"/>
      <c r="GTX9" s="21"/>
      <c r="GTY9" s="21"/>
      <c r="GTZ9" s="21"/>
      <c r="GUA9" s="21"/>
      <c r="GUB9" s="21"/>
      <c r="GUC9" s="21"/>
      <c r="GUD9" s="21"/>
      <c r="GUE9" s="21"/>
      <c r="GUF9" s="21"/>
      <c r="GUG9" s="21"/>
      <c r="GUH9" s="21"/>
      <c r="GUI9" s="21"/>
      <c r="GUJ9" s="21"/>
      <c r="GUK9" s="21"/>
      <c r="GUL9" s="21"/>
      <c r="GUM9" s="21"/>
      <c r="GUN9" s="21"/>
      <c r="GUO9" s="21"/>
      <c r="GUP9" s="21"/>
      <c r="GUQ9" s="21"/>
      <c r="GUR9" s="21"/>
      <c r="GUS9" s="21"/>
      <c r="GUT9" s="21"/>
      <c r="GUU9" s="21"/>
      <c r="GUV9" s="21"/>
      <c r="GUW9" s="21"/>
      <c r="GUX9" s="21"/>
      <c r="GUY9" s="21"/>
      <c r="GUZ9" s="21"/>
      <c r="GVA9" s="21"/>
      <c r="GVB9" s="21"/>
      <c r="GVC9" s="21"/>
      <c r="GVD9" s="21"/>
      <c r="GVE9" s="21"/>
      <c r="GVF9" s="21"/>
      <c r="GVG9" s="21"/>
      <c r="GVH9" s="21"/>
      <c r="GVI9" s="21"/>
      <c r="GVJ9" s="21"/>
      <c r="GVK9" s="21"/>
      <c r="GVL9" s="21"/>
      <c r="GVM9" s="21"/>
      <c r="GVN9" s="21"/>
      <c r="GVO9" s="21"/>
      <c r="GVP9" s="21"/>
      <c r="GVQ9" s="21"/>
      <c r="GVR9" s="21"/>
      <c r="GVS9" s="21"/>
      <c r="GVT9" s="21"/>
      <c r="GVU9" s="21"/>
      <c r="GVV9" s="21"/>
      <c r="GVW9" s="21"/>
      <c r="GVX9" s="21"/>
      <c r="GVY9" s="21"/>
      <c r="GVZ9" s="21"/>
      <c r="GWA9" s="21"/>
      <c r="GWB9" s="21"/>
      <c r="GWC9" s="21"/>
      <c r="GWD9" s="21"/>
      <c r="GWE9" s="21"/>
      <c r="GWF9" s="21"/>
      <c r="GWG9" s="21"/>
      <c r="GWH9" s="21"/>
      <c r="GWI9" s="21"/>
      <c r="GWJ9" s="21"/>
      <c r="GWK9" s="21"/>
      <c r="GWL9" s="21"/>
      <c r="GWM9" s="21"/>
      <c r="GWN9" s="21"/>
      <c r="GWO9" s="21"/>
      <c r="GWP9" s="21"/>
      <c r="GWQ9" s="21"/>
      <c r="GWR9" s="21"/>
      <c r="GWS9" s="21"/>
      <c r="GWT9" s="21"/>
      <c r="GWU9" s="21"/>
      <c r="GWV9" s="21"/>
      <c r="GWW9" s="21"/>
      <c r="GWX9" s="21"/>
      <c r="GWY9" s="21"/>
      <c r="GWZ9" s="21"/>
      <c r="GXA9" s="21"/>
      <c r="GXB9" s="21"/>
      <c r="GXC9" s="21"/>
      <c r="GXD9" s="21"/>
      <c r="GXE9" s="21"/>
      <c r="GXF9" s="21"/>
      <c r="GXG9" s="21"/>
      <c r="GXH9" s="21"/>
      <c r="GXI9" s="21"/>
      <c r="GXJ9" s="21"/>
      <c r="GXK9" s="21"/>
      <c r="GXL9" s="21"/>
      <c r="GXM9" s="21"/>
      <c r="GXN9" s="21"/>
      <c r="GXO9" s="21"/>
      <c r="GXP9" s="21"/>
      <c r="GXQ9" s="21"/>
      <c r="GXR9" s="21"/>
      <c r="GXS9" s="21"/>
      <c r="GXT9" s="21"/>
      <c r="GXU9" s="21"/>
      <c r="GXV9" s="21"/>
      <c r="GXW9" s="21"/>
      <c r="GXX9" s="21"/>
      <c r="GXY9" s="21"/>
      <c r="GXZ9" s="21"/>
      <c r="GYA9" s="21"/>
      <c r="GYB9" s="21"/>
      <c r="GYC9" s="21"/>
      <c r="GYD9" s="21"/>
      <c r="GYE9" s="21"/>
      <c r="GYF9" s="21"/>
      <c r="GYG9" s="21"/>
      <c r="GYH9" s="21"/>
      <c r="GYI9" s="21"/>
      <c r="GYJ9" s="21"/>
      <c r="GYK9" s="21"/>
      <c r="GYL9" s="21"/>
      <c r="GYM9" s="21"/>
      <c r="GYN9" s="21"/>
      <c r="GYO9" s="21"/>
      <c r="GYP9" s="21"/>
      <c r="GYQ9" s="21"/>
      <c r="GYR9" s="21"/>
      <c r="GYS9" s="21"/>
      <c r="GYT9" s="21"/>
      <c r="GYU9" s="21"/>
      <c r="GYV9" s="21"/>
      <c r="GYW9" s="21"/>
      <c r="GYX9" s="21"/>
      <c r="GYY9" s="21"/>
      <c r="GYZ9" s="21"/>
      <c r="GZA9" s="21"/>
      <c r="GZB9" s="21"/>
      <c r="GZC9" s="21"/>
      <c r="GZD9" s="21"/>
      <c r="GZE9" s="21"/>
      <c r="GZF9" s="21"/>
      <c r="GZG9" s="21"/>
      <c r="GZH9" s="21"/>
      <c r="GZI9" s="21"/>
      <c r="GZJ9" s="21"/>
      <c r="GZK9" s="21"/>
      <c r="GZL9" s="21"/>
      <c r="GZM9" s="21"/>
      <c r="GZN9" s="21"/>
      <c r="GZO9" s="21"/>
      <c r="GZP9" s="21"/>
      <c r="GZQ9" s="21"/>
      <c r="GZR9" s="21"/>
      <c r="GZS9" s="21"/>
      <c r="GZT9" s="21"/>
      <c r="GZU9" s="21"/>
      <c r="GZV9" s="21"/>
      <c r="GZW9" s="21"/>
      <c r="GZX9" s="21"/>
      <c r="GZY9" s="21"/>
      <c r="GZZ9" s="21"/>
      <c r="HAA9" s="21"/>
      <c r="HAB9" s="21"/>
      <c r="HAC9" s="21"/>
      <c r="HAD9" s="21"/>
      <c r="HAE9" s="21"/>
      <c r="HAF9" s="21"/>
      <c r="HAG9" s="21"/>
      <c r="HAH9" s="21"/>
      <c r="HAI9" s="21"/>
      <c r="HAJ9" s="21"/>
      <c r="HAK9" s="21"/>
      <c r="HAL9" s="21"/>
      <c r="HAM9" s="21"/>
      <c r="HAN9" s="21"/>
      <c r="HAO9" s="21"/>
      <c r="HAP9" s="21"/>
      <c r="HAQ9" s="21"/>
      <c r="HAR9" s="21"/>
      <c r="HAS9" s="21"/>
      <c r="HAT9" s="21"/>
      <c r="HAU9" s="21"/>
      <c r="HAV9" s="21"/>
      <c r="HAW9" s="21"/>
      <c r="HAX9" s="21"/>
      <c r="HAY9" s="21"/>
      <c r="HAZ9" s="21"/>
      <c r="HBA9" s="21"/>
      <c r="HBB9" s="21"/>
      <c r="HBC9" s="21"/>
      <c r="HBD9" s="21"/>
      <c r="HBE9" s="21"/>
      <c r="HBF9" s="21"/>
      <c r="HBG9" s="21"/>
      <c r="HBH9" s="21"/>
      <c r="HBI9" s="21"/>
      <c r="HBJ9" s="21"/>
      <c r="HBK9" s="21"/>
      <c r="HBL9" s="21"/>
      <c r="HBM9" s="21"/>
      <c r="HBN9" s="21"/>
      <c r="HBO9" s="21"/>
      <c r="HBP9" s="21"/>
      <c r="HBQ9" s="21"/>
      <c r="HBR9" s="21"/>
      <c r="HBS9" s="21"/>
      <c r="HBT9" s="21"/>
      <c r="HBU9" s="21"/>
      <c r="HBV9" s="21"/>
      <c r="HBW9" s="21"/>
      <c r="HBX9" s="21"/>
      <c r="HBY9" s="21"/>
      <c r="HBZ9" s="21"/>
      <c r="HCA9" s="21"/>
      <c r="HCB9" s="21"/>
      <c r="HCC9" s="21"/>
      <c r="HCD9" s="21"/>
      <c r="HCE9" s="21"/>
      <c r="HCF9" s="21"/>
      <c r="HCG9" s="21"/>
      <c r="HCH9" s="21"/>
      <c r="HCI9" s="21"/>
      <c r="HCJ9" s="21"/>
      <c r="HCK9" s="21"/>
      <c r="HCL9" s="21"/>
      <c r="HCM9" s="21"/>
      <c r="HCN9" s="21"/>
      <c r="HCO9" s="21"/>
      <c r="HCP9" s="21"/>
      <c r="HCQ9" s="21"/>
      <c r="HCR9" s="21"/>
      <c r="HCS9" s="21"/>
      <c r="HCT9" s="21"/>
      <c r="HCU9" s="21"/>
      <c r="HCV9" s="21"/>
      <c r="HCW9" s="21"/>
      <c r="HCX9" s="21"/>
      <c r="HCY9" s="21"/>
      <c r="HCZ9" s="21"/>
      <c r="HDA9" s="21"/>
      <c r="HDB9" s="21"/>
      <c r="HDC9" s="21"/>
      <c r="HDD9" s="21"/>
      <c r="HDE9" s="21"/>
      <c r="HDF9" s="21"/>
      <c r="HDG9" s="21"/>
      <c r="HDH9" s="21"/>
      <c r="HDI9" s="21"/>
      <c r="HDJ9" s="21"/>
      <c r="HDK9" s="21"/>
      <c r="HDL9" s="21"/>
      <c r="HDM9" s="21"/>
      <c r="HDN9" s="21"/>
      <c r="HDO9" s="21"/>
      <c r="HDP9" s="21"/>
      <c r="HDQ9" s="21"/>
      <c r="HDR9" s="21"/>
      <c r="HDS9" s="21"/>
      <c r="HDT9" s="21"/>
      <c r="HDU9" s="21"/>
      <c r="HDV9" s="21"/>
      <c r="HDW9" s="21"/>
      <c r="HDX9" s="21"/>
      <c r="HDY9" s="21"/>
      <c r="HDZ9" s="21"/>
      <c r="HEA9" s="21"/>
      <c r="HEB9" s="21"/>
      <c r="HEC9" s="21"/>
      <c r="HED9" s="21"/>
      <c r="HEE9" s="21"/>
      <c r="HEF9" s="21"/>
      <c r="HEG9" s="21"/>
      <c r="HEH9" s="21"/>
      <c r="HEI9" s="21"/>
      <c r="HEJ9" s="21"/>
      <c r="HEK9" s="21"/>
      <c r="HEL9" s="21"/>
      <c r="HEM9" s="21"/>
      <c r="HEN9" s="21"/>
      <c r="HEO9" s="21"/>
      <c r="HEP9" s="21"/>
      <c r="HEQ9" s="21"/>
      <c r="HER9" s="21"/>
      <c r="HES9" s="21"/>
      <c r="HET9" s="21"/>
      <c r="HEU9" s="21"/>
      <c r="HEV9" s="21"/>
      <c r="HEW9" s="21"/>
      <c r="HEX9" s="21"/>
      <c r="HEY9" s="21"/>
      <c r="HEZ9" s="21"/>
      <c r="HFA9" s="21"/>
      <c r="HFB9" s="21"/>
      <c r="HFC9" s="21"/>
      <c r="HFD9" s="21"/>
      <c r="HFE9" s="21"/>
      <c r="HFF9" s="21"/>
      <c r="HFG9" s="21"/>
      <c r="HFH9" s="21"/>
      <c r="HFI9" s="21"/>
      <c r="HFJ9" s="21"/>
      <c r="HFK9" s="21"/>
      <c r="HFL9" s="21"/>
      <c r="HFM9" s="21"/>
      <c r="HFN9" s="21"/>
      <c r="HFO9" s="21"/>
      <c r="HFP9" s="21"/>
      <c r="HFQ9" s="21"/>
      <c r="HFR9" s="21"/>
      <c r="HFS9" s="21"/>
      <c r="HFT9" s="21"/>
      <c r="HFU9" s="21"/>
      <c r="HFV9" s="21"/>
      <c r="HFW9" s="21"/>
      <c r="HFX9" s="21"/>
      <c r="HFY9" s="21"/>
      <c r="HFZ9" s="21"/>
      <c r="HGA9" s="21"/>
      <c r="HGB9" s="21"/>
      <c r="HGC9" s="21"/>
      <c r="HGD9" s="21"/>
      <c r="HGE9" s="21"/>
      <c r="HGF9" s="21"/>
      <c r="HGG9" s="21"/>
      <c r="HGH9" s="21"/>
      <c r="HGI9" s="21"/>
      <c r="HGJ9" s="21"/>
      <c r="HGK9" s="21"/>
      <c r="HGL9" s="21"/>
      <c r="HGM9" s="21"/>
      <c r="HGN9" s="21"/>
      <c r="HGO9" s="21"/>
      <c r="HGP9" s="21"/>
      <c r="HGQ9" s="21"/>
      <c r="HGR9" s="21"/>
      <c r="HGS9" s="21"/>
      <c r="HGT9" s="21"/>
      <c r="HGU9" s="21"/>
      <c r="HGV9" s="21"/>
      <c r="HGW9" s="21"/>
      <c r="HGX9" s="21"/>
      <c r="HGY9" s="21"/>
      <c r="HGZ9" s="21"/>
      <c r="HHA9" s="21"/>
      <c r="HHB9" s="21"/>
      <c r="HHC9" s="21"/>
      <c r="HHD9" s="21"/>
      <c r="HHE9" s="21"/>
      <c r="HHF9" s="21"/>
      <c r="HHG9" s="21"/>
      <c r="HHH9" s="21"/>
      <c r="HHI9" s="21"/>
      <c r="HHJ9" s="21"/>
      <c r="HHK9" s="21"/>
      <c r="HHL9" s="21"/>
      <c r="HHM9" s="21"/>
      <c r="HHN9" s="21"/>
      <c r="HHO9" s="21"/>
      <c r="HHP9" s="21"/>
      <c r="HHQ9" s="21"/>
      <c r="HHR9" s="21"/>
      <c r="HHS9" s="21"/>
      <c r="HHT9" s="21"/>
      <c r="HHU9" s="21"/>
      <c r="HHV9" s="21"/>
      <c r="HHW9" s="21"/>
      <c r="HHX9" s="21"/>
      <c r="HHY9" s="21"/>
      <c r="HHZ9" s="21"/>
      <c r="HIA9" s="21"/>
      <c r="HIB9" s="21"/>
      <c r="HIC9" s="21"/>
      <c r="HID9" s="21"/>
      <c r="HIE9" s="21"/>
      <c r="HIF9" s="21"/>
      <c r="HIG9" s="21"/>
      <c r="HIH9" s="21"/>
      <c r="HII9" s="21"/>
      <c r="HIJ9" s="21"/>
      <c r="HIK9" s="21"/>
      <c r="HIL9" s="21"/>
      <c r="HIM9" s="21"/>
      <c r="HIN9" s="21"/>
      <c r="HIO9" s="21"/>
      <c r="HIP9" s="21"/>
      <c r="HIQ9" s="21"/>
      <c r="HIR9" s="21"/>
      <c r="HIS9" s="21"/>
      <c r="HIT9" s="21"/>
      <c r="HIU9" s="21"/>
      <c r="HIV9" s="21"/>
      <c r="HIW9" s="21"/>
      <c r="HIX9" s="21"/>
      <c r="HIY9" s="21"/>
      <c r="HIZ9" s="21"/>
      <c r="HJA9" s="21"/>
      <c r="HJB9" s="21"/>
      <c r="HJC9" s="21"/>
      <c r="HJD9" s="21"/>
      <c r="HJE9" s="21"/>
      <c r="HJF9" s="21"/>
      <c r="HJG9" s="21"/>
      <c r="HJH9" s="21"/>
      <c r="HJI9" s="21"/>
      <c r="HJJ9" s="21"/>
      <c r="HJK9" s="21"/>
      <c r="HJL9" s="21"/>
      <c r="HJM9" s="21"/>
      <c r="HJN9" s="21"/>
      <c r="HJO9" s="21"/>
      <c r="HJP9" s="21"/>
      <c r="HJQ9" s="21"/>
      <c r="HJR9" s="21"/>
      <c r="HJS9" s="21"/>
      <c r="HJT9" s="21"/>
      <c r="HJU9" s="21"/>
      <c r="HJV9" s="21"/>
      <c r="HJW9" s="21"/>
      <c r="HJX9" s="21"/>
      <c r="HJY9" s="21"/>
      <c r="HJZ9" s="21"/>
      <c r="HKA9" s="21"/>
      <c r="HKB9" s="21"/>
      <c r="HKC9" s="21"/>
      <c r="HKD9" s="21"/>
      <c r="HKE9" s="21"/>
      <c r="HKF9" s="21"/>
      <c r="HKG9" s="21"/>
      <c r="HKH9" s="21"/>
      <c r="HKI9" s="21"/>
      <c r="HKJ9" s="21"/>
      <c r="HKK9" s="21"/>
      <c r="HKL9" s="21"/>
      <c r="HKM9" s="21"/>
      <c r="HKN9" s="21"/>
      <c r="HKO9" s="21"/>
      <c r="HKP9" s="21"/>
      <c r="HKQ9" s="21"/>
      <c r="HKR9" s="21"/>
      <c r="HKS9" s="21"/>
      <c r="HKT9" s="21"/>
      <c r="HKU9" s="21"/>
      <c r="HKV9" s="21"/>
      <c r="HKW9" s="21"/>
      <c r="HKX9" s="21"/>
      <c r="HKY9" s="21"/>
      <c r="HKZ9" s="21"/>
      <c r="HLA9" s="21"/>
      <c r="HLB9" s="21"/>
      <c r="HLC9" s="21"/>
      <c r="HLD9" s="21"/>
      <c r="HLE9" s="21"/>
      <c r="HLF9" s="21"/>
      <c r="HLG9" s="21"/>
      <c r="HLH9" s="21"/>
      <c r="HLI9" s="21"/>
      <c r="HLJ9" s="21"/>
      <c r="HLK9" s="21"/>
      <c r="HLL9" s="21"/>
      <c r="HLM9" s="21"/>
      <c r="HLN9" s="21"/>
      <c r="HLO9" s="21"/>
      <c r="HLP9" s="21"/>
      <c r="HLQ9" s="21"/>
      <c r="HLR9" s="21"/>
      <c r="HLS9" s="21"/>
      <c r="HLT9" s="21"/>
      <c r="HLU9" s="21"/>
      <c r="HLV9" s="21"/>
      <c r="HLW9" s="21"/>
      <c r="HLX9" s="21"/>
      <c r="HLY9" s="21"/>
      <c r="HLZ9" s="21"/>
      <c r="HMA9" s="21"/>
      <c r="HMB9" s="21"/>
      <c r="HMC9" s="21"/>
      <c r="HMD9" s="21"/>
      <c r="HME9" s="21"/>
      <c r="HMF9" s="21"/>
      <c r="HMG9" s="21"/>
      <c r="HMH9" s="21"/>
      <c r="HMI9" s="21"/>
      <c r="HMJ9" s="21"/>
      <c r="HMK9" s="21"/>
      <c r="HML9" s="21"/>
      <c r="HMM9" s="21"/>
      <c r="HMN9" s="21"/>
      <c r="HMO9" s="21"/>
      <c r="HMP9" s="21"/>
      <c r="HMQ9" s="21"/>
      <c r="HMR9" s="21"/>
      <c r="HMS9" s="21"/>
      <c r="HMT9" s="21"/>
      <c r="HMU9" s="21"/>
      <c r="HMV9" s="21"/>
      <c r="HMW9" s="21"/>
      <c r="HMX9" s="21"/>
      <c r="HMY9" s="21"/>
      <c r="HMZ9" s="21"/>
      <c r="HNA9" s="21"/>
      <c r="HNB9" s="21"/>
      <c r="HNC9" s="21"/>
      <c r="HND9" s="21"/>
      <c r="HNE9" s="21"/>
      <c r="HNF9" s="21"/>
      <c r="HNG9" s="21"/>
      <c r="HNH9" s="21"/>
      <c r="HNI9" s="21"/>
      <c r="HNJ9" s="21"/>
      <c r="HNK9" s="21"/>
      <c r="HNL9" s="21"/>
      <c r="HNM9" s="21"/>
      <c r="HNN9" s="21"/>
      <c r="HNO9" s="21"/>
      <c r="HNP9" s="21"/>
      <c r="HNQ9" s="21"/>
      <c r="HNR9" s="21"/>
      <c r="HNS9" s="21"/>
      <c r="HNT9" s="21"/>
      <c r="HNU9" s="21"/>
      <c r="HNV9" s="21"/>
      <c r="HNW9" s="21"/>
      <c r="HNX9" s="21"/>
      <c r="HNY9" s="21"/>
      <c r="HNZ9" s="21"/>
      <c r="HOA9" s="21"/>
      <c r="HOB9" s="21"/>
      <c r="HOC9" s="21"/>
      <c r="HOD9" s="21"/>
      <c r="HOE9" s="21"/>
      <c r="HOF9" s="21"/>
      <c r="HOG9" s="21"/>
      <c r="HOH9" s="21"/>
      <c r="HOI9" s="21"/>
      <c r="HOJ9" s="21"/>
      <c r="HOK9" s="21"/>
      <c r="HOL9" s="21"/>
      <c r="HOM9" s="21"/>
      <c r="HON9" s="21"/>
      <c r="HOO9" s="21"/>
      <c r="HOP9" s="21"/>
      <c r="HOQ9" s="21"/>
      <c r="HOR9" s="21"/>
      <c r="HOS9" s="21"/>
      <c r="HOT9" s="21"/>
      <c r="HOU9" s="21"/>
      <c r="HOV9" s="21"/>
      <c r="HOW9" s="21"/>
      <c r="HOX9" s="21"/>
      <c r="HOY9" s="21"/>
      <c r="HOZ9" s="21"/>
      <c r="HPA9" s="21"/>
      <c r="HPB9" s="21"/>
      <c r="HPC9" s="21"/>
      <c r="HPD9" s="21"/>
      <c r="HPE9" s="21"/>
      <c r="HPF9" s="21"/>
      <c r="HPG9" s="21"/>
      <c r="HPH9" s="21"/>
      <c r="HPI9" s="21"/>
      <c r="HPJ9" s="21"/>
      <c r="HPK9" s="21"/>
      <c r="HPL9" s="21"/>
      <c r="HPM9" s="21"/>
      <c r="HPN9" s="21"/>
      <c r="HPO9" s="21"/>
      <c r="HPP9" s="21"/>
      <c r="HPQ9" s="21"/>
      <c r="HPR9" s="21"/>
      <c r="HPS9" s="21"/>
      <c r="HPT9" s="21"/>
      <c r="HPU9" s="21"/>
      <c r="HPV9" s="21"/>
      <c r="HPW9" s="21"/>
      <c r="HPX9" s="21"/>
      <c r="HPY9" s="21"/>
      <c r="HPZ9" s="21"/>
      <c r="HQA9" s="21"/>
      <c r="HQB9" s="21"/>
      <c r="HQC9" s="21"/>
      <c r="HQD9" s="21"/>
      <c r="HQE9" s="21"/>
      <c r="HQF9" s="21"/>
      <c r="HQG9" s="21"/>
      <c r="HQH9" s="21"/>
      <c r="HQI9" s="21"/>
      <c r="HQJ9" s="21"/>
      <c r="HQK9" s="21"/>
      <c r="HQL9" s="21"/>
      <c r="HQM9" s="21"/>
      <c r="HQN9" s="21"/>
      <c r="HQO9" s="21"/>
      <c r="HQP9" s="21"/>
      <c r="HQQ9" s="21"/>
      <c r="HQR9" s="21"/>
      <c r="HQS9" s="21"/>
      <c r="HQT9" s="21"/>
      <c r="HQU9" s="21"/>
      <c r="HQV9" s="21"/>
      <c r="HQW9" s="21"/>
      <c r="HQX9" s="21"/>
      <c r="HQY9" s="21"/>
      <c r="HQZ9" s="21"/>
      <c r="HRA9" s="21"/>
      <c r="HRB9" s="21"/>
      <c r="HRC9" s="21"/>
      <c r="HRD9" s="21"/>
      <c r="HRE9" s="21"/>
      <c r="HRF9" s="21"/>
      <c r="HRG9" s="21"/>
      <c r="HRH9" s="21"/>
      <c r="HRI9" s="21"/>
      <c r="HRJ9" s="21"/>
      <c r="HRK9" s="21"/>
      <c r="HRL9" s="21"/>
      <c r="HRM9" s="21"/>
      <c r="HRN9" s="21"/>
      <c r="HRO9" s="21"/>
      <c r="HRP9" s="21"/>
      <c r="HRQ9" s="21"/>
      <c r="HRR9" s="21"/>
      <c r="HRS9" s="21"/>
      <c r="HRT9" s="21"/>
      <c r="HRU9" s="21"/>
      <c r="HRV9" s="21"/>
      <c r="HRW9" s="21"/>
      <c r="HRX9" s="21"/>
      <c r="HRY9" s="21"/>
      <c r="HRZ9" s="21"/>
      <c r="HSA9" s="21"/>
      <c r="HSB9" s="21"/>
      <c r="HSC9" s="21"/>
      <c r="HSD9" s="21"/>
      <c r="HSE9" s="21"/>
      <c r="HSF9" s="21"/>
      <c r="HSG9" s="21"/>
      <c r="HSH9" s="21"/>
      <c r="HSI9" s="21"/>
      <c r="HSJ9" s="21"/>
      <c r="HSK9" s="21"/>
      <c r="HSL9" s="21"/>
      <c r="HSM9" s="21"/>
      <c r="HSN9" s="21"/>
      <c r="HSO9" s="21"/>
      <c r="HSP9" s="21"/>
      <c r="HSQ9" s="21"/>
      <c r="HSR9" s="21"/>
      <c r="HSS9" s="21"/>
      <c r="HST9" s="21"/>
      <c r="HSU9" s="21"/>
      <c r="HSV9" s="21"/>
      <c r="HSW9" s="21"/>
      <c r="HSX9" s="21"/>
      <c r="HSY9" s="21"/>
      <c r="HSZ9" s="21"/>
      <c r="HTA9" s="21"/>
      <c r="HTB9" s="21"/>
      <c r="HTC9" s="21"/>
      <c r="HTD9" s="21"/>
      <c r="HTE9" s="21"/>
      <c r="HTF9" s="21"/>
      <c r="HTG9" s="21"/>
      <c r="HTH9" s="21"/>
      <c r="HTI9" s="21"/>
      <c r="HTJ9" s="21"/>
      <c r="HTK9" s="21"/>
      <c r="HTL9" s="21"/>
      <c r="HTM9" s="21"/>
      <c r="HTN9" s="21"/>
      <c r="HTO9" s="21"/>
      <c r="HTP9" s="21"/>
      <c r="HTQ9" s="21"/>
      <c r="HTR9" s="21"/>
      <c r="HTS9" s="21"/>
      <c r="HTT9" s="21"/>
      <c r="HTU9" s="21"/>
      <c r="HTV9" s="21"/>
      <c r="HTW9" s="21"/>
      <c r="HTX9" s="21"/>
      <c r="HTY9" s="21"/>
      <c r="HTZ9" s="21"/>
      <c r="HUA9" s="21"/>
      <c r="HUB9" s="21"/>
      <c r="HUC9" s="21"/>
      <c r="HUD9" s="21"/>
      <c r="HUE9" s="21"/>
      <c r="HUF9" s="21"/>
      <c r="HUG9" s="21"/>
      <c r="HUH9" s="21"/>
      <c r="HUI9" s="21"/>
      <c r="HUJ9" s="21"/>
      <c r="HUK9" s="21"/>
      <c r="HUL9" s="21"/>
      <c r="HUM9" s="21"/>
      <c r="HUN9" s="21"/>
      <c r="HUO9" s="21"/>
      <c r="HUP9" s="21"/>
      <c r="HUQ9" s="21"/>
      <c r="HUR9" s="21"/>
      <c r="HUS9" s="21"/>
      <c r="HUT9" s="21"/>
      <c r="HUU9" s="21"/>
      <c r="HUV9" s="21"/>
      <c r="HUW9" s="21"/>
      <c r="HUX9" s="21"/>
      <c r="HUY9" s="21"/>
      <c r="HUZ9" s="21"/>
      <c r="HVA9" s="21"/>
      <c r="HVB9" s="21"/>
      <c r="HVC9" s="21"/>
      <c r="HVD9" s="21"/>
      <c r="HVE9" s="21"/>
      <c r="HVF9" s="21"/>
      <c r="HVG9" s="21"/>
      <c r="HVH9" s="21"/>
      <c r="HVI9" s="21"/>
      <c r="HVJ9" s="21"/>
      <c r="HVK9" s="21"/>
      <c r="HVL9" s="21"/>
      <c r="HVM9" s="21"/>
      <c r="HVN9" s="21"/>
      <c r="HVO9" s="21"/>
      <c r="HVP9" s="21"/>
      <c r="HVQ9" s="21"/>
      <c r="HVR9" s="21"/>
      <c r="HVS9" s="21"/>
      <c r="HVT9" s="21"/>
      <c r="HVU9" s="21"/>
      <c r="HVV9" s="21"/>
      <c r="HVW9" s="21"/>
      <c r="HVX9" s="21"/>
      <c r="HVY9" s="21"/>
      <c r="HVZ9" s="21"/>
      <c r="HWA9" s="21"/>
      <c r="HWB9" s="21"/>
      <c r="HWC9" s="21"/>
      <c r="HWD9" s="21"/>
      <c r="HWE9" s="21"/>
      <c r="HWF9" s="21"/>
      <c r="HWG9" s="21"/>
      <c r="HWH9" s="21"/>
      <c r="HWI9" s="21"/>
      <c r="HWJ9" s="21"/>
      <c r="HWK9" s="21"/>
      <c r="HWL9" s="21"/>
      <c r="HWM9" s="21"/>
      <c r="HWN9" s="21"/>
      <c r="HWO9" s="21"/>
      <c r="HWP9" s="21"/>
      <c r="HWQ9" s="21"/>
      <c r="HWR9" s="21"/>
      <c r="HWS9" s="21"/>
      <c r="HWT9" s="21"/>
      <c r="HWU9" s="21"/>
      <c r="HWV9" s="21"/>
      <c r="HWW9" s="21"/>
      <c r="HWX9" s="21"/>
      <c r="HWY9" s="21"/>
      <c r="HWZ9" s="21"/>
      <c r="HXA9" s="21"/>
      <c r="HXB9" s="21"/>
      <c r="HXC9" s="21"/>
      <c r="HXD9" s="21"/>
      <c r="HXE9" s="21"/>
      <c r="HXF9" s="21"/>
      <c r="HXG9" s="21"/>
      <c r="HXH9" s="21"/>
      <c r="HXI9" s="21"/>
      <c r="HXJ9" s="21"/>
      <c r="HXK9" s="21"/>
      <c r="HXL9" s="21"/>
      <c r="HXM9" s="21"/>
      <c r="HXN9" s="21"/>
      <c r="HXO9" s="21"/>
      <c r="HXP9" s="21"/>
      <c r="HXQ9" s="21"/>
      <c r="HXR9" s="21"/>
      <c r="HXS9" s="21"/>
      <c r="HXT9" s="21"/>
      <c r="HXU9" s="21"/>
      <c r="HXV9" s="21"/>
      <c r="HXW9" s="21"/>
      <c r="HXX9" s="21"/>
      <c r="HXY9" s="21"/>
      <c r="HXZ9" s="21"/>
      <c r="HYA9" s="21"/>
      <c r="HYB9" s="21"/>
      <c r="HYC9" s="21"/>
      <c r="HYD9" s="21"/>
      <c r="HYE9" s="21"/>
      <c r="HYF9" s="21"/>
      <c r="HYG9" s="21"/>
      <c r="HYH9" s="21"/>
      <c r="HYI9" s="21"/>
      <c r="HYJ9" s="21"/>
      <c r="HYK9" s="21"/>
      <c r="HYL9" s="21"/>
      <c r="HYM9" s="21"/>
      <c r="HYN9" s="21"/>
      <c r="HYO9" s="21"/>
      <c r="HYP9" s="21"/>
      <c r="HYQ9" s="21"/>
      <c r="HYR9" s="21"/>
      <c r="HYS9" s="21"/>
      <c r="HYT9" s="21"/>
      <c r="HYU9" s="21"/>
      <c r="HYV9" s="21"/>
      <c r="HYW9" s="21"/>
      <c r="HYX9" s="21"/>
      <c r="HYY9" s="21"/>
      <c r="HYZ9" s="21"/>
      <c r="HZA9" s="21"/>
      <c r="HZB9" s="21"/>
      <c r="HZC9" s="21"/>
      <c r="HZD9" s="21"/>
      <c r="HZE9" s="21"/>
      <c r="HZF9" s="21"/>
      <c r="HZG9" s="21"/>
      <c r="HZH9" s="21"/>
      <c r="HZI9" s="21"/>
      <c r="HZJ9" s="21"/>
      <c r="HZK9" s="21"/>
      <c r="HZL9" s="21"/>
      <c r="HZM9" s="21"/>
      <c r="HZN9" s="21"/>
      <c r="HZO9" s="21"/>
      <c r="HZP9" s="21"/>
      <c r="HZQ9" s="21"/>
      <c r="HZR9" s="21"/>
      <c r="HZS9" s="21"/>
      <c r="HZT9" s="21"/>
      <c r="HZU9" s="21"/>
      <c r="HZV9" s="21"/>
      <c r="HZW9" s="21"/>
      <c r="HZX9" s="21"/>
      <c r="HZY9" s="21"/>
      <c r="HZZ9" s="21"/>
      <c r="IAA9" s="21"/>
      <c r="IAB9" s="21"/>
      <c r="IAC9" s="21"/>
      <c r="IAD9" s="21"/>
      <c r="IAE9" s="21"/>
      <c r="IAF9" s="21"/>
      <c r="IAG9" s="21"/>
      <c r="IAH9" s="21"/>
      <c r="IAI9" s="21"/>
      <c r="IAJ9" s="21"/>
      <c r="IAK9" s="21"/>
      <c r="IAL9" s="21"/>
      <c r="IAM9" s="21"/>
      <c r="IAN9" s="21"/>
      <c r="IAO9" s="21"/>
      <c r="IAP9" s="21"/>
      <c r="IAQ9" s="21"/>
      <c r="IAR9" s="21"/>
      <c r="IAS9" s="21"/>
      <c r="IAT9" s="21"/>
      <c r="IAU9" s="21"/>
      <c r="IAV9" s="21"/>
      <c r="IAW9" s="21"/>
      <c r="IAX9" s="21"/>
      <c r="IAY9" s="21"/>
      <c r="IAZ9" s="21"/>
      <c r="IBA9" s="21"/>
      <c r="IBB9" s="21"/>
      <c r="IBC9" s="21"/>
      <c r="IBD9" s="21"/>
      <c r="IBE9" s="21"/>
      <c r="IBF9" s="21"/>
      <c r="IBG9" s="21"/>
      <c r="IBH9" s="21"/>
      <c r="IBI9" s="21"/>
      <c r="IBJ9" s="21"/>
      <c r="IBK9" s="21"/>
      <c r="IBL9" s="21"/>
      <c r="IBM9" s="21"/>
      <c r="IBN9" s="21"/>
      <c r="IBO9" s="21"/>
      <c r="IBP9" s="21"/>
      <c r="IBQ9" s="21"/>
      <c r="IBR9" s="21"/>
      <c r="IBS9" s="21"/>
      <c r="IBT9" s="21"/>
      <c r="IBU9" s="21"/>
      <c r="IBV9" s="21"/>
      <c r="IBW9" s="21"/>
      <c r="IBX9" s="21"/>
      <c r="IBY9" s="21"/>
      <c r="IBZ9" s="21"/>
      <c r="ICA9" s="21"/>
      <c r="ICB9" s="21"/>
      <c r="ICC9" s="21"/>
      <c r="ICD9" s="21"/>
      <c r="ICE9" s="21"/>
      <c r="ICF9" s="21"/>
      <c r="ICG9" s="21"/>
      <c r="ICH9" s="21"/>
      <c r="ICI9" s="21"/>
      <c r="ICJ9" s="21"/>
      <c r="ICK9" s="21"/>
      <c r="ICL9" s="21"/>
      <c r="ICM9" s="21"/>
      <c r="ICN9" s="21"/>
      <c r="ICO9" s="21"/>
      <c r="ICP9" s="21"/>
      <c r="ICQ9" s="21"/>
      <c r="ICR9" s="21"/>
      <c r="ICS9" s="21"/>
      <c r="ICT9" s="21"/>
      <c r="ICU9" s="21"/>
      <c r="ICV9" s="21"/>
      <c r="ICW9" s="21"/>
      <c r="ICX9" s="21"/>
      <c r="ICY9" s="21"/>
      <c r="ICZ9" s="21"/>
      <c r="IDA9" s="21"/>
      <c r="IDB9" s="21"/>
      <c r="IDC9" s="21"/>
      <c r="IDD9" s="21"/>
      <c r="IDE9" s="21"/>
      <c r="IDF9" s="21"/>
      <c r="IDG9" s="21"/>
      <c r="IDH9" s="21"/>
      <c r="IDI9" s="21"/>
      <c r="IDJ9" s="21"/>
      <c r="IDK9" s="21"/>
      <c r="IDL9" s="21"/>
      <c r="IDM9" s="21"/>
      <c r="IDN9" s="21"/>
      <c r="IDO9" s="21"/>
      <c r="IDP9" s="21"/>
      <c r="IDQ9" s="21"/>
      <c r="IDR9" s="21"/>
      <c r="IDS9" s="21"/>
      <c r="IDT9" s="21"/>
      <c r="IDU9" s="21"/>
      <c r="IDV9" s="21"/>
      <c r="IDW9" s="21"/>
      <c r="IDX9" s="21"/>
      <c r="IDY9" s="21"/>
      <c r="IDZ9" s="21"/>
      <c r="IEA9" s="21"/>
      <c r="IEB9" s="21"/>
      <c r="IEC9" s="21"/>
      <c r="IED9" s="21"/>
      <c r="IEE9" s="21"/>
      <c r="IEF9" s="21"/>
      <c r="IEG9" s="21"/>
      <c r="IEH9" s="21"/>
      <c r="IEI9" s="21"/>
      <c r="IEJ9" s="21"/>
      <c r="IEK9" s="21"/>
      <c r="IEL9" s="21"/>
      <c r="IEM9" s="21"/>
      <c r="IEN9" s="21"/>
      <c r="IEO9" s="21"/>
      <c r="IEP9" s="21"/>
      <c r="IEQ9" s="21"/>
      <c r="IER9" s="21"/>
      <c r="IES9" s="21"/>
      <c r="IET9" s="21"/>
      <c r="IEU9" s="21"/>
      <c r="IEV9" s="21"/>
      <c r="IEW9" s="21"/>
      <c r="IEX9" s="21"/>
      <c r="IEY9" s="21"/>
      <c r="IEZ9" s="21"/>
      <c r="IFA9" s="21"/>
      <c r="IFB9" s="21"/>
      <c r="IFC9" s="21"/>
      <c r="IFD9" s="21"/>
      <c r="IFE9" s="21"/>
      <c r="IFF9" s="21"/>
      <c r="IFG9" s="21"/>
      <c r="IFH9" s="21"/>
      <c r="IFI9" s="21"/>
      <c r="IFJ9" s="21"/>
      <c r="IFK9" s="21"/>
      <c r="IFL9" s="21"/>
      <c r="IFM9" s="21"/>
      <c r="IFN9" s="21"/>
      <c r="IFO9" s="21"/>
      <c r="IFP9" s="21"/>
      <c r="IFQ9" s="21"/>
      <c r="IFR9" s="21"/>
      <c r="IFS9" s="21"/>
      <c r="IFT9" s="21"/>
      <c r="IFU9" s="21"/>
      <c r="IFV9" s="21"/>
      <c r="IFW9" s="21"/>
      <c r="IFX9" s="21"/>
      <c r="IFY9" s="21"/>
      <c r="IFZ9" s="21"/>
      <c r="IGA9" s="21"/>
      <c r="IGB9" s="21"/>
      <c r="IGC9" s="21"/>
      <c r="IGD9" s="21"/>
      <c r="IGE9" s="21"/>
      <c r="IGF9" s="21"/>
      <c r="IGG9" s="21"/>
      <c r="IGH9" s="21"/>
      <c r="IGI9" s="21"/>
      <c r="IGJ9" s="21"/>
      <c r="IGK9" s="21"/>
      <c r="IGL9" s="21"/>
      <c r="IGM9" s="21"/>
      <c r="IGN9" s="21"/>
      <c r="IGO9" s="21"/>
      <c r="IGP9" s="21"/>
      <c r="IGQ9" s="21"/>
      <c r="IGR9" s="21"/>
      <c r="IGS9" s="21"/>
      <c r="IGT9" s="21"/>
      <c r="IGU9" s="21"/>
      <c r="IGV9" s="21"/>
      <c r="IGW9" s="21"/>
      <c r="IGX9" s="21"/>
      <c r="IGY9" s="21"/>
      <c r="IGZ9" s="21"/>
      <c r="IHA9" s="21"/>
      <c r="IHB9" s="21"/>
      <c r="IHC9" s="21"/>
      <c r="IHD9" s="21"/>
      <c r="IHE9" s="21"/>
      <c r="IHF9" s="21"/>
      <c r="IHG9" s="21"/>
      <c r="IHH9" s="21"/>
      <c r="IHI9" s="21"/>
      <c r="IHJ9" s="21"/>
      <c r="IHK9" s="21"/>
      <c r="IHL9" s="21"/>
      <c r="IHM9" s="21"/>
      <c r="IHN9" s="21"/>
      <c r="IHO9" s="21"/>
      <c r="IHP9" s="21"/>
      <c r="IHQ9" s="21"/>
      <c r="IHR9" s="21"/>
      <c r="IHS9" s="21"/>
      <c r="IHT9" s="21"/>
      <c r="IHU9" s="21"/>
      <c r="IHV9" s="21"/>
      <c r="IHW9" s="21"/>
      <c r="IHX9" s="21"/>
      <c r="IHY9" s="21"/>
      <c r="IHZ9" s="21"/>
      <c r="IIA9" s="21"/>
      <c r="IIB9" s="21"/>
      <c r="IIC9" s="21"/>
      <c r="IID9" s="21"/>
      <c r="IIE9" s="21"/>
      <c r="IIF9" s="21"/>
      <c r="IIG9" s="21"/>
      <c r="IIH9" s="21"/>
      <c r="III9" s="21"/>
      <c r="IIJ9" s="21"/>
      <c r="IIK9" s="21"/>
      <c r="IIL9" s="21"/>
      <c r="IIM9" s="21"/>
      <c r="IIN9" s="21"/>
      <c r="IIO9" s="21"/>
      <c r="IIP9" s="21"/>
      <c r="IIQ9" s="21"/>
      <c r="IIR9" s="21"/>
      <c r="IIS9" s="21"/>
      <c r="IIT9" s="21"/>
      <c r="IIU9" s="21"/>
      <c r="IIV9" s="21"/>
      <c r="IIW9" s="21"/>
      <c r="IIX9" s="21"/>
      <c r="IIY9" s="21"/>
      <c r="IIZ9" s="21"/>
      <c r="IJA9" s="21"/>
      <c r="IJB9" s="21"/>
      <c r="IJC9" s="21"/>
      <c r="IJD9" s="21"/>
      <c r="IJE9" s="21"/>
      <c r="IJF9" s="21"/>
      <c r="IJG9" s="21"/>
      <c r="IJH9" s="21"/>
      <c r="IJI9" s="21"/>
      <c r="IJJ9" s="21"/>
      <c r="IJK9" s="21"/>
      <c r="IJL9" s="21"/>
      <c r="IJM9" s="21"/>
      <c r="IJN9" s="21"/>
      <c r="IJO9" s="21"/>
      <c r="IJP9" s="21"/>
      <c r="IJQ9" s="21"/>
      <c r="IJR9" s="21"/>
      <c r="IJS9" s="21"/>
      <c r="IJT9" s="21"/>
      <c r="IJU9" s="21"/>
      <c r="IJV9" s="21"/>
      <c r="IJW9" s="21"/>
      <c r="IJX9" s="21"/>
      <c r="IJY9" s="21"/>
      <c r="IJZ9" s="21"/>
      <c r="IKA9" s="21"/>
      <c r="IKB9" s="21"/>
      <c r="IKC9" s="21"/>
      <c r="IKD9" s="21"/>
      <c r="IKE9" s="21"/>
      <c r="IKF9" s="21"/>
      <c r="IKG9" s="21"/>
      <c r="IKH9" s="21"/>
      <c r="IKI9" s="21"/>
      <c r="IKJ9" s="21"/>
      <c r="IKK9" s="21"/>
      <c r="IKL9" s="21"/>
      <c r="IKM9" s="21"/>
      <c r="IKN9" s="21"/>
      <c r="IKO9" s="21"/>
      <c r="IKP9" s="21"/>
      <c r="IKQ9" s="21"/>
      <c r="IKR9" s="21"/>
      <c r="IKS9" s="21"/>
      <c r="IKT9" s="21"/>
      <c r="IKU9" s="21"/>
      <c r="IKV9" s="21"/>
      <c r="IKW9" s="21"/>
      <c r="IKX9" s="21"/>
      <c r="IKY9" s="21"/>
      <c r="IKZ9" s="21"/>
      <c r="ILA9" s="21"/>
      <c r="ILB9" s="21"/>
      <c r="ILC9" s="21"/>
      <c r="ILD9" s="21"/>
      <c r="ILE9" s="21"/>
      <c r="ILF9" s="21"/>
      <c r="ILG9" s="21"/>
      <c r="ILH9" s="21"/>
      <c r="ILI9" s="21"/>
      <c r="ILJ9" s="21"/>
      <c r="ILK9" s="21"/>
      <c r="ILL9" s="21"/>
      <c r="ILM9" s="21"/>
      <c r="ILN9" s="21"/>
      <c r="ILO9" s="21"/>
      <c r="ILP9" s="21"/>
      <c r="ILQ9" s="21"/>
      <c r="ILR9" s="21"/>
      <c r="ILS9" s="21"/>
      <c r="ILT9" s="21"/>
      <c r="ILU9" s="21"/>
      <c r="ILV9" s="21"/>
      <c r="ILW9" s="21"/>
      <c r="ILX9" s="21"/>
      <c r="ILY9" s="21"/>
      <c r="ILZ9" s="21"/>
      <c r="IMA9" s="21"/>
      <c r="IMB9" s="21"/>
      <c r="IMC9" s="21"/>
      <c r="IMD9" s="21"/>
      <c r="IME9" s="21"/>
      <c r="IMF9" s="21"/>
      <c r="IMG9" s="21"/>
      <c r="IMH9" s="21"/>
      <c r="IMI9" s="21"/>
      <c r="IMJ9" s="21"/>
      <c r="IMK9" s="21"/>
      <c r="IML9" s="21"/>
      <c r="IMM9" s="21"/>
      <c r="IMN9" s="21"/>
      <c r="IMO9" s="21"/>
      <c r="IMP9" s="21"/>
      <c r="IMQ9" s="21"/>
      <c r="IMR9" s="21"/>
      <c r="IMS9" s="21"/>
      <c r="IMT9" s="21"/>
      <c r="IMU9" s="21"/>
      <c r="IMV9" s="21"/>
      <c r="IMW9" s="21"/>
      <c r="IMX9" s="21"/>
      <c r="IMY9" s="21"/>
      <c r="IMZ9" s="21"/>
      <c r="INA9" s="21"/>
      <c r="INB9" s="21"/>
      <c r="INC9" s="21"/>
      <c r="IND9" s="21"/>
      <c r="INE9" s="21"/>
      <c r="INF9" s="21"/>
      <c r="ING9" s="21"/>
      <c r="INH9" s="21"/>
      <c r="INI9" s="21"/>
      <c r="INJ9" s="21"/>
      <c r="INK9" s="21"/>
      <c r="INL9" s="21"/>
      <c r="INM9" s="21"/>
      <c r="INN9" s="21"/>
      <c r="INO9" s="21"/>
      <c r="INP9" s="21"/>
      <c r="INQ9" s="21"/>
      <c r="INR9" s="21"/>
      <c r="INS9" s="21"/>
      <c r="INT9" s="21"/>
      <c r="INU9" s="21"/>
      <c r="INV9" s="21"/>
      <c r="INW9" s="21"/>
      <c r="INX9" s="21"/>
      <c r="INY9" s="21"/>
      <c r="INZ9" s="21"/>
      <c r="IOA9" s="21"/>
      <c r="IOB9" s="21"/>
      <c r="IOC9" s="21"/>
      <c r="IOD9" s="21"/>
      <c r="IOE9" s="21"/>
      <c r="IOF9" s="21"/>
      <c r="IOG9" s="21"/>
      <c r="IOH9" s="21"/>
      <c r="IOI9" s="21"/>
      <c r="IOJ9" s="21"/>
      <c r="IOK9" s="21"/>
      <c r="IOL9" s="21"/>
      <c r="IOM9" s="21"/>
      <c r="ION9" s="21"/>
      <c r="IOO9" s="21"/>
      <c r="IOP9" s="21"/>
      <c r="IOQ9" s="21"/>
      <c r="IOR9" s="21"/>
      <c r="IOS9" s="21"/>
      <c r="IOT9" s="21"/>
      <c r="IOU9" s="21"/>
      <c r="IOV9" s="21"/>
      <c r="IOW9" s="21"/>
      <c r="IOX9" s="21"/>
      <c r="IOY9" s="21"/>
      <c r="IOZ9" s="21"/>
      <c r="IPA9" s="21"/>
      <c r="IPB9" s="21"/>
      <c r="IPC9" s="21"/>
      <c r="IPD9" s="21"/>
      <c r="IPE9" s="21"/>
      <c r="IPF9" s="21"/>
      <c r="IPG9" s="21"/>
      <c r="IPH9" s="21"/>
      <c r="IPI9" s="21"/>
      <c r="IPJ9" s="21"/>
      <c r="IPK9" s="21"/>
      <c r="IPL9" s="21"/>
      <c r="IPM9" s="21"/>
      <c r="IPN9" s="21"/>
      <c r="IPO9" s="21"/>
      <c r="IPP9" s="21"/>
      <c r="IPQ9" s="21"/>
      <c r="IPR9" s="21"/>
      <c r="IPS9" s="21"/>
      <c r="IPT9" s="21"/>
      <c r="IPU9" s="21"/>
      <c r="IPV9" s="21"/>
      <c r="IPW9" s="21"/>
      <c r="IPX9" s="21"/>
      <c r="IPY9" s="21"/>
      <c r="IPZ9" s="21"/>
      <c r="IQA9" s="21"/>
      <c r="IQB9" s="21"/>
      <c r="IQC9" s="21"/>
      <c r="IQD9" s="21"/>
      <c r="IQE9" s="21"/>
      <c r="IQF9" s="21"/>
      <c r="IQG9" s="21"/>
      <c r="IQH9" s="21"/>
      <c r="IQI9" s="21"/>
      <c r="IQJ9" s="21"/>
      <c r="IQK9" s="21"/>
      <c r="IQL9" s="21"/>
      <c r="IQM9" s="21"/>
      <c r="IQN9" s="21"/>
      <c r="IQO9" s="21"/>
      <c r="IQP9" s="21"/>
      <c r="IQQ9" s="21"/>
      <c r="IQR9" s="21"/>
      <c r="IQS9" s="21"/>
      <c r="IQT9" s="21"/>
      <c r="IQU9" s="21"/>
      <c r="IQV9" s="21"/>
      <c r="IQW9" s="21"/>
      <c r="IQX9" s="21"/>
      <c r="IQY9" s="21"/>
      <c r="IQZ9" s="21"/>
      <c r="IRA9" s="21"/>
      <c r="IRB9" s="21"/>
      <c r="IRC9" s="21"/>
      <c r="IRD9" s="21"/>
      <c r="IRE9" s="21"/>
      <c r="IRF9" s="21"/>
      <c r="IRG9" s="21"/>
      <c r="IRH9" s="21"/>
      <c r="IRI9" s="21"/>
      <c r="IRJ9" s="21"/>
      <c r="IRK9" s="21"/>
      <c r="IRL9" s="21"/>
      <c r="IRM9" s="21"/>
      <c r="IRN9" s="21"/>
      <c r="IRO9" s="21"/>
      <c r="IRP9" s="21"/>
      <c r="IRQ9" s="21"/>
      <c r="IRR9" s="21"/>
      <c r="IRS9" s="21"/>
      <c r="IRT9" s="21"/>
      <c r="IRU9" s="21"/>
      <c r="IRV9" s="21"/>
      <c r="IRW9" s="21"/>
      <c r="IRX9" s="21"/>
      <c r="IRY9" s="21"/>
      <c r="IRZ9" s="21"/>
      <c r="ISA9" s="21"/>
      <c r="ISB9" s="21"/>
      <c r="ISC9" s="21"/>
      <c r="ISD9" s="21"/>
      <c r="ISE9" s="21"/>
      <c r="ISF9" s="21"/>
      <c r="ISG9" s="21"/>
      <c r="ISH9" s="21"/>
      <c r="ISI9" s="21"/>
      <c r="ISJ9" s="21"/>
      <c r="ISK9" s="21"/>
      <c r="ISL9" s="21"/>
      <c r="ISM9" s="21"/>
      <c r="ISN9" s="21"/>
      <c r="ISO9" s="21"/>
      <c r="ISP9" s="21"/>
      <c r="ISQ9" s="21"/>
      <c r="ISR9" s="21"/>
      <c r="ISS9" s="21"/>
      <c r="IST9" s="21"/>
      <c r="ISU9" s="21"/>
      <c r="ISV9" s="21"/>
      <c r="ISW9" s="21"/>
      <c r="ISX9" s="21"/>
      <c r="ISY9" s="21"/>
      <c r="ISZ9" s="21"/>
      <c r="ITA9" s="21"/>
      <c r="ITB9" s="21"/>
      <c r="ITC9" s="21"/>
      <c r="ITD9" s="21"/>
      <c r="ITE9" s="21"/>
      <c r="ITF9" s="21"/>
      <c r="ITG9" s="21"/>
      <c r="ITH9" s="21"/>
      <c r="ITI9" s="21"/>
      <c r="ITJ9" s="21"/>
      <c r="ITK9" s="21"/>
      <c r="ITL9" s="21"/>
      <c r="ITM9" s="21"/>
      <c r="ITN9" s="21"/>
      <c r="ITO9" s="21"/>
      <c r="ITP9" s="21"/>
      <c r="ITQ9" s="21"/>
      <c r="ITR9" s="21"/>
      <c r="ITS9" s="21"/>
      <c r="ITT9" s="21"/>
      <c r="ITU9" s="21"/>
      <c r="ITV9" s="21"/>
      <c r="ITW9" s="21"/>
      <c r="ITX9" s="21"/>
      <c r="ITY9" s="21"/>
      <c r="ITZ9" s="21"/>
      <c r="IUA9" s="21"/>
      <c r="IUB9" s="21"/>
      <c r="IUC9" s="21"/>
      <c r="IUD9" s="21"/>
      <c r="IUE9" s="21"/>
      <c r="IUF9" s="21"/>
      <c r="IUG9" s="21"/>
      <c r="IUH9" s="21"/>
      <c r="IUI9" s="21"/>
      <c r="IUJ9" s="21"/>
      <c r="IUK9" s="21"/>
      <c r="IUL9" s="21"/>
      <c r="IUM9" s="21"/>
      <c r="IUN9" s="21"/>
      <c r="IUO9" s="21"/>
      <c r="IUP9" s="21"/>
      <c r="IUQ9" s="21"/>
      <c r="IUR9" s="21"/>
      <c r="IUS9" s="21"/>
      <c r="IUT9" s="21"/>
      <c r="IUU9" s="21"/>
      <c r="IUV9" s="21"/>
      <c r="IUW9" s="21"/>
      <c r="IUX9" s="21"/>
      <c r="IUY9" s="21"/>
      <c r="IUZ9" s="21"/>
      <c r="IVA9" s="21"/>
      <c r="IVB9" s="21"/>
      <c r="IVC9" s="21"/>
      <c r="IVD9" s="21"/>
      <c r="IVE9" s="21"/>
      <c r="IVF9" s="21"/>
      <c r="IVG9" s="21"/>
      <c r="IVH9" s="21"/>
      <c r="IVI9" s="21"/>
      <c r="IVJ9" s="21"/>
      <c r="IVK9" s="21"/>
      <c r="IVL9" s="21"/>
      <c r="IVM9" s="21"/>
      <c r="IVN9" s="21"/>
      <c r="IVO9" s="21"/>
      <c r="IVP9" s="21"/>
      <c r="IVQ9" s="21"/>
      <c r="IVR9" s="21"/>
      <c r="IVS9" s="21"/>
      <c r="IVT9" s="21"/>
      <c r="IVU9" s="21"/>
      <c r="IVV9" s="21"/>
      <c r="IVW9" s="21"/>
      <c r="IVX9" s="21"/>
      <c r="IVY9" s="21"/>
      <c r="IVZ9" s="21"/>
      <c r="IWA9" s="21"/>
      <c r="IWB9" s="21"/>
      <c r="IWC9" s="21"/>
      <c r="IWD9" s="21"/>
      <c r="IWE9" s="21"/>
      <c r="IWF9" s="21"/>
      <c r="IWG9" s="21"/>
      <c r="IWH9" s="21"/>
      <c r="IWI9" s="21"/>
      <c r="IWJ9" s="21"/>
      <c r="IWK9" s="21"/>
      <c r="IWL9" s="21"/>
      <c r="IWM9" s="21"/>
      <c r="IWN9" s="21"/>
      <c r="IWO9" s="21"/>
      <c r="IWP9" s="21"/>
      <c r="IWQ9" s="21"/>
      <c r="IWR9" s="21"/>
      <c r="IWS9" s="21"/>
      <c r="IWT9" s="21"/>
      <c r="IWU9" s="21"/>
      <c r="IWV9" s="21"/>
      <c r="IWW9" s="21"/>
      <c r="IWX9" s="21"/>
      <c r="IWY9" s="21"/>
      <c r="IWZ9" s="21"/>
      <c r="IXA9" s="21"/>
      <c r="IXB9" s="21"/>
      <c r="IXC9" s="21"/>
      <c r="IXD9" s="21"/>
      <c r="IXE9" s="21"/>
      <c r="IXF9" s="21"/>
      <c r="IXG9" s="21"/>
      <c r="IXH9" s="21"/>
      <c r="IXI9" s="21"/>
      <c r="IXJ9" s="21"/>
      <c r="IXK9" s="21"/>
      <c r="IXL9" s="21"/>
      <c r="IXM9" s="21"/>
      <c r="IXN9" s="21"/>
      <c r="IXO9" s="21"/>
      <c r="IXP9" s="21"/>
      <c r="IXQ9" s="21"/>
      <c r="IXR9" s="21"/>
      <c r="IXS9" s="21"/>
      <c r="IXT9" s="21"/>
      <c r="IXU9" s="21"/>
      <c r="IXV9" s="21"/>
      <c r="IXW9" s="21"/>
      <c r="IXX9" s="21"/>
      <c r="IXY9" s="21"/>
      <c r="IXZ9" s="21"/>
      <c r="IYA9" s="21"/>
      <c r="IYB9" s="21"/>
      <c r="IYC9" s="21"/>
      <c r="IYD9" s="21"/>
      <c r="IYE9" s="21"/>
      <c r="IYF9" s="21"/>
      <c r="IYG9" s="21"/>
      <c r="IYH9" s="21"/>
      <c r="IYI9" s="21"/>
      <c r="IYJ9" s="21"/>
      <c r="IYK9" s="21"/>
      <c r="IYL9" s="21"/>
      <c r="IYM9" s="21"/>
      <c r="IYN9" s="21"/>
      <c r="IYO9" s="21"/>
      <c r="IYP9" s="21"/>
      <c r="IYQ9" s="21"/>
      <c r="IYR9" s="21"/>
      <c r="IYS9" s="21"/>
      <c r="IYT9" s="21"/>
      <c r="IYU9" s="21"/>
      <c r="IYV9" s="21"/>
      <c r="IYW9" s="21"/>
      <c r="IYX9" s="21"/>
      <c r="IYY9" s="21"/>
      <c r="IYZ9" s="21"/>
      <c r="IZA9" s="21"/>
      <c r="IZB9" s="21"/>
      <c r="IZC9" s="21"/>
      <c r="IZD9" s="21"/>
      <c r="IZE9" s="21"/>
      <c r="IZF9" s="21"/>
      <c r="IZG9" s="21"/>
      <c r="IZH9" s="21"/>
      <c r="IZI9" s="21"/>
      <c r="IZJ9" s="21"/>
      <c r="IZK9" s="21"/>
      <c r="IZL9" s="21"/>
      <c r="IZM9" s="21"/>
      <c r="IZN9" s="21"/>
      <c r="IZO9" s="21"/>
      <c r="IZP9" s="21"/>
      <c r="IZQ9" s="21"/>
      <c r="IZR9" s="21"/>
      <c r="IZS9" s="21"/>
      <c r="IZT9" s="21"/>
      <c r="IZU9" s="21"/>
      <c r="IZV9" s="21"/>
      <c r="IZW9" s="21"/>
      <c r="IZX9" s="21"/>
      <c r="IZY9" s="21"/>
      <c r="IZZ9" s="21"/>
      <c r="JAA9" s="21"/>
      <c r="JAB9" s="21"/>
      <c r="JAC9" s="21"/>
      <c r="JAD9" s="21"/>
      <c r="JAE9" s="21"/>
      <c r="JAF9" s="21"/>
      <c r="JAG9" s="21"/>
      <c r="JAH9" s="21"/>
      <c r="JAI9" s="21"/>
      <c r="JAJ9" s="21"/>
      <c r="JAK9" s="21"/>
      <c r="JAL9" s="21"/>
      <c r="JAM9" s="21"/>
      <c r="JAN9" s="21"/>
      <c r="JAO9" s="21"/>
      <c r="JAP9" s="21"/>
      <c r="JAQ9" s="21"/>
      <c r="JAR9" s="21"/>
      <c r="JAS9" s="21"/>
      <c r="JAT9" s="21"/>
      <c r="JAU9" s="21"/>
      <c r="JAV9" s="21"/>
      <c r="JAW9" s="21"/>
      <c r="JAX9" s="21"/>
      <c r="JAY9" s="21"/>
      <c r="JAZ9" s="21"/>
      <c r="JBA9" s="21"/>
      <c r="JBB9" s="21"/>
      <c r="JBC9" s="21"/>
      <c r="JBD9" s="21"/>
      <c r="JBE9" s="21"/>
      <c r="JBF9" s="21"/>
      <c r="JBG9" s="21"/>
      <c r="JBH9" s="21"/>
      <c r="JBI9" s="21"/>
      <c r="JBJ9" s="21"/>
      <c r="JBK9" s="21"/>
      <c r="JBL9" s="21"/>
      <c r="JBM9" s="21"/>
      <c r="JBN9" s="21"/>
      <c r="JBO9" s="21"/>
      <c r="JBP9" s="21"/>
      <c r="JBQ9" s="21"/>
      <c r="JBR9" s="21"/>
      <c r="JBS9" s="21"/>
      <c r="JBT9" s="21"/>
      <c r="JBU9" s="21"/>
      <c r="JBV9" s="21"/>
      <c r="JBW9" s="21"/>
      <c r="JBX9" s="21"/>
      <c r="JBY9" s="21"/>
      <c r="JBZ9" s="21"/>
      <c r="JCA9" s="21"/>
      <c r="JCB9" s="21"/>
      <c r="JCC9" s="21"/>
      <c r="JCD9" s="21"/>
      <c r="JCE9" s="21"/>
      <c r="JCF9" s="21"/>
      <c r="JCG9" s="21"/>
      <c r="JCH9" s="21"/>
      <c r="JCI9" s="21"/>
      <c r="JCJ9" s="21"/>
      <c r="JCK9" s="21"/>
      <c r="JCL9" s="21"/>
      <c r="JCM9" s="21"/>
      <c r="JCN9" s="21"/>
      <c r="JCO9" s="21"/>
      <c r="JCP9" s="21"/>
      <c r="JCQ9" s="21"/>
      <c r="JCR9" s="21"/>
      <c r="JCS9" s="21"/>
      <c r="JCT9" s="21"/>
      <c r="JCU9" s="21"/>
      <c r="JCV9" s="21"/>
      <c r="JCW9" s="21"/>
      <c r="JCX9" s="21"/>
      <c r="JCY9" s="21"/>
      <c r="JCZ9" s="21"/>
      <c r="JDA9" s="21"/>
      <c r="JDB9" s="21"/>
      <c r="JDC9" s="21"/>
      <c r="JDD9" s="21"/>
      <c r="JDE9" s="21"/>
      <c r="JDF9" s="21"/>
      <c r="JDG9" s="21"/>
      <c r="JDH9" s="21"/>
      <c r="JDI9" s="21"/>
      <c r="JDJ9" s="21"/>
      <c r="JDK9" s="21"/>
      <c r="JDL9" s="21"/>
      <c r="JDM9" s="21"/>
      <c r="JDN9" s="21"/>
      <c r="JDO9" s="21"/>
      <c r="JDP9" s="21"/>
      <c r="JDQ9" s="21"/>
      <c r="JDR9" s="21"/>
      <c r="JDS9" s="21"/>
      <c r="JDT9" s="21"/>
      <c r="JDU9" s="21"/>
      <c r="JDV9" s="21"/>
      <c r="JDW9" s="21"/>
      <c r="JDX9" s="21"/>
      <c r="JDY9" s="21"/>
      <c r="JDZ9" s="21"/>
      <c r="JEA9" s="21"/>
      <c r="JEB9" s="21"/>
      <c r="JEC9" s="21"/>
      <c r="JED9" s="21"/>
      <c r="JEE9" s="21"/>
      <c r="JEF9" s="21"/>
      <c r="JEG9" s="21"/>
      <c r="JEH9" s="21"/>
      <c r="JEI9" s="21"/>
      <c r="JEJ9" s="21"/>
      <c r="JEK9" s="21"/>
      <c r="JEL9" s="21"/>
      <c r="JEM9" s="21"/>
      <c r="JEN9" s="21"/>
      <c r="JEO9" s="21"/>
      <c r="JEP9" s="21"/>
      <c r="JEQ9" s="21"/>
      <c r="JER9" s="21"/>
      <c r="JES9" s="21"/>
      <c r="JET9" s="21"/>
      <c r="JEU9" s="21"/>
      <c r="JEV9" s="21"/>
      <c r="JEW9" s="21"/>
      <c r="JEX9" s="21"/>
      <c r="JEY9" s="21"/>
      <c r="JEZ9" s="21"/>
      <c r="JFA9" s="21"/>
      <c r="JFB9" s="21"/>
      <c r="JFC9" s="21"/>
      <c r="JFD9" s="21"/>
      <c r="JFE9" s="21"/>
      <c r="JFF9" s="21"/>
      <c r="JFG9" s="21"/>
      <c r="JFH9" s="21"/>
      <c r="JFI9" s="21"/>
      <c r="JFJ9" s="21"/>
      <c r="JFK9" s="21"/>
      <c r="JFL9" s="21"/>
      <c r="JFM9" s="21"/>
      <c r="JFN9" s="21"/>
      <c r="JFO9" s="21"/>
      <c r="JFP9" s="21"/>
      <c r="JFQ9" s="21"/>
      <c r="JFR9" s="21"/>
      <c r="JFS9" s="21"/>
      <c r="JFT9" s="21"/>
      <c r="JFU9" s="21"/>
      <c r="JFV9" s="21"/>
      <c r="JFW9" s="21"/>
      <c r="JFX9" s="21"/>
      <c r="JFY9" s="21"/>
      <c r="JFZ9" s="21"/>
      <c r="JGA9" s="21"/>
      <c r="JGB9" s="21"/>
      <c r="JGC9" s="21"/>
      <c r="JGD9" s="21"/>
      <c r="JGE9" s="21"/>
      <c r="JGF9" s="21"/>
      <c r="JGG9" s="21"/>
      <c r="JGH9" s="21"/>
      <c r="JGI9" s="21"/>
      <c r="JGJ9" s="21"/>
      <c r="JGK9" s="21"/>
      <c r="JGL9" s="21"/>
      <c r="JGM9" s="21"/>
      <c r="JGN9" s="21"/>
      <c r="JGO9" s="21"/>
      <c r="JGP9" s="21"/>
      <c r="JGQ9" s="21"/>
      <c r="JGR9" s="21"/>
      <c r="JGS9" s="21"/>
      <c r="JGT9" s="21"/>
      <c r="JGU9" s="21"/>
      <c r="JGV9" s="21"/>
      <c r="JGW9" s="21"/>
      <c r="JGX9" s="21"/>
      <c r="JGY9" s="21"/>
      <c r="JGZ9" s="21"/>
      <c r="JHA9" s="21"/>
      <c r="JHB9" s="21"/>
      <c r="JHC9" s="21"/>
      <c r="JHD9" s="21"/>
      <c r="JHE9" s="21"/>
      <c r="JHF9" s="21"/>
      <c r="JHG9" s="21"/>
      <c r="JHH9" s="21"/>
      <c r="JHI9" s="21"/>
      <c r="JHJ9" s="21"/>
      <c r="JHK9" s="21"/>
      <c r="JHL9" s="21"/>
      <c r="JHM9" s="21"/>
      <c r="JHN9" s="21"/>
      <c r="JHO9" s="21"/>
      <c r="JHP9" s="21"/>
      <c r="JHQ9" s="21"/>
      <c r="JHR9" s="21"/>
      <c r="JHS9" s="21"/>
      <c r="JHT9" s="21"/>
      <c r="JHU9" s="21"/>
      <c r="JHV9" s="21"/>
      <c r="JHW9" s="21"/>
      <c r="JHX9" s="21"/>
      <c r="JHY9" s="21"/>
      <c r="JHZ9" s="21"/>
      <c r="JIA9" s="21"/>
      <c r="JIB9" s="21"/>
      <c r="JIC9" s="21"/>
      <c r="JID9" s="21"/>
      <c r="JIE9" s="21"/>
      <c r="JIF9" s="21"/>
      <c r="JIG9" s="21"/>
      <c r="JIH9" s="21"/>
      <c r="JII9" s="21"/>
      <c r="JIJ9" s="21"/>
      <c r="JIK9" s="21"/>
      <c r="JIL9" s="21"/>
      <c r="JIM9" s="21"/>
      <c r="JIN9" s="21"/>
      <c r="JIO9" s="21"/>
      <c r="JIP9" s="21"/>
      <c r="JIQ9" s="21"/>
      <c r="JIR9" s="21"/>
      <c r="JIS9" s="21"/>
      <c r="JIT9" s="21"/>
      <c r="JIU9" s="21"/>
      <c r="JIV9" s="21"/>
      <c r="JIW9" s="21"/>
      <c r="JIX9" s="21"/>
      <c r="JIY9" s="21"/>
      <c r="JIZ9" s="21"/>
      <c r="JJA9" s="21"/>
      <c r="JJB9" s="21"/>
      <c r="JJC9" s="21"/>
      <c r="JJD9" s="21"/>
      <c r="JJE9" s="21"/>
      <c r="JJF9" s="21"/>
      <c r="JJG9" s="21"/>
      <c r="JJH9" s="21"/>
      <c r="JJI9" s="21"/>
      <c r="JJJ9" s="21"/>
      <c r="JJK9" s="21"/>
      <c r="JJL9" s="21"/>
      <c r="JJM9" s="21"/>
      <c r="JJN9" s="21"/>
      <c r="JJO9" s="21"/>
      <c r="JJP9" s="21"/>
      <c r="JJQ9" s="21"/>
      <c r="JJR9" s="21"/>
      <c r="JJS9" s="21"/>
      <c r="JJT9" s="21"/>
      <c r="JJU9" s="21"/>
      <c r="JJV9" s="21"/>
      <c r="JJW9" s="21"/>
      <c r="JJX9" s="21"/>
      <c r="JJY9" s="21"/>
      <c r="JJZ9" s="21"/>
      <c r="JKA9" s="21"/>
      <c r="JKB9" s="21"/>
      <c r="JKC9" s="21"/>
      <c r="JKD9" s="21"/>
      <c r="JKE9" s="21"/>
      <c r="JKF9" s="21"/>
      <c r="JKG9" s="21"/>
      <c r="JKH9" s="21"/>
      <c r="JKI9" s="21"/>
      <c r="JKJ9" s="21"/>
      <c r="JKK9" s="21"/>
      <c r="JKL9" s="21"/>
      <c r="JKM9" s="21"/>
      <c r="JKN9" s="21"/>
      <c r="JKO9" s="21"/>
      <c r="JKP9" s="21"/>
      <c r="JKQ9" s="21"/>
      <c r="JKR9" s="21"/>
      <c r="JKS9" s="21"/>
      <c r="JKT9" s="21"/>
      <c r="JKU9" s="21"/>
      <c r="JKV9" s="21"/>
      <c r="JKW9" s="21"/>
      <c r="JKX9" s="21"/>
      <c r="JKY9" s="21"/>
      <c r="JKZ9" s="21"/>
      <c r="JLA9" s="21"/>
      <c r="JLB9" s="21"/>
      <c r="JLC9" s="21"/>
      <c r="JLD9" s="21"/>
      <c r="JLE9" s="21"/>
      <c r="JLF9" s="21"/>
      <c r="JLG9" s="21"/>
      <c r="JLH9" s="21"/>
      <c r="JLI9" s="21"/>
      <c r="JLJ9" s="21"/>
      <c r="JLK9" s="21"/>
      <c r="JLL9" s="21"/>
      <c r="JLM9" s="21"/>
      <c r="JLN9" s="21"/>
      <c r="JLO9" s="21"/>
      <c r="JLP9" s="21"/>
      <c r="JLQ9" s="21"/>
      <c r="JLR9" s="21"/>
      <c r="JLS9" s="21"/>
      <c r="JLT9" s="21"/>
      <c r="JLU9" s="21"/>
      <c r="JLV9" s="21"/>
      <c r="JLW9" s="21"/>
      <c r="JLX9" s="21"/>
      <c r="JLY9" s="21"/>
      <c r="JLZ9" s="21"/>
      <c r="JMA9" s="21"/>
      <c r="JMB9" s="21"/>
      <c r="JMC9" s="21"/>
      <c r="JMD9" s="21"/>
      <c r="JME9" s="21"/>
      <c r="JMF9" s="21"/>
      <c r="JMG9" s="21"/>
      <c r="JMH9" s="21"/>
      <c r="JMI9" s="21"/>
      <c r="JMJ9" s="21"/>
      <c r="JMK9" s="21"/>
      <c r="JML9" s="21"/>
      <c r="JMM9" s="21"/>
      <c r="JMN9" s="21"/>
      <c r="JMO9" s="21"/>
      <c r="JMP9" s="21"/>
      <c r="JMQ9" s="21"/>
      <c r="JMR9" s="21"/>
      <c r="JMS9" s="21"/>
      <c r="JMT9" s="21"/>
      <c r="JMU9" s="21"/>
      <c r="JMV9" s="21"/>
      <c r="JMW9" s="21"/>
      <c r="JMX9" s="21"/>
      <c r="JMY9" s="21"/>
      <c r="JMZ9" s="21"/>
      <c r="JNA9" s="21"/>
      <c r="JNB9" s="21"/>
      <c r="JNC9" s="21"/>
      <c r="JND9" s="21"/>
      <c r="JNE9" s="21"/>
      <c r="JNF9" s="21"/>
      <c r="JNG9" s="21"/>
      <c r="JNH9" s="21"/>
      <c r="JNI9" s="21"/>
      <c r="JNJ9" s="21"/>
      <c r="JNK9" s="21"/>
      <c r="JNL9" s="21"/>
      <c r="JNM9" s="21"/>
      <c r="JNN9" s="21"/>
      <c r="JNO9" s="21"/>
      <c r="JNP9" s="21"/>
      <c r="JNQ9" s="21"/>
      <c r="JNR9" s="21"/>
      <c r="JNS9" s="21"/>
      <c r="JNT9" s="21"/>
      <c r="JNU9" s="21"/>
      <c r="JNV9" s="21"/>
      <c r="JNW9" s="21"/>
      <c r="JNX9" s="21"/>
      <c r="JNY9" s="21"/>
      <c r="JNZ9" s="21"/>
      <c r="JOA9" s="21"/>
      <c r="JOB9" s="21"/>
      <c r="JOC9" s="21"/>
      <c r="JOD9" s="21"/>
      <c r="JOE9" s="21"/>
      <c r="JOF9" s="21"/>
      <c r="JOG9" s="21"/>
      <c r="JOH9" s="21"/>
      <c r="JOI9" s="21"/>
      <c r="JOJ9" s="21"/>
      <c r="JOK9" s="21"/>
      <c r="JOL9" s="21"/>
      <c r="JOM9" s="21"/>
      <c r="JON9" s="21"/>
      <c r="JOO9" s="21"/>
      <c r="JOP9" s="21"/>
      <c r="JOQ9" s="21"/>
      <c r="JOR9" s="21"/>
      <c r="JOS9" s="21"/>
      <c r="JOT9" s="21"/>
      <c r="JOU9" s="21"/>
      <c r="JOV9" s="21"/>
      <c r="JOW9" s="21"/>
      <c r="JOX9" s="21"/>
      <c r="JOY9" s="21"/>
      <c r="JOZ9" s="21"/>
      <c r="JPA9" s="21"/>
      <c r="JPB9" s="21"/>
      <c r="JPC9" s="21"/>
      <c r="JPD9" s="21"/>
      <c r="JPE9" s="21"/>
      <c r="JPF9" s="21"/>
      <c r="JPG9" s="21"/>
      <c r="JPH9" s="21"/>
      <c r="JPI9" s="21"/>
      <c r="JPJ9" s="21"/>
      <c r="JPK9" s="21"/>
      <c r="JPL9" s="21"/>
      <c r="JPM9" s="21"/>
      <c r="JPN9" s="21"/>
      <c r="JPO9" s="21"/>
      <c r="JPP9" s="21"/>
      <c r="JPQ9" s="21"/>
      <c r="JPR9" s="21"/>
      <c r="JPS9" s="21"/>
      <c r="JPT9" s="21"/>
      <c r="JPU9" s="21"/>
      <c r="JPV9" s="21"/>
      <c r="JPW9" s="21"/>
      <c r="JPX9" s="21"/>
      <c r="JPY9" s="21"/>
      <c r="JPZ9" s="21"/>
      <c r="JQA9" s="21"/>
      <c r="JQB9" s="21"/>
      <c r="JQC9" s="21"/>
      <c r="JQD9" s="21"/>
      <c r="JQE9" s="21"/>
      <c r="JQF9" s="21"/>
      <c r="JQG9" s="21"/>
      <c r="JQH9" s="21"/>
      <c r="JQI9" s="21"/>
      <c r="JQJ9" s="21"/>
      <c r="JQK9" s="21"/>
      <c r="JQL9" s="21"/>
      <c r="JQM9" s="21"/>
      <c r="JQN9" s="21"/>
      <c r="JQO9" s="21"/>
      <c r="JQP9" s="21"/>
      <c r="JQQ9" s="21"/>
      <c r="JQR9" s="21"/>
      <c r="JQS9" s="21"/>
      <c r="JQT9" s="21"/>
      <c r="JQU9" s="21"/>
      <c r="JQV9" s="21"/>
      <c r="JQW9" s="21"/>
      <c r="JQX9" s="21"/>
      <c r="JQY9" s="21"/>
      <c r="JQZ9" s="21"/>
      <c r="JRA9" s="21"/>
      <c r="JRB9" s="21"/>
      <c r="JRC9" s="21"/>
      <c r="JRD9" s="21"/>
      <c r="JRE9" s="21"/>
      <c r="JRF9" s="21"/>
      <c r="JRG9" s="21"/>
      <c r="JRH9" s="21"/>
      <c r="JRI9" s="21"/>
      <c r="JRJ9" s="21"/>
      <c r="JRK9" s="21"/>
      <c r="JRL9" s="21"/>
      <c r="JRM9" s="21"/>
      <c r="JRN9" s="21"/>
      <c r="JRO9" s="21"/>
      <c r="JRP9" s="21"/>
      <c r="JRQ9" s="21"/>
      <c r="JRR9" s="21"/>
      <c r="JRS9" s="21"/>
      <c r="JRT9" s="21"/>
      <c r="JRU9" s="21"/>
      <c r="JRV9" s="21"/>
      <c r="JRW9" s="21"/>
      <c r="JRX9" s="21"/>
      <c r="JRY9" s="21"/>
      <c r="JRZ9" s="21"/>
      <c r="JSA9" s="21"/>
      <c r="JSB9" s="21"/>
      <c r="JSC9" s="21"/>
      <c r="JSD9" s="21"/>
      <c r="JSE9" s="21"/>
      <c r="JSF9" s="21"/>
      <c r="JSG9" s="21"/>
      <c r="JSH9" s="21"/>
      <c r="JSI9" s="21"/>
      <c r="JSJ9" s="21"/>
      <c r="JSK9" s="21"/>
      <c r="JSL9" s="21"/>
      <c r="JSM9" s="21"/>
      <c r="JSN9" s="21"/>
      <c r="JSO9" s="21"/>
      <c r="JSP9" s="21"/>
      <c r="JSQ9" s="21"/>
      <c r="JSR9" s="21"/>
      <c r="JSS9" s="21"/>
      <c r="JST9" s="21"/>
      <c r="JSU9" s="21"/>
      <c r="JSV9" s="21"/>
      <c r="JSW9" s="21"/>
      <c r="JSX9" s="21"/>
      <c r="JSY9" s="21"/>
      <c r="JSZ9" s="21"/>
      <c r="JTA9" s="21"/>
      <c r="JTB9" s="21"/>
      <c r="JTC9" s="21"/>
      <c r="JTD9" s="21"/>
      <c r="JTE9" s="21"/>
      <c r="JTF9" s="21"/>
      <c r="JTG9" s="21"/>
      <c r="JTH9" s="21"/>
      <c r="JTI9" s="21"/>
      <c r="JTJ9" s="21"/>
      <c r="JTK9" s="21"/>
      <c r="JTL9" s="21"/>
      <c r="JTM9" s="21"/>
      <c r="JTN9" s="21"/>
      <c r="JTO9" s="21"/>
      <c r="JTP9" s="21"/>
      <c r="JTQ9" s="21"/>
      <c r="JTR9" s="21"/>
      <c r="JTS9" s="21"/>
      <c r="JTT9" s="21"/>
      <c r="JTU9" s="21"/>
      <c r="JTV9" s="21"/>
      <c r="JTW9" s="21"/>
      <c r="JTX9" s="21"/>
      <c r="JTY9" s="21"/>
      <c r="JTZ9" s="21"/>
      <c r="JUA9" s="21"/>
      <c r="JUB9" s="21"/>
      <c r="JUC9" s="21"/>
      <c r="JUD9" s="21"/>
      <c r="JUE9" s="21"/>
      <c r="JUF9" s="21"/>
      <c r="JUG9" s="21"/>
      <c r="JUH9" s="21"/>
      <c r="JUI9" s="21"/>
      <c r="JUJ9" s="21"/>
      <c r="JUK9" s="21"/>
      <c r="JUL9" s="21"/>
      <c r="JUM9" s="21"/>
      <c r="JUN9" s="21"/>
      <c r="JUO9" s="21"/>
      <c r="JUP9" s="21"/>
      <c r="JUQ9" s="21"/>
      <c r="JUR9" s="21"/>
      <c r="JUS9" s="21"/>
      <c r="JUT9" s="21"/>
      <c r="JUU9" s="21"/>
      <c r="JUV9" s="21"/>
      <c r="JUW9" s="21"/>
      <c r="JUX9" s="21"/>
      <c r="JUY9" s="21"/>
      <c r="JUZ9" s="21"/>
      <c r="JVA9" s="21"/>
      <c r="JVB9" s="21"/>
      <c r="JVC9" s="21"/>
      <c r="JVD9" s="21"/>
      <c r="JVE9" s="21"/>
      <c r="JVF9" s="21"/>
      <c r="JVG9" s="21"/>
      <c r="JVH9" s="21"/>
      <c r="JVI9" s="21"/>
      <c r="JVJ9" s="21"/>
      <c r="JVK9" s="21"/>
      <c r="JVL9" s="21"/>
      <c r="JVM9" s="21"/>
      <c r="JVN9" s="21"/>
      <c r="JVO9" s="21"/>
      <c r="JVP9" s="21"/>
      <c r="JVQ9" s="21"/>
      <c r="JVR9" s="21"/>
      <c r="JVS9" s="21"/>
      <c r="JVT9" s="21"/>
      <c r="JVU9" s="21"/>
      <c r="JVV9" s="21"/>
      <c r="JVW9" s="21"/>
      <c r="JVX9" s="21"/>
      <c r="JVY9" s="21"/>
      <c r="JVZ9" s="21"/>
      <c r="JWA9" s="21"/>
      <c r="JWB9" s="21"/>
      <c r="JWC9" s="21"/>
      <c r="JWD9" s="21"/>
      <c r="JWE9" s="21"/>
      <c r="JWF9" s="21"/>
      <c r="JWG9" s="21"/>
      <c r="JWH9" s="21"/>
      <c r="JWI9" s="21"/>
      <c r="JWJ9" s="21"/>
      <c r="JWK9" s="21"/>
      <c r="JWL9" s="21"/>
      <c r="JWM9" s="21"/>
      <c r="JWN9" s="21"/>
      <c r="JWO9" s="21"/>
      <c r="JWP9" s="21"/>
      <c r="JWQ9" s="21"/>
      <c r="JWR9" s="21"/>
      <c r="JWS9" s="21"/>
      <c r="JWT9" s="21"/>
      <c r="JWU9" s="21"/>
      <c r="JWV9" s="21"/>
      <c r="JWW9" s="21"/>
      <c r="JWX9" s="21"/>
      <c r="JWY9" s="21"/>
      <c r="JWZ9" s="21"/>
      <c r="JXA9" s="21"/>
      <c r="JXB9" s="21"/>
      <c r="JXC9" s="21"/>
      <c r="JXD9" s="21"/>
      <c r="JXE9" s="21"/>
      <c r="JXF9" s="21"/>
      <c r="JXG9" s="21"/>
      <c r="JXH9" s="21"/>
      <c r="JXI9" s="21"/>
      <c r="JXJ9" s="21"/>
      <c r="JXK9" s="21"/>
      <c r="JXL9" s="21"/>
      <c r="JXM9" s="21"/>
      <c r="JXN9" s="21"/>
      <c r="JXO9" s="21"/>
      <c r="JXP9" s="21"/>
      <c r="JXQ9" s="21"/>
      <c r="JXR9" s="21"/>
      <c r="JXS9" s="21"/>
      <c r="JXT9" s="21"/>
      <c r="JXU9" s="21"/>
      <c r="JXV9" s="21"/>
      <c r="JXW9" s="21"/>
      <c r="JXX9" s="21"/>
      <c r="JXY9" s="21"/>
      <c r="JXZ9" s="21"/>
      <c r="JYA9" s="21"/>
      <c r="JYB9" s="21"/>
      <c r="JYC9" s="21"/>
      <c r="JYD9" s="21"/>
      <c r="JYE9" s="21"/>
      <c r="JYF9" s="21"/>
      <c r="JYG9" s="21"/>
      <c r="JYH9" s="21"/>
      <c r="JYI9" s="21"/>
      <c r="JYJ9" s="21"/>
      <c r="JYK9" s="21"/>
      <c r="JYL9" s="21"/>
      <c r="JYM9" s="21"/>
      <c r="JYN9" s="21"/>
      <c r="JYO9" s="21"/>
      <c r="JYP9" s="21"/>
      <c r="JYQ9" s="21"/>
      <c r="JYR9" s="21"/>
      <c r="JYS9" s="21"/>
      <c r="JYT9" s="21"/>
      <c r="JYU9" s="21"/>
      <c r="JYV9" s="21"/>
      <c r="JYW9" s="21"/>
      <c r="JYX9" s="21"/>
      <c r="JYY9" s="21"/>
      <c r="JYZ9" s="21"/>
      <c r="JZA9" s="21"/>
      <c r="JZB9" s="21"/>
      <c r="JZC9" s="21"/>
      <c r="JZD9" s="21"/>
      <c r="JZE9" s="21"/>
      <c r="JZF9" s="21"/>
      <c r="JZG9" s="21"/>
      <c r="JZH9" s="21"/>
      <c r="JZI9" s="21"/>
      <c r="JZJ9" s="21"/>
      <c r="JZK9" s="21"/>
      <c r="JZL9" s="21"/>
      <c r="JZM9" s="21"/>
      <c r="JZN9" s="21"/>
      <c r="JZO9" s="21"/>
      <c r="JZP9" s="21"/>
      <c r="JZQ9" s="21"/>
      <c r="JZR9" s="21"/>
      <c r="JZS9" s="21"/>
      <c r="JZT9" s="21"/>
      <c r="JZU9" s="21"/>
      <c r="JZV9" s="21"/>
      <c r="JZW9" s="21"/>
      <c r="JZX9" s="21"/>
      <c r="JZY9" s="21"/>
      <c r="JZZ9" s="21"/>
      <c r="KAA9" s="21"/>
      <c r="KAB9" s="21"/>
      <c r="KAC9" s="21"/>
      <c r="KAD9" s="21"/>
      <c r="KAE9" s="21"/>
      <c r="KAF9" s="21"/>
      <c r="KAG9" s="21"/>
      <c r="KAH9" s="21"/>
      <c r="KAI9" s="21"/>
      <c r="KAJ9" s="21"/>
      <c r="KAK9" s="21"/>
      <c r="KAL9" s="21"/>
      <c r="KAM9" s="21"/>
      <c r="KAN9" s="21"/>
      <c r="KAO9" s="21"/>
      <c r="KAP9" s="21"/>
      <c r="KAQ9" s="21"/>
      <c r="KAR9" s="21"/>
      <c r="KAS9" s="21"/>
      <c r="KAT9" s="21"/>
      <c r="KAU9" s="21"/>
      <c r="KAV9" s="21"/>
      <c r="KAW9" s="21"/>
      <c r="KAX9" s="21"/>
      <c r="KAY9" s="21"/>
      <c r="KAZ9" s="21"/>
      <c r="KBA9" s="21"/>
      <c r="KBB9" s="21"/>
      <c r="KBC9" s="21"/>
      <c r="KBD9" s="21"/>
      <c r="KBE9" s="21"/>
      <c r="KBF9" s="21"/>
      <c r="KBG9" s="21"/>
      <c r="KBH9" s="21"/>
      <c r="KBI9" s="21"/>
      <c r="KBJ9" s="21"/>
      <c r="KBK9" s="21"/>
      <c r="KBL9" s="21"/>
      <c r="KBM9" s="21"/>
      <c r="KBN9" s="21"/>
      <c r="KBO9" s="21"/>
      <c r="KBP9" s="21"/>
      <c r="KBQ9" s="21"/>
      <c r="KBR9" s="21"/>
      <c r="KBS9" s="21"/>
      <c r="KBT9" s="21"/>
      <c r="KBU9" s="21"/>
      <c r="KBV9" s="21"/>
      <c r="KBW9" s="21"/>
      <c r="KBX9" s="21"/>
      <c r="KBY9" s="21"/>
      <c r="KBZ9" s="21"/>
      <c r="KCA9" s="21"/>
      <c r="KCB9" s="21"/>
      <c r="KCC9" s="21"/>
      <c r="KCD9" s="21"/>
      <c r="KCE9" s="21"/>
      <c r="KCF9" s="21"/>
      <c r="KCG9" s="21"/>
      <c r="KCH9" s="21"/>
      <c r="KCI9" s="21"/>
      <c r="KCJ9" s="21"/>
      <c r="KCK9" s="21"/>
      <c r="KCL9" s="21"/>
      <c r="KCM9" s="21"/>
      <c r="KCN9" s="21"/>
      <c r="KCO9" s="21"/>
      <c r="KCP9" s="21"/>
      <c r="KCQ9" s="21"/>
      <c r="KCR9" s="21"/>
      <c r="KCS9" s="21"/>
      <c r="KCT9" s="21"/>
      <c r="KCU9" s="21"/>
      <c r="KCV9" s="21"/>
      <c r="KCW9" s="21"/>
      <c r="KCX9" s="21"/>
      <c r="KCY9" s="21"/>
      <c r="KCZ9" s="21"/>
      <c r="KDA9" s="21"/>
      <c r="KDB9" s="21"/>
      <c r="KDC9" s="21"/>
      <c r="KDD9" s="21"/>
      <c r="KDE9" s="21"/>
      <c r="KDF9" s="21"/>
      <c r="KDG9" s="21"/>
      <c r="KDH9" s="21"/>
      <c r="KDI9" s="21"/>
      <c r="KDJ9" s="21"/>
      <c r="KDK9" s="21"/>
      <c r="KDL9" s="21"/>
      <c r="KDM9" s="21"/>
      <c r="KDN9" s="21"/>
      <c r="KDO9" s="21"/>
      <c r="KDP9" s="21"/>
      <c r="KDQ9" s="21"/>
      <c r="KDR9" s="21"/>
      <c r="KDS9" s="21"/>
      <c r="KDT9" s="21"/>
      <c r="KDU9" s="21"/>
      <c r="KDV9" s="21"/>
      <c r="KDW9" s="21"/>
      <c r="KDX9" s="21"/>
      <c r="KDY9" s="21"/>
      <c r="KDZ9" s="21"/>
      <c r="KEA9" s="21"/>
      <c r="KEB9" s="21"/>
      <c r="KEC9" s="21"/>
      <c r="KED9" s="21"/>
      <c r="KEE9" s="21"/>
      <c r="KEF9" s="21"/>
      <c r="KEG9" s="21"/>
      <c r="KEH9" s="21"/>
      <c r="KEI9" s="21"/>
      <c r="KEJ9" s="21"/>
      <c r="KEK9" s="21"/>
      <c r="KEL9" s="21"/>
      <c r="KEM9" s="21"/>
      <c r="KEN9" s="21"/>
      <c r="KEO9" s="21"/>
      <c r="KEP9" s="21"/>
      <c r="KEQ9" s="21"/>
      <c r="KER9" s="21"/>
      <c r="KES9" s="21"/>
      <c r="KET9" s="21"/>
      <c r="KEU9" s="21"/>
      <c r="KEV9" s="21"/>
      <c r="KEW9" s="21"/>
      <c r="KEX9" s="21"/>
      <c r="KEY9" s="21"/>
      <c r="KEZ9" s="21"/>
      <c r="KFA9" s="21"/>
      <c r="KFB9" s="21"/>
      <c r="KFC9" s="21"/>
      <c r="KFD9" s="21"/>
      <c r="KFE9" s="21"/>
      <c r="KFF9" s="21"/>
      <c r="KFG9" s="21"/>
      <c r="KFH9" s="21"/>
      <c r="KFI9" s="21"/>
      <c r="KFJ9" s="21"/>
      <c r="KFK9" s="21"/>
      <c r="KFL9" s="21"/>
      <c r="KFM9" s="21"/>
      <c r="KFN9" s="21"/>
      <c r="KFO9" s="21"/>
      <c r="KFP9" s="21"/>
      <c r="KFQ9" s="21"/>
      <c r="KFR9" s="21"/>
      <c r="KFS9" s="21"/>
      <c r="KFT9" s="21"/>
      <c r="KFU9" s="21"/>
      <c r="KFV9" s="21"/>
      <c r="KFW9" s="21"/>
      <c r="KFX9" s="21"/>
      <c r="KFY9" s="21"/>
      <c r="KFZ9" s="21"/>
      <c r="KGA9" s="21"/>
      <c r="KGB9" s="21"/>
      <c r="KGC9" s="21"/>
      <c r="KGD9" s="21"/>
      <c r="KGE9" s="21"/>
      <c r="KGF9" s="21"/>
      <c r="KGG9" s="21"/>
      <c r="KGH9" s="21"/>
      <c r="KGI9" s="21"/>
      <c r="KGJ9" s="21"/>
      <c r="KGK9" s="21"/>
      <c r="KGL9" s="21"/>
      <c r="KGM9" s="21"/>
      <c r="KGN9" s="21"/>
      <c r="KGO9" s="21"/>
      <c r="KGP9" s="21"/>
      <c r="KGQ9" s="21"/>
      <c r="KGR9" s="21"/>
      <c r="KGS9" s="21"/>
      <c r="KGT9" s="21"/>
      <c r="KGU9" s="21"/>
      <c r="KGV9" s="21"/>
      <c r="KGW9" s="21"/>
      <c r="KGX9" s="21"/>
      <c r="KGY9" s="21"/>
      <c r="KGZ9" s="21"/>
      <c r="KHA9" s="21"/>
      <c r="KHB9" s="21"/>
      <c r="KHC9" s="21"/>
      <c r="KHD9" s="21"/>
      <c r="KHE9" s="21"/>
      <c r="KHF9" s="21"/>
      <c r="KHG9" s="21"/>
      <c r="KHH9" s="21"/>
      <c r="KHI9" s="21"/>
      <c r="KHJ9" s="21"/>
      <c r="KHK9" s="21"/>
      <c r="KHL9" s="21"/>
      <c r="KHM9" s="21"/>
      <c r="KHN9" s="21"/>
      <c r="KHO9" s="21"/>
      <c r="KHP9" s="21"/>
      <c r="KHQ9" s="21"/>
      <c r="KHR9" s="21"/>
      <c r="KHS9" s="21"/>
      <c r="KHT9" s="21"/>
      <c r="KHU9" s="21"/>
      <c r="KHV9" s="21"/>
      <c r="KHW9" s="21"/>
      <c r="KHX9" s="21"/>
      <c r="KHY9" s="21"/>
      <c r="KHZ9" s="21"/>
      <c r="KIA9" s="21"/>
      <c r="KIB9" s="21"/>
      <c r="KIC9" s="21"/>
      <c r="KID9" s="21"/>
      <c r="KIE9" s="21"/>
      <c r="KIF9" s="21"/>
      <c r="KIG9" s="21"/>
      <c r="KIH9" s="21"/>
      <c r="KII9" s="21"/>
      <c r="KIJ9" s="21"/>
      <c r="KIK9" s="21"/>
      <c r="KIL9" s="21"/>
      <c r="KIM9" s="21"/>
      <c r="KIN9" s="21"/>
      <c r="KIO9" s="21"/>
      <c r="KIP9" s="21"/>
      <c r="KIQ9" s="21"/>
      <c r="KIR9" s="21"/>
      <c r="KIS9" s="21"/>
      <c r="KIT9" s="21"/>
      <c r="KIU9" s="21"/>
      <c r="KIV9" s="21"/>
      <c r="KIW9" s="21"/>
      <c r="KIX9" s="21"/>
      <c r="KIY9" s="21"/>
      <c r="KIZ9" s="21"/>
      <c r="KJA9" s="21"/>
      <c r="KJB9" s="21"/>
      <c r="KJC9" s="21"/>
      <c r="KJD9" s="21"/>
      <c r="KJE9" s="21"/>
      <c r="KJF9" s="21"/>
      <c r="KJG9" s="21"/>
      <c r="KJH9" s="21"/>
      <c r="KJI9" s="21"/>
      <c r="KJJ9" s="21"/>
      <c r="KJK9" s="21"/>
      <c r="KJL9" s="21"/>
      <c r="KJM9" s="21"/>
      <c r="KJN9" s="21"/>
      <c r="KJO9" s="21"/>
      <c r="KJP9" s="21"/>
      <c r="KJQ9" s="21"/>
      <c r="KJR9" s="21"/>
      <c r="KJS9" s="21"/>
      <c r="KJT9" s="21"/>
      <c r="KJU9" s="21"/>
      <c r="KJV9" s="21"/>
      <c r="KJW9" s="21"/>
      <c r="KJX9" s="21"/>
      <c r="KJY9" s="21"/>
      <c r="KJZ9" s="21"/>
      <c r="KKA9" s="21"/>
      <c r="KKB9" s="21"/>
      <c r="KKC9" s="21"/>
      <c r="KKD9" s="21"/>
      <c r="KKE9" s="21"/>
      <c r="KKF9" s="21"/>
      <c r="KKG9" s="21"/>
      <c r="KKH9" s="21"/>
      <c r="KKI9" s="21"/>
      <c r="KKJ9" s="21"/>
      <c r="KKK9" s="21"/>
      <c r="KKL9" s="21"/>
      <c r="KKM9" s="21"/>
      <c r="KKN9" s="21"/>
      <c r="KKO9" s="21"/>
      <c r="KKP9" s="21"/>
      <c r="KKQ9" s="21"/>
      <c r="KKR9" s="21"/>
      <c r="KKS9" s="21"/>
      <c r="KKT9" s="21"/>
      <c r="KKU9" s="21"/>
      <c r="KKV9" s="21"/>
      <c r="KKW9" s="21"/>
      <c r="KKX9" s="21"/>
      <c r="KKY9" s="21"/>
      <c r="KKZ9" s="21"/>
      <c r="KLA9" s="21"/>
      <c r="KLB9" s="21"/>
      <c r="KLC9" s="21"/>
      <c r="KLD9" s="21"/>
      <c r="KLE9" s="21"/>
      <c r="KLF9" s="21"/>
      <c r="KLG9" s="21"/>
      <c r="KLH9" s="21"/>
      <c r="KLI9" s="21"/>
      <c r="KLJ9" s="21"/>
      <c r="KLK9" s="21"/>
      <c r="KLL9" s="21"/>
      <c r="KLM9" s="21"/>
      <c r="KLN9" s="21"/>
      <c r="KLO9" s="21"/>
      <c r="KLP9" s="21"/>
      <c r="KLQ9" s="21"/>
      <c r="KLR9" s="21"/>
      <c r="KLS9" s="21"/>
      <c r="KLT9" s="21"/>
      <c r="KLU9" s="21"/>
      <c r="KLV9" s="21"/>
      <c r="KLW9" s="21"/>
      <c r="KLX9" s="21"/>
      <c r="KLY9" s="21"/>
      <c r="KLZ9" s="21"/>
      <c r="KMA9" s="21"/>
      <c r="KMB9" s="21"/>
      <c r="KMC9" s="21"/>
      <c r="KMD9" s="21"/>
      <c r="KME9" s="21"/>
      <c r="KMF9" s="21"/>
      <c r="KMG9" s="21"/>
      <c r="KMH9" s="21"/>
      <c r="KMI9" s="21"/>
      <c r="KMJ9" s="21"/>
      <c r="KMK9" s="21"/>
      <c r="KML9" s="21"/>
      <c r="KMM9" s="21"/>
      <c r="KMN9" s="21"/>
      <c r="KMO9" s="21"/>
      <c r="KMP9" s="21"/>
      <c r="KMQ9" s="21"/>
      <c r="KMR9" s="21"/>
      <c r="KMS9" s="21"/>
      <c r="KMT9" s="21"/>
      <c r="KMU9" s="21"/>
      <c r="KMV9" s="21"/>
      <c r="KMW9" s="21"/>
      <c r="KMX9" s="21"/>
      <c r="KMY9" s="21"/>
      <c r="KMZ9" s="21"/>
      <c r="KNA9" s="21"/>
      <c r="KNB9" s="21"/>
      <c r="KNC9" s="21"/>
      <c r="KND9" s="21"/>
      <c r="KNE9" s="21"/>
      <c r="KNF9" s="21"/>
      <c r="KNG9" s="21"/>
      <c r="KNH9" s="21"/>
      <c r="KNI9" s="21"/>
      <c r="KNJ9" s="21"/>
      <c r="KNK9" s="21"/>
      <c r="KNL9" s="21"/>
      <c r="KNM9" s="21"/>
      <c r="KNN9" s="21"/>
      <c r="KNO9" s="21"/>
      <c r="KNP9" s="21"/>
      <c r="KNQ9" s="21"/>
      <c r="KNR9" s="21"/>
      <c r="KNS9" s="21"/>
      <c r="KNT9" s="21"/>
      <c r="KNU9" s="21"/>
      <c r="KNV9" s="21"/>
      <c r="KNW9" s="21"/>
      <c r="KNX9" s="21"/>
      <c r="KNY9" s="21"/>
      <c r="KNZ9" s="21"/>
      <c r="KOA9" s="21"/>
      <c r="KOB9" s="21"/>
      <c r="KOC9" s="21"/>
      <c r="KOD9" s="21"/>
      <c r="KOE9" s="21"/>
      <c r="KOF9" s="21"/>
      <c r="KOG9" s="21"/>
      <c r="KOH9" s="21"/>
      <c r="KOI9" s="21"/>
      <c r="KOJ9" s="21"/>
      <c r="KOK9" s="21"/>
      <c r="KOL9" s="21"/>
      <c r="KOM9" s="21"/>
      <c r="KON9" s="21"/>
      <c r="KOO9" s="21"/>
      <c r="KOP9" s="21"/>
      <c r="KOQ9" s="21"/>
      <c r="KOR9" s="21"/>
      <c r="KOS9" s="21"/>
      <c r="KOT9" s="21"/>
      <c r="KOU9" s="21"/>
      <c r="KOV9" s="21"/>
      <c r="KOW9" s="21"/>
      <c r="KOX9" s="21"/>
      <c r="KOY9" s="21"/>
      <c r="KOZ9" s="21"/>
      <c r="KPA9" s="21"/>
      <c r="KPB9" s="21"/>
      <c r="KPC9" s="21"/>
      <c r="KPD9" s="21"/>
      <c r="KPE9" s="21"/>
      <c r="KPF9" s="21"/>
      <c r="KPG9" s="21"/>
      <c r="KPH9" s="21"/>
      <c r="KPI9" s="21"/>
      <c r="KPJ9" s="21"/>
      <c r="KPK9" s="21"/>
      <c r="KPL9" s="21"/>
      <c r="KPM9" s="21"/>
      <c r="KPN9" s="21"/>
      <c r="KPO9" s="21"/>
      <c r="KPP9" s="21"/>
      <c r="KPQ9" s="21"/>
      <c r="KPR9" s="21"/>
      <c r="KPS9" s="21"/>
      <c r="KPT9" s="21"/>
      <c r="KPU9" s="21"/>
      <c r="KPV9" s="21"/>
      <c r="KPW9" s="21"/>
      <c r="KPX9" s="21"/>
      <c r="KPY9" s="21"/>
      <c r="KPZ9" s="21"/>
      <c r="KQA9" s="21"/>
      <c r="KQB9" s="21"/>
      <c r="KQC9" s="21"/>
      <c r="KQD9" s="21"/>
      <c r="KQE9" s="21"/>
      <c r="KQF9" s="21"/>
      <c r="KQG9" s="21"/>
      <c r="KQH9" s="21"/>
      <c r="KQI9" s="21"/>
      <c r="KQJ9" s="21"/>
      <c r="KQK9" s="21"/>
      <c r="KQL9" s="21"/>
      <c r="KQM9" s="21"/>
      <c r="KQN9" s="21"/>
      <c r="KQO9" s="21"/>
      <c r="KQP9" s="21"/>
      <c r="KQQ9" s="21"/>
      <c r="KQR9" s="21"/>
      <c r="KQS9" s="21"/>
      <c r="KQT9" s="21"/>
      <c r="KQU9" s="21"/>
      <c r="KQV9" s="21"/>
      <c r="KQW9" s="21"/>
      <c r="KQX9" s="21"/>
      <c r="KQY9" s="21"/>
      <c r="KQZ9" s="21"/>
      <c r="KRA9" s="21"/>
      <c r="KRB9" s="21"/>
      <c r="KRC9" s="21"/>
      <c r="KRD9" s="21"/>
      <c r="KRE9" s="21"/>
      <c r="KRF9" s="21"/>
      <c r="KRG9" s="21"/>
      <c r="KRH9" s="21"/>
      <c r="KRI9" s="21"/>
      <c r="KRJ9" s="21"/>
      <c r="KRK9" s="21"/>
      <c r="KRL9" s="21"/>
      <c r="KRM9" s="21"/>
      <c r="KRN9" s="21"/>
      <c r="KRO9" s="21"/>
      <c r="KRP9" s="21"/>
      <c r="KRQ9" s="21"/>
      <c r="KRR9" s="21"/>
      <c r="KRS9" s="21"/>
      <c r="KRT9" s="21"/>
      <c r="KRU9" s="21"/>
      <c r="KRV9" s="21"/>
      <c r="KRW9" s="21"/>
      <c r="KRX9" s="21"/>
      <c r="KRY9" s="21"/>
      <c r="KRZ9" s="21"/>
      <c r="KSA9" s="21"/>
      <c r="KSB9" s="21"/>
      <c r="KSC9" s="21"/>
      <c r="KSD9" s="21"/>
      <c r="KSE9" s="21"/>
      <c r="KSF9" s="21"/>
      <c r="KSG9" s="21"/>
      <c r="KSH9" s="21"/>
      <c r="KSI9" s="21"/>
      <c r="KSJ9" s="21"/>
      <c r="KSK9" s="21"/>
      <c r="KSL9" s="21"/>
      <c r="KSM9" s="21"/>
      <c r="KSN9" s="21"/>
      <c r="KSO9" s="21"/>
      <c r="KSP9" s="21"/>
      <c r="KSQ9" s="21"/>
      <c r="KSR9" s="21"/>
      <c r="KSS9" s="21"/>
      <c r="KST9" s="21"/>
      <c r="KSU9" s="21"/>
      <c r="KSV9" s="21"/>
      <c r="KSW9" s="21"/>
      <c r="KSX9" s="21"/>
      <c r="KSY9" s="21"/>
      <c r="KSZ9" s="21"/>
      <c r="KTA9" s="21"/>
      <c r="KTB9" s="21"/>
      <c r="KTC9" s="21"/>
      <c r="KTD9" s="21"/>
      <c r="KTE9" s="21"/>
      <c r="KTF9" s="21"/>
      <c r="KTG9" s="21"/>
      <c r="KTH9" s="21"/>
      <c r="KTI9" s="21"/>
      <c r="KTJ9" s="21"/>
      <c r="KTK9" s="21"/>
      <c r="KTL9" s="21"/>
      <c r="KTM9" s="21"/>
      <c r="KTN9" s="21"/>
      <c r="KTO9" s="21"/>
      <c r="KTP9" s="21"/>
      <c r="KTQ9" s="21"/>
      <c r="KTR9" s="21"/>
      <c r="KTS9" s="21"/>
      <c r="KTT9" s="21"/>
      <c r="KTU9" s="21"/>
      <c r="KTV9" s="21"/>
      <c r="KTW9" s="21"/>
      <c r="KTX9" s="21"/>
      <c r="KTY9" s="21"/>
      <c r="KTZ9" s="21"/>
      <c r="KUA9" s="21"/>
      <c r="KUB9" s="21"/>
      <c r="KUC9" s="21"/>
      <c r="KUD9" s="21"/>
      <c r="KUE9" s="21"/>
      <c r="KUF9" s="21"/>
      <c r="KUG9" s="21"/>
      <c r="KUH9" s="21"/>
      <c r="KUI9" s="21"/>
      <c r="KUJ9" s="21"/>
      <c r="KUK9" s="21"/>
      <c r="KUL9" s="21"/>
      <c r="KUM9" s="21"/>
      <c r="KUN9" s="21"/>
      <c r="KUO9" s="21"/>
      <c r="KUP9" s="21"/>
      <c r="KUQ9" s="21"/>
      <c r="KUR9" s="21"/>
      <c r="KUS9" s="21"/>
      <c r="KUT9" s="21"/>
      <c r="KUU9" s="21"/>
      <c r="KUV9" s="21"/>
      <c r="KUW9" s="21"/>
      <c r="KUX9" s="21"/>
      <c r="KUY9" s="21"/>
      <c r="KUZ9" s="21"/>
      <c r="KVA9" s="21"/>
      <c r="KVB9" s="21"/>
      <c r="KVC9" s="21"/>
      <c r="KVD9" s="21"/>
      <c r="KVE9" s="21"/>
      <c r="KVF9" s="21"/>
      <c r="KVG9" s="21"/>
      <c r="KVH9" s="21"/>
      <c r="KVI9" s="21"/>
      <c r="KVJ9" s="21"/>
      <c r="KVK9" s="21"/>
      <c r="KVL9" s="21"/>
      <c r="KVM9" s="21"/>
      <c r="KVN9" s="21"/>
      <c r="KVO9" s="21"/>
      <c r="KVP9" s="21"/>
      <c r="KVQ9" s="21"/>
      <c r="KVR9" s="21"/>
      <c r="KVS9" s="21"/>
      <c r="KVT9" s="21"/>
      <c r="KVU9" s="21"/>
      <c r="KVV9" s="21"/>
      <c r="KVW9" s="21"/>
      <c r="KVX9" s="21"/>
      <c r="KVY9" s="21"/>
      <c r="KVZ9" s="21"/>
      <c r="KWA9" s="21"/>
      <c r="KWB9" s="21"/>
      <c r="KWC9" s="21"/>
      <c r="KWD9" s="21"/>
      <c r="KWE9" s="21"/>
      <c r="KWF9" s="21"/>
      <c r="KWG9" s="21"/>
      <c r="KWH9" s="21"/>
      <c r="KWI9" s="21"/>
      <c r="KWJ9" s="21"/>
      <c r="KWK9" s="21"/>
      <c r="KWL9" s="21"/>
      <c r="KWM9" s="21"/>
      <c r="KWN9" s="21"/>
      <c r="KWO9" s="21"/>
      <c r="KWP9" s="21"/>
      <c r="KWQ9" s="21"/>
      <c r="KWR9" s="21"/>
      <c r="KWS9" s="21"/>
      <c r="KWT9" s="21"/>
      <c r="KWU9" s="21"/>
      <c r="KWV9" s="21"/>
      <c r="KWW9" s="21"/>
      <c r="KWX9" s="21"/>
      <c r="KWY9" s="21"/>
      <c r="KWZ9" s="21"/>
      <c r="KXA9" s="21"/>
      <c r="KXB9" s="21"/>
      <c r="KXC9" s="21"/>
      <c r="KXD9" s="21"/>
      <c r="KXE9" s="21"/>
      <c r="KXF9" s="21"/>
      <c r="KXG9" s="21"/>
      <c r="KXH9" s="21"/>
      <c r="KXI9" s="21"/>
      <c r="KXJ9" s="21"/>
      <c r="KXK9" s="21"/>
      <c r="KXL9" s="21"/>
      <c r="KXM9" s="21"/>
      <c r="KXN9" s="21"/>
      <c r="KXO9" s="21"/>
      <c r="KXP9" s="21"/>
      <c r="KXQ9" s="21"/>
      <c r="KXR9" s="21"/>
      <c r="KXS9" s="21"/>
      <c r="KXT9" s="21"/>
      <c r="KXU9" s="21"/>
      <c r="KXV9" s="21"/>
      <c r="KXW9" s="21"/>
      <c r="KXX9" s="21"/>
      <c r="KXY9" s="21"/>
      <c r="KXZ9" s="21"/>
      <c r="KYA9" s="21"/>
      <c r="KYB9" s="21"/>
      <c r="KYC9" s="21"/>
      <c r="KYD9" s="21"/>
      <c r="KYE9" s="21"/>
      <c r="KYF9" s="21"/>
      <c r="KYG9" s="21"/>
      <c r="KYH9" s="21"/>
      <c r="KYI9" s="21"/>
      <c r="KYJ9" s="21"/>
      <c r="KYK9" s="21"/>
      <c r="KYL9" s="21"/>
      <c r="KYM9" s="21"/>
      <c r="KYN9" s="21"/>
      <c r="KYO9" s="21"/>
      <c r="KYP9" s="21"/>
      <c r="KYQ9" s="21"/>
      <c r="KYR9" s="21"/>
      <c r="KYS9" s="21"/>
      <c r="KYT9" s="21"/>
      <c r="KYU9" s="21"/>
      <c r="KYV9" s="21"/>
      <c r="KYW9" s="21"/>
      <c r="KYX9" s="21"/>
      <c r="KYY9" s="21"/>
      <c r="KYZ9" s="21"/>
      <c r="KZA9" s="21"/>
      <c r="KZB9" s="21"/>
      <c r="KZC9" s="21"/>
      <c r="KZD9" s="21"/>
      <c r="KZE9" s="21"/>
      <c r="KZF9" s="21"/>
      <c r="KZG9" s="21"/>
      <c r="KZH9" s="21"/>
      <c r="KZI9" s="21"/>
      <c r="KZJ9" s="21"/>
      <c r="KZK9" s="21"/>
      <c r="KZL9" s="21"/>
      <c r="KZM9" s="21"/>
      <c r="KZN9" s="21"/>
      <c r="KZO9" s="21"/>
      <c r="KZP9" s="21"/>
      <c r="KZQ9" s="21"/>
      <c r="KZR9" s="21"/>
      <c r="KZS9" s="21"/>
      <c r="KZT9" s="21"/>
      <c r="KZU9" s="21"/>
      <c r="KZV9" s="21"/>
      <c r="KZW9" s="21"/>
      <c r="KZX9" s="21"/>
      <c r="KZY9" s="21"/>
      <c r="KZZ9" s="21"/>
      <c r="LAA9" s="21"/>
      <c r="LAB9" s="21"/>
      <c r="LAC9" s="21"/>
      <c r="LAD9" s="21"/>
      <c r="LAE9" s="21"/>
      <c r="LAF9" s="21"/>
      <c r="LAG9" s="21"/>
      <c r="LAH9" s="21"/>
      <c r="LAI9" s="21"/>
      <c r="LAJ9" s="21"/>
      <c r="LAK9" s="21"/>
      <c r="LAL9" s="21"/>
      <c r="LAM9" s="21"/>
      <c r="LAN9" s="21"/>
      <c r="LAO9" s="21"/>
      <c r="LAP9" s="21"/>
      <c r="LAQ9" s="21"/>
      <c r="LAR9" s="21"/>
      <c r="LAS9" s="21"/>
      <c r="LAT9" s="21"/>
      <c r="LAU9" s="21"/>
      <c r="LAV9" s="21"/>
      <c r="LAW9" s="21"/>
      <c r="LAX9" s="21"/>
      <c r="LAY9" s="21"/>
      <c r="LAZ9" s="21"/>
      <c r="LBA9" s="21"/>
      <c r="LBB9" s="21"/>
      <c r="LBC9" s="21"/>
      <c r="LBD9" s="21"/>
      <c r="LBE9" s="21"/>
      <c r="LBF9" s="21"/>
      <c r="LBG9" s="21"/>
      <c r="LBH9" s="21"/>
      <c r="LBI9" s="21"/>
      <c r="LBJ9" s="21"/>
      <c r="LBK9" s="21"/>
      <c r="LBL9" s="21"/>
      <c r="LBM9" s="21"/>
      <c r="LBN9" s="21"/>
      <c r="LBO9" s="21"/>
      <c r="LBP9" s="21"/>
      <c r="LBQ9" s="21"/>
      <c r="LBR9" s="21"/>
      <c r="LBS9" s="21"/>
      <c r="LBT9" s="21"/>
      <c r="LBU9" s="21"/>
      <c r="LBV9" s="21"/>
      <c r="LBW9" s="21"/>
      <c r="LBX9" s="21"/>
      <c r="LBY9" s="21"/>
      <c r="LBZ9" s="21"/>
      <c r="LCA9" s="21"/>
      <c r="LCB9" s="21"/>
      <c r="LCC9" s="21"/>
      <c r="LCD9" s="21"/>
      <c r="LCE9" s="21"/>
      <c r="LCF9" s="21"/>
      <c r="LCG9" s="21"/>
      <c r="LCH9" s="21"/>
      <c r="LCI9" s="21"/>
      <c r="LCJ9" s="21"/>
      <c r="LCK9" s="21"/>
      <c r="LCL9" s="21"/>
      <c r="LCM9" s="21"/>
      <c r="LCN9" s="21"/>
      <c r="LCO9" s="21"/>
      <c r="LCP9" s="21"/>
      <c r="LCQ9" s="21"/>
      <c r="LCR9" s="21"/>
      <c r="LCS9" s="21"/>
      <c r="LCT9" s="21"/>
      <c r="LCU9" s="21"/>
      <c r="LCV9" s="21"/>
      <c r="LCW9" s="21"/>
      <c r="LCX9" s="21"/>
      <c r="LCY9" s="21"/>
      <c r="LCZ9" s="21"/>
      <c r="LDA9" s="21"/>
      <c r="LDB9" s="21"/>
      <c r="LDC9" s="21"/>
      <c r="LDD9" s="21"/>
      <c r="LDE9" s="21"/>
      <c r="LDF9" s="21"/>
      <c r="LDG9" s="21"/>
      <c r="LDH9" s="21"/>
      <c r="LDI9" s="21"/>
      <c r="LDJ9" s="21"/>
      <c r="LDK9" s="21"/>
      <c r="LDL9" s="21"/>
      <c r="LDM9" s="21"/>
      <c r="LDN9" s="21"/>
      <c r="LDO9" s="21"/>
      <c r="LDP9" s="21"/>
      <c r="LDQ9" s="21"/>
      <c r="LDR9" s="21"/>
      <c r="LDS9" s="21"/>
      <c r="LDT9" s="21"/>
      <c r="LDU9" s="21"/>
      <c r="LDV9" s="21"/>
      <c r="LDW9" s="21"/>
      <c r="LDX9" s="21"/>
      <c r="LDY9" s="21"/>
      <c r="LDZ9" s="21"/>
      <c r="LEA9" s="21"/>
      <c r="LEB9" s="21"/>
      <c r="LEC9" s="21"/>
      <c r="LED9" s="21"/>
      <c r="LEE9" s="21"/>
      <c r="LEF9" s="21"/>
      <c r="LEG9" s="21"/>
      <c r="LEH9" s="21"/>
      <c r="LEI9" s="21"/>
      <c r="LEJ9" s="21"/>
      <c r="LEK9" s="21"/>
      <c r="LEL9" s="21"/>
      <c r="LEM9" s="21"/>
      <c r="LEN9" s="21"/>
      <c r="LEO9" s="21"/>
      <c r="LEP9" s="21"/>
      <c r="LEQ9" s="21"/>
      <c r="LER9" s="21"/>
      <c r="LES9" s="21"/>
      <c r="LET9" s="21"/>
      <c r="LEU9" s="21"/>
      <c r="LEV9" s="21"/>
      <c r="LEW9" s="21"/>
      <c r="LEX9" s="21"/>
      <c r="LEY9" s="21"/>
      <c r="LEZ9" s="21"/>
      <c r="LFA9" s="21"/>
      <c r="LFB9" s="21"/>
      <c r="LFC9" s="21"/>
      <c r="LFD9" s="21"/>
      <c r="LFE9" s="21"/>
      <c r="LFF9" s="21"/>
      <c r="LFG9" s="21"/>
      <c r="LFH9" s="21"/>
      <c r="LFI9" s="21"/>
      <c r="LFJ9" s="21"/>
      <c r="LFK9" s="21"/>
      <c r="LFL9" s="21"/>
      <c r="LFM9" s="21"/>
      <c r="LFN9" s="21"/>
      <c r="LFO9" s="21"/>
      <c r="LFP9" s="21"/>
      <c r="LFQ9" s="21"/>
      <c r="LFR9" s="21"/>
      <c r="LFS9" s="21"/>
      <c r="LFT9" s="21"/>
      <c r="LFU9" s="21"/>
      <c r="LFV9" s="21"/>
      <c r="LFW9" s="21"/>
      <c r="LFX9" s="21"/>
      <c r="LFY9" s="21"/>
      <c r="LFZ9" s="21"/>
      <c r="LGA9" s="21"/>
      <c r="LGB9" s="21"/>
      <c r="LGC9" s="21"/>
      <c r="LGD9" s="21"/>
      <c r="LGE9" s="21"/>
      <c r="LGF9" s="21"/>
      <c r="LGG9" s="21"/>
      <c r="LGH9" s="21"/>
      <c r="LGI9" s="21"/>
      <c r="LGJ9" s="21"/>
      <c r="LGK9" s="21"/>
      <c r="LGL9" s="21"/>
      <c r="LGM9" s="21"/>
      <c r="LGN9" s="21"/>
      <c r="LGO9" s="21"/>
      <c r="LGP9" s="21"/>
      <c r="LGQ9" s="21"/>
      <c r="LGR9" s="21"/>
      <c r="LGS9" s="21"/>
      <c r="LGT9" s="21"/>
      <c r="LGU9" s="21"/>
      <c r="LGV9" s="21"/>
      <c r="LGW9" s="21"/>
      <c r="LGX9" s="21"/>
      <c r="LGY9" s="21"/>
      <c r="LGZ9" s="21"/>
      <c r="LHA9" s="21"/>
      <c r="LHB9" s="21"/>
      <c r="LHC9" s="21"/>
      <c r="LHD9" s="21"/>
      <c r="LHE9" s="21"/>
      <c r="LHF9" s="21"/>
      <c r="LHG9" s="21"/>
      <c r="LHH9" s="21"/>
      <c r="LHI9" s="21"/>
      <c r="LHJ9" s="21"/>
      <c r="LHK9" s="21"/>
      <c r="LHL9" s="21"/>
      <c r="LHM9" s="21"/>
      <c r="LHN9" s="21"/>
      <c r="LHO9" s="21"/>
      <c r="LHP9" s="21"/>
      <c r="LHQ9" s="21"/>
      <c r="LHR9" s="21"/>
      <c r="LHS9" s="21"/>
      <c r="LHT9" s="21"/>
      <c r="LHU9" s="21"/>
      <c r="LHV9" s="21"/>
      <c r="LHW9" s="21"/>
      <c r="LHX9" s="21"/>
      <c r="LHY9" s="21"/>
      <c r="LHZ9" s="21"/>
      <c r="LIA9" s="21"/>
      <c r="LIB9" s="21"/>
      <c r="LIC9" s="21"/>
      <c r="LID9" s="21"/>
      <c r="LIE9" s="21"/>
      <c r="LIF9" s="21"/>
      <c r="LIG9" s="21"/>
      <c r="LIH9" s="21"/>
      <c r="LII9" s="21"/>
      <c r="LIJ9" s="21"/>
      <c r="LIK9" s="21"/>
      <c r="LIL9" s="21"/>
      <c r="LIM9" s="21"/>
      <c r="LIN9" s="21"/>
      <c r="LIO9" s="21"/>
      <c r="LIP9" s="21"/>
      <c r="LIQ9" s="21"/>
      <c r="LIR9" s="21"/>
      <c r="LIS9" s="21"/>
      <c r="LIT9" s="21"/>
      <c r="LIU9" s="21"/>
      <c r="LIV9" s="21"/>
      <c r="LIW9" s="21"/>
      <c r="LIX9" s="21"/>
      <c r="LIY9" s="21"/>
      <c r="LIZ9" s="21"/>
      <c r="LJA9" s="21"/>
      <c r="LJB9" s="21"/>
      <c r="LJC9" s="21"/>
      <c r="LJD9" s="21"/>
      <c r="LJE9" s="21"/>
      <c r="LJF9" s="21"/>
      <c r="LJG9" s="21"/>
      <c r="LJH9" s="21"/>
      <c r="LJI9" s="21"/>
      <c r="LJJ9" s="21"/>
      <c r="LJK9" s="21"/>
      <c r="LJL9" s="21"/>
      <c r="LJM9" s="21"/>
      <c r="LJN9" s="21"/>
      <c r="LJO9" s="21"/>
      <c r="LJP9" s="21"/>
      <c r="LJQ9" s="21"/>
      <c r="LJR9" s="21"/>
      <c r="LJS9" s="21"/>
      <c r="LJT9" s="21"/>
      <c r="LJU9" s="21"/>
      <c r="LJV9" s="21"/>
      <c r="LJW9" s="21"/>
      <c r="LJX9" s="21"/>
      <c r="LJY9" s="21"/>
      <c r="LJZ9" s="21"/>
      <c r="LKA9" s="21"/>
      <c r="LKB9" s="21"/>
      <c r="LKC9" s="21"/>
      <c r="LKD9" s="21"/>
      <c r="LKE9" s="21"/>
      <c r="LKF9" s="21"/>
      <c r="LKG9" s="21"/>
      <c r="LKH9" s="21"/>
      <c r="LKI9" s="21"/>
      <c r="LKJ9" s="21"/>
      <c r="LKK9" s="21"/>
      <c r="LKL9" s="21"/>
      <c r="LKM9" s="21"/>
      <c r="LKN9" s="21"/>
      <c r="LKO9" s="21"/>
      <c r="LKP9" s="21"/>
      <c r="LKQ9" s="21"/>
      <c r="LKR9" s="21"/>
      <c r="LKS9" s="21"/>
      <c r="LKT9" s="21"/>
      <c r="LKU9" s="21"/>
      <c r="LKV9" s="21"/>
      <c r="LKW9" s="21"/>
      <c r="LKX9" s="21"/>
      <c r="LKY9" s="21"/>
      <c r="LKZ9" s="21"/>
      <c r="LLA9" s="21"/>
      <c r="LLB9" s="21"/>
      <c r="LLC9" s="21"/>
      <c r="LLD9" s="21"/>
      <c r="LLE9" s="21"/>
      <c r="LLF9" s="21"/>
      <c r="LLG9" s="21"/>
      <c r="LLH9" s="21"/>
      <c r="LLI9" s="21"/>
      <c r="LLJ9" s="21"/>
      <c r="LLK9" s="21"/>
      <c r="LLL9" s="21"/>
      <c r="LLM9" s="21"/>
      <c r="LLN9" s="21"/>
      <c r="LLO9" s="21"/>
      <c r="LLP9" s="21"/>
      <c r="LLQ9" s="21"/>
      <c r="LLR9" s="21"/>
      <c r="LLS9" s="21"/>
      <c r="LLT9" s="21"/>
      <c r="LLU9" s="21"/>
      <c r="LLV9" s="21"/>
      <c r="LLW9" s="21"/>
      <c r="LLX9" s="21"/>
      <c r="LLY9" s="21"/>
      <c r="LLZ9" s="21"/>
      <c r="LMA9" s="21"/>
      <c r="LMB9" s="21"/>
      <c r="LMC9" s="21"/>
      <c r="LMD9" s="21"/>
      <c r="LME9" s="21"/>
      <c r="LMF9" s="21"/>
      <c r="LMG9" s="21"/>
      <c r="LMH9" s="21"/>
      <c r="LMI9" s="21"/>
      <c r="LMJ9" s="21"/>
      <c r="LMK9" s="21"/>
      <c r="LML9" s="21"/>
      <c r="LMM9" s="21"/>
      <c r="LMN9" s="21"/>
      <c r="LMO9" s="21"/>
      <c r="LMP9" s="21"/>
      <c r="LMQ9" s="21"/>
      <c r="LMR9" s="21"/>
      <c r="LMS9" s="21"/>
      <c r="LMT9" s="21"/>
      <c r="LMU9" s="21"/>
      <c r="LMV9" s="21"/>
      <c r="LMW9" s="21"/>
      <c r="LMX9" s="21"/>
      <c r="LMY9" s="21"/>
      <c r="LMZ9" s="21"/>
      <c r="LNA9" s="21"/>
      <c r="LNB9" s="21"/>
      <c r="LNC9" s="21"/>
      <c r="LND9" s="21"/>
      <c r="LNE9" s="21"/>
      <c r="LNF9" s="21"/>
      <c r="LNG9" s="21"/>
      <c r="LNH9" s="21"/>
      <c r="LNI9" s="21"/>
      <c r="LNJ9" s="21"/>
      <c r="LNK9" s="21"/>
      <c r="LNL9" s="21"/>
      <c r="LNM9" s="21"/>
      <c r="LNN9" s="21"/>
      <c r="LNO9" s="21"/>
      <c r="LNP9" s="21"/>
      <c r="LNQ9" s="21"/>
      <c r="LNR9" s="21"/>
      <c r="LNS9" s="21"/>
      <c r="LNT9" s="21"/>
      <c r="LNU9" s="21"/>
      <c r="LNV9" s="21"/>
      <c r="LNW9" s="21"/>
      <c r="LNX9" s="21"/>
      <c r="LNY9" s="21"/>
      <c r="LNZ9" s="21"/>
      <c r="LOA9" s="21"/>
      <c r="LOB9" s="21"/>
      <c r="LOC9" s="21"/>
      <c r="LOD9" s="21"/>
      <c r="LOE9" s="21"/>
      <c r="LOF9" s="21"/>
      <c r="LOG9" s="21"/>
      <c r="LOH9" s="21"/>
      <c r="LOI9" s="21"/>
      <c r="LOJ9" s="21"/>
      <c r="LOK9" s="21"/>
      <c r="LOL9" s="21"/>
      <c r="LOM9" s="21"/>
      <c r="LON9" s="21"/>
      <c r="LOO9" s="21"/>
      <c r="LOP9" s="21"/>
      <c r="LOQ9" s="21"/>
      <c r="LOR9" s="21"/>
      <c r="LOS9" s="21"/>
      <c r="LOT9" s="21"/>
      <c r="LOU9" s="21"/>
      <c r="LOV9" s="21"/>
      <c r="LOW9" s="21"/>
      <c r="LOX9" s="21"/>
      <c r="LOY9" s="21"/>
      <c r="LOZ9" s="21"/>
      <c r="LPA9" s="21"/>
      <c r="LPB9" s="21"/>
      <c r="LPC9" s="21"/>
      <c r="LPD9" s="21"/>
      <c r="LPE9" s="21"/>
      <c r="LPF9" s="21"/>
      <c r="LPG9" s="21"/>
      <c r="LPH9" s="21"/>
      <c r="LPI9" s="21"/>
      <c r="LPJ9" s="21"/>
      <c r="LPK9" s="21"/>
      <c r="LPL9" s="21"/>
      <c r="LPM9" s="21"/>
      <c r="LPN9" s="21"/>
      <c r="LPO9" s="21"/>
      <c r="LPP9" s="21"/>
      <c r="LPQ9" s="21"/>
      <c r="LPR9" s="21"/>
      <c r="LPS9" s="21"/>
      <c r="LPT9" s="21"/>
      <c r="LPU9" s="21"/>
      <c r="LPV9" s="21"/>
      <c r="LPW9" s="21"/>
      <c r="LPX9" s="21"/>
      <c r="LPY9" s="21"/>
      <c r="LPZ9" s="21"/>
      <c r="LQA9" s="21"/>
      <c r="LQB9" s="21"/>
      <c r="LQC9" s="21"/>
      <c r="LQD9" s="21"/>
      <c r="LQE9" s="21"/>
      <c r="LQF9" s="21"/>
      <c r="LQG9" s="21"/>
      <c r="LQH9" s="21"/>
      <c r="LQI9" s="21"/>
      <c r="LQJ9" s="21"/>
      <c r="LQK9" s="21"/>
      <c r="LQL9" s="21"/>
      <c r="LQM9" s="21"/>
      <c r="LQN9" s="21"/>
      <c r="LQO9" s="21"/>
      <c r="LQP9" s="21"/>
      <c r="LQQ9" s="21"/>
      <c r="LQR9" s="21"/>
      <c r="LQS9" s="21"/>
      <c r="LQT9" s="21"/>
      <c r="LQU9" s="21"/>
      <c r="LQV9" s="21"/>
      <c r="LQW9" s="21"/>
      <c r="LQX9" s="21"/>
      <c r="LQY9" s="21"/>
      <c r="LQZ9" s="21"/>
      <c r="LRA9" s="21"/>
      <c r="LRB9" s="21"/>
      <c r="LRC9" s="21"/>
      <c r="LRD9" s="21"/>
      <c r="LRE9" s="21"/>
      <c r="LRF9" s="21"/>
      <c r="LRG9" s="21"/>
      <c r="LRH9" s="21"/>
      <c r="LRI9" s="21"/>
      <c r="LRJ9" s="21"/>
      <c r="LRK9" s="21"/>
      <c r="LRL9" s="21"/>
      <c r="LRM9" s="21"/>
      <c r="LRN9" s="21"/>
      <c r="LRO9" s="21"/>
      <c r="LRP9" s="21"/>
      <c r="LRQ9" s="21"/>
      <c r="LRR9" s="21"/>
      <c r="LRS9" s="21"/>
      <c r="LRT9" s="21"/>
      <c r="LRU9" s="21"/>
      <c r="LRV9" s="21"/>
      <c r="LRW9" s="21"/>
      <c r="LRX9" s="21"/>
      <c r="LRY9" s="21"/>
      <c r="LRZ9" s="21"/>
      <c r="LSA9" s="21"/>
      <c r="LSB9" s="21"/>
      <c r="LSC9" s="21"/>
      <c r="LSD9" s="21"/>
      <c r="LSE9" s="21"/>
      <c r="LSF9" s="21"/>
      <c r="LSG9" s="21"/>
      <c r="LSH9" s="21"/>
      <c r="LSI9" s="21"/>
      <c r="LSJ9" s="21"/>
      <c r="LSK9" s="21"/>
      <c r="LSL9" s="21"/>
      <c r="LSM9" s="21"/>
      <c r="LSN9" s="21"/>
      <c r="LSO9" s="21"/>
      <c r="LSP9" s="21"/>
      <c r="LSQ9" s="21"/>
      <c r="LSR9" s="21"/>
      <c r="LSS9" s="21"/>
      <c r="LST9" s="21"/>
      <c r="LSU9" s="21"/>
      <c r="LSV9" s="21"/>
      <c r="LSW9" s="21"/>
      <c r="LSX9" s="21"/>
      <c r="LSY9" s="21"/>
      <c r="LSZ9" s="21"/>
      <c r="LTA9" s="21"/>
      <c r="LTB9" s="21"/>
      <c r="LTC9" s="21"/>
      <c r="LTD9" s="21"/>
      <c r="LTE9" s="21"/>
      <c r="LTF9" s="21"/>
      <c r="LTG9" s="21"/>
      <c r="LTH9" s="21"/>
      <c r="LTI9" s="21"/>
      <c r="LTJ9" s="21"/>
      <c r="LTK9" s="21"/>
      <c r="LTL9" s="21"/>
      <c r="LTM9" s="21"/>
      <c r="LTN9" s="21"/>
      <c r="LTO9" s="21"/>
      <c r="LTP9" s="21"/>
      <c r="LTQ9" s="21"/>
      <c r="LTR9" s="21"/>
      <c r="LTS9" s="21"/>
      <c r="LTT9" s="21"/>
      <c r="LTU9" s="21"/>
      <c r="LTV9" s="21"/>
      <c r="LTW9" s="21"/>
      <c r="LTX9" s="21"/>
      <c r="LTY9" s="21"/>
      <c r="LTZ9" s="21"/>
      <c r="LUA9" s="21"/>
      <c r="LUB9" s="21"/>
      <c r="LUC9" s="21"/>
      <c r="LUD9" s="21"/>
      <c r="LUE9" s="21"/>
      <c r="LUF9" s="21"/>
      <c r="LUG9" s="21"/>
      <c r="LUH9" s="21"/>
      <c r="LUI9" s="21"/>
      <c r="LUJ9" s="21"/>
      <c r="LUK9" s="21"/>
      <c r="LUL9" s="21"/>
      <c r="LUM9" s="21"/>
      <c r="LUN9" s="21"/>
      <c r="LUO9" s="21"/>
      <c r="LUP9" s="21"/>
      <c r="LUQ9" s="21"/>
      <c r="LUR9" s="21"/>
      <c r="LUS9" s="21"/>
      <c r="LUT9" s="21"/>
      <c r="LUU9" s="21"/>
      <c r="LUV9" s="21"/>
      <c r="LUW9" s="21"/>
      <c r="LUX9" s="21"/>
      <c r="LUY9" s="21"/>
      <c r="LUZ9" s="21"/>
      <c r="LVA9" s="21"/>
      <c r="LVB9" s="21"/>
      <c r="LVC9" s="21"/>
      <c r="LVD9" s="21"/>
      <c r="LVE9" s="21"/>
      <c r="LVF9" s="21"/>
      <c r="LVG9" s="21"/>
      <c r="LVH9" s="21"/>
      <c r="LVI9" s="21"/>
      <c r="LVJ9" s="21"/>
      <c r="LVK9" s="21"/>
      <c r="LVL9" s="21"/>
      <c r="LVM9" s="21"/>
      <c r="LVN9" s="21"/>
      <c r="LVO9" s="21"/>
      <c r="LVP9" s="21"/>
      <c r="LVQ9" s="21"/>
      <c r="LVR9" s="21"/>
      <c r="LVS9" s="21"/>
      <c r="LVT9" s="21"/>
      <c r="LVU9" s="21"/>
      <c r="LVV9" s="21"/>
      <c r="LVW9" s="21"/>
      <c r="LVX9" s="21"/>
      <c r="LVY9" s="21"/>
      <c r="LVZ9" s="21"/>
      <c r="LWA9" s="21"/>
      <c r="LWB9" s="21"/>
      <c r="LWC9" s="21"/>
      <c r="LWD9" s="21"/>
      <c r="LWE9" s="21"/>
      <c r="LWF9" s="21"/>
      <c r="LWG9" s="21"/>
      <c r="LWH9" s="21"/>
      <c r="LWI9" s="21"/>
      <c r="LWJ9" s="21"/>
      <c r="LWK9" s="21"/>
      <c r="LWL9" s="21"/>
      <c r="LWM9" s="21"/>
      <c r="LWN9" s="21"/>
      <c r="LWO9" s="21"/>
      <c r="LWP9" s="21"/>
      <c r="LWQ9" s="21"/>
      <c r="LWR9" s="21"/>
      <c r="LWS9" s="21"/>
      <c r="LWT9" s="21"/>
      <c r="LWU9" s="21"/>
      <c r="LWV9" s="21"/>
      <c r="LWW9" s="21"/>
      <c r="LWX9" s="21"/>
      <c r="LWY9" s="21"/>
      <c r="LWZ9" s="21"/>
      <c r="LXA9" s="21"/>
      <c r="LXB9" s="21"/>
      <c r="LXC9" s="21"/>
      <c r="LXD9" s="21"/>
      <c r="LXE9" s="21"/>
      <c r="LXF9" s="21"/>
      <c r="LXG9" s="21"/>
      <c r="LXH9" s="21"/>
      <c r="LXI9" s="21"/>
      <c r="LXJ9" s="21"/>
      <c r="LXK9" s="21"/>
      <c r="LXL9" s="21"/>
      <c r="LXM9" s="21"/>
      <c r="LXN9" s="21"/>
      <c r="LXO9" s="21"/>
      <c r="LXP9" s="21"/>
      <c r="LXQ9" s="21"/>
      <c r="LXR9" s="21"/>
      <c r="LXS9" s="21"/>
      <c r="LXT9" s="21"/>
      <c r="LXU9" s="21"/>
      <c r="LXV9" s="21"/>
      <c r="LXW9" s="21"/>
      <c r="LXX9" s="21"/>
      <c r="LXY9" s="21"/>
      <c r="LXZ9" s="21"/>
      <c r="LYA9" s="21"/>
      <c r="LYB9" s="21"/>
      <c r="LYC9" s="21"/>
      <c r="LYD9" s="21"/>
      <c r="LYE9" s="21"/>
      <c r="LYF9" s="21"/>
      <c r="LYG9" s="21"/>
      <c r="LYH9" s="21"/>
      <c r="LYI9" s="21"/>
      <c r="LYJ9" s="21"/>
      <c r="LYK9" s="21"/>
      <c r="LYL9" s="21"/>
      <c r="LYM9" s="21"/>
      <c r="LYN9" s="21"/>
      <c r="LYO9" s="21"/>
      <c r="LYP9" s="21"/>
      <c r="LYQ9" s="21"/>
      <c r="LYR9" s="21"/>
      <c r="LYS9" s="21"/>
      <c r="LYT9" s="21"/>
      <c r="LYU9" s="21"/>
      <c r="LYV9" s="21"/>
      <c r="LYW9" s="21"/>
      <c r="LYX9" s="21"/>
      <c r="LYY9" s="21"/>
      <c r="LYZ9" s="21"/>
      <c r="LZA9" s="21"/>
      <c r="LZB9" s="21"/>
      <c r="LZC9" s="21"/>
      <c r="LZD9" s="21"/>
      <c r="LZE9" s="21"/>
      <c r="LZF9" s="21"/>
      <c r="LZG9" s="21"/>
      <c r="LZH9" s="21"/>
      <c r="LZI9" s="21"/>
      <c r="LZJ9" s="21"/>
      <c r="LZK9" s="21"/>
      <c r="LZL9" s="21"/>
      <c r="LZM9" s="21"/>
      <c r="LZN9" s="21"/>
      <c r="LZO9" s="21"/>
      <c r="LZP9" s="21"/>
      <c r="LZQ9" s="21"/>
      <c r="LZR9" s="21"/>
      <c r="LZS9" s="21"/>
      <c r="LZT9" s="21"/>
      <c r="LZU9" s="21"/>
      <c r="LZV9" s="21"/>
      <c r="LZW9" s="21"/>
      <c r="LZX9" s="21"/>
      <c r="LZY9" s="21"/>
      <c r="LZZ9" s="21"/>
      <c r="MAA9" s="21"/>
      <c r="MAB9" s="21"/>
      <c r="MAC9" s="21"/>
      <c r="MAD9" s="21"/>
      <c r="MAE9" s="21"/>
      <c r="MAF9" s="21"/>
      <c r="MAG9" s="21"/>
      <c r="MAH9" s="21"/>
      <c r="MAI9" s="21"/>
      <c r="MAJ9" s="21"/>
      <c r="MAK9" s="21"/>
      <c r="MAL9" s="21"/>
      <c r="MAM9" s="21"/>
      <c r="MAN9" s="21"/>
      <c r="MAO9" s="21"/>
      <c r="MAP9" s="21"/>
      <c r="MAQ9" s="21"/>
      <c r="MAR9" s="21"/>
      <c r="MAS9" s="21"/>
      <c r="MAT9" s="21"/>
      <c r="MAU9" s="21"/>
      <c r="MAV9" s="21"/>
      <c r="MAW9" s="21"/>
      <c r="MAX9" s="21"/>
      <c r="MAY9" s="21"/>
      <c r="MAZ9" s="21"/>
      <c r="MBA9" s="21"/>
      <c r="MBB9" s="21"/>
      <c r="MBC9" s="21"/>
      <c r="MBD9" s="21"/>
      <c r="MBE9" s="21"/>
      <c r="MBF9" s="21"/>
      <c r="MBG9" s="21"/>
      <c r="MBH9" s="21"/>
      <c r="MBI9" s="21"/>
      <c r="MBJ9" s="21"/>
      <c r="MBK9" s="21"/>
      <c r="MBL9" s="21"/>
      <c r="MBM9" s="21"/>
      <c r="MBN9" s="21"/>
      <c r="MBO9" s="21"/>
      <c r="MBP9" s="21"/>
      <c r="MBQ9" s="21"/>
      <c r="MBR9" s="21"/>
      <c r="MBS9" s="21"/>
      <c r="MBT9" s="21"/>
      <c r="MBU9" s="21"/>
      <c r="MBV9" s="21"/>
      <c r="MBW9" s="21"/>
      <c r="MBX9" s="21"/>
      <c r="MBY9" s="21"/>
      <c r="MBZ9" s="21"/>
      <c r="MCA9" s="21"/>
      <c r="MCB9" s="21"/>
      <c r="MCC9" s="21"/>
      <c r="MCD9" s="21"/>
      <c r="MCE9" s="21"/>
      <c r="MCF9" s="21"/>
      <c r="MCG9" s="21"/>
      <c r="MCH9" s="21"/>
      <c r="MCI9" s="21"/>
      <c r="MCJ9" s="21"/>
      <c r="MCK9" s="21"/>
      <c r="MCL9" s="21"/>
      <c r="MCM9" s="21"/>
      <c r="MCN9" s="21"/>
      <c r="MCO9" s="21"/>
      <c r="MCP9" s="21"/>
      <c r="MCQ9" s="21"/>
      <c r="MCR9" s="21"/>
      <c r="MCS9" s="21"/>
      <c r="MCT9" s="21"/>
      <c r="MCU9" s="21"/>
      <c r="MCV9" s="21"/>
      <c r="MCW9" s="21"/>
      <c r="MCX9" s="21"/>
      <c r="MCY9" s="21"/>
      <c r="MCZ9" s="21"/>
      <c r="MDA9" s="21"/>
      <c r="MDB9" s="21"/>
      <c r="MDC9" s="21"/>
      <c r="MDD9" s="21"/>
      <c r="MDE9" s="21"/>
      <c r="MDF9" s="21"/>
      <c r="MDG9" s="21"/>
      <c r="MDH9" s="21"/>
      <c r="MDI9" s="21"/>
      <c r="MDJ9" s="21"/>
      <c r="MDK9" s="21"/>
      <c r="MDL9" s="21"/>
      <c r="MDM9" s="21"/>
      <c r="MDN9" s="21"/>
      <c r="MDO9" s="21"/>
      <c r="MDP9" s="21"/>
      <c r="MDQ9" s="21"/>
      <c r="MDR9" s="21"/>
      <c r="MDS9" s="21"/>
      <c r="MDT9" s="21"/>
      <c r="MDU9" s="21"/>
      <c r="MDV9" s="21"/>
      <c r="MDW9" s="21"/>
      <c r="MDX9" s="21"/>
      <c r="MDY9" s="21"/>
      <c r="MDZ9" s="21"/>
      <c r="MEA9" s="21"/>
      <c r="MEB9" s="21"/>
      <c r="MEC9" s="21"/>
      <c r="MED9" s="21"/>
      <c r="MEE9" s="21"/>
      <c r="MEF9" s="21"/>
      <c r="MEG9" s="21"/>
      <c r="MEH9" s="21"/>
      <c r="MEI9" s="21"/>
      <c r="MEJ9" s="21"/>
      <c r="MEK9" s="21"/>
      <c r="MEL9" s="21"/>
      <c r="MEM9" s="21"/>
      <c r="MEN9" s="21"/>
      <c r="MEO9" s="21"/>
      <c r="MEP9" s="21"/>
      <c r="MEQ9" s="21"/>
      <c r="MER9" s="21"/>
      <c r="MES9" s="21"/>
      <c r="MET9" s="21"/>
      <c r="MEU9" s="21"/>
      <c r="MEV9" s="21"/>
      <c r="MEW9" s="21"/>
      <c r="MEX9" s="21"/>
      <c r="MEY9" s="21"/>
      <c r="MEZ9" s="21"/>
      <c r="MFA9" s="21"/>
      <c r="MFB9" s="21"/>
      <c r="MFC9" s="21"/>
      <c r="MFD9" s="21"/>
      <c r="MFE9" s="21"/>
      <c r="MFF9" s="21"/>
      <c r="MFG9" s="21"/>
      <c r="MFH9" s="21"/>
      <c r="MFI9" s="21"/>
      <c r="MFJ9" s="21"/>
      <c r="MFK9" s="21"/>
      <c r="MFL9" s="21"/>
      <c r="MFM9" s="21"/>
      <c r="MFN9" s="21"/>
      <c r="MFO9" s="21"/>
      <c r="MFP9" s="21"/>
      <c r="MFQ9" s="21"/>
      <c r="MFR9" s="21"/>
      <c r="MFS9" s="21"/>
      <c r="MFT9" s="21"/>
      <c r="MFU9" s="21"/>
      <c r="MFV9" s="21"/>
      <c r="MFW9" s="21"/>
      <c r="MFX9" s="21"/>
      <c r="MFY9" s="21"/>
      <c r="MFZ9" s="21"/>
      <c r="MGA9" s="21"/>
      <c r="MGB9" s="21"/>
      <c r="MGC9" s="21"/>
      <c r="MGD9" s="21"/>
      <c r="MGE9" s="21"/>
      <c r="MGF9" s="21"/>
      <c r="MGG9" s="21"/>
      <c r="MGH9" s="21"/>
      <c r="MGI9" s="21"/>
      <c r="MGJ9" s="21"/>
      <c r="MGK9" s="21"/>
      <c r="MGL9" s="21"/>
      <c r="MGM9" s="21"/>
      <c r="MGN9" s="21"/>
      <c r="MGO9" s="21"/>
      <c r="MGP9" s="21"/>
      <c r="MGQ9" s="21"/>
      <c r="MGR9" s="21"/>
      <c r="MGS9" s="21"/>
      <c r="MGT9" s="21"/>
      <c r="MGU9" s="21"/>
      <c r="MGV9" s="21"/>
      <c r="MGW9" s="21"/>
      <c r="MGX9" s="21"/>
      <c r="MGY9" s="21"/>
      <c r="MGZ9" s="21"/>
      <c r="MHA9" s="21"/>
      <c r="MHB9" s="21"/>
      <c r="MHC9" s="21"/>
      <c r="MHD9" s="21"/>
      <c r="MHE9" s="21"/>
      <c r="MHF9" s="21"/>
      <c r="MHG9" s="21"/>
      <c r="MHH9" s="21"/>
      <c r="MHI9" s="21"/>
      <c r="MHJ9" s="21"/>
      <c r="MHK9" s="21"/>
      <c r="MHL9" s="21"/>
      <c r="MHM9" s="21"/>
      <c r="MHN9" s="21"/>
      <c r="MHO9" s="21"/>
      <c r="MHP9" s="21"/>
      <c r="MHQ9" s="21"/>
      <c r="MHR9" s="21"/>
      <c r="MHS9" s="21"/>
      <c r="MHT9" s="21"/>
      <c r="MHU9" s="21"/>
      <c r="MHV9" s="21"/>
      <c r="MHW9" s="21"/>
      <c r="MHX9" s="21"/>
      <c r="MHY9" s="21"/>
      <c r="MHZ9" s="21"/>
      <c r="MIA9" s="21"/>
      <c r="MIB9" s="21"/>
      <c r="MIC9" s="21"/>
      <c r="MID9" s="21"/>
      <c r="MIE9" s="21"/>
      <c r="MIF9" s="21"/>
      <c r="MIG9" s="21"/>
      <c r="MIH9" s="21"/>
      <c r="MII9" s="21"/>
      <c r="MIJ9" s="21"/>
      <c r="MIK9" s="21"/>
      <c r="MIL9" s="21"/>
      <c r="MIM9" s="21"/>
      <c r="MIN9" s="21"/>
      <c r="MIO9" s="21"/>
      <c r="MIP9" s="21"/>
      <c r="MIQ9" s="21"/>
      <c r="MIR9" s="21"/>
      <c r="MIS9" s="21"/>
      <c r="MIT9" s="21"/>
      <c r="MIU9" s="21"/>
      <c r="MIV9" s="21"/>
      <c r="MIW9" s="21"/>
      <c r="MIX9" s="21"/>
      <c r="MIY9" s="21"/>
      <c r="MIZ9" s="21"/>
      <c r="MJA9" s="21"/>
      <c r="MJB9" s="21"/>
      <c r="MJC9" s="21"/>
      <c r="MJD9" s="21"/>
      <c r="MJE9" s="21"/>
      <c r="MJF9" s="21"/>
      <c r="MJG9" s="21"/>
      <c r="MJH9" s="21"/>
      <c r="MJI9" s="21"/>
      <c r="MJJ9" s="21"/>
      <c r="MJK9" s="21"/>
      <c r="MJL9" s="21"/>
      <c r="MJM9" s="21"/>
      <c r="MJN9" s="21"/>
      <c r="MJO9" s="21"/>
      <c r="MJP9" s="21"/>
      <c r="MJQ9" s="21"/>
      <c r="MJR9" s="21"/>
      <c r="MJS9" s="21"/>
      <c r="MJT9" s="21"/>
      <c r="MJU9" s="21"/>
      <c r="MJV9" s="21"/>
      <c r="MJW9" s="21"/>
      <c r="MJX9" s="21"/>
      <c r="MJY9" s="21"/>
      <c r="MJZ9" s="21"/>
      <c r="MKA9" s="21"/>
      <c r="MKB9" s="21"/>
      <c r="MKC9" s="21"/>
      <c r="MKD9" s="21"/>
      <c r="MKE9" s="21"/>
      <c r="MKF9" s="21"/>
      <c r="MKG9" s="21"/>
      <c r="MKH9" s="21"/>
      <c r="MKI9" s="21"/>
      <c r="MKJ9" s="21"/>
      <c r="MKK9" s="21"/>
      <c r="MKL9" s="21"/>
      <c r="MKM9" s="21"/>
      <c r="MKN9" s="21"/>
      <c r="MKO9" s="21"/>
      <c r="MKP9" s="21"/>
      <c r="MKQ9" s="21"/>
      <c r="MKR9" s="21"/>
      <c r="MKS9" s="21"/>
      <c r="MKT9" s="21"/>
      <c r="MKU9" s="21"/>
      <c r="MKV9" s="21"/>
      <c r="MKW9" s="21"/>
      <c r="MKX9" s="21"/>
      <c r="MKY9" s="21"/>
      <c r="MKZ9" s="21"/>
      <c r="MLA9" s="21"/>
      <c r="MLB9" s="21"/>
      <c r="MLC9" s="21"/>
      <c r="MLD9" s="21"/>
      <c r="MLE9" s="21"/>
      <c r="MLF9" s="21"/>
      <c r="MLG9" s="21"/>
      <c r="MLH9" s="21"/>
      <c r="MLI9" s="21"/>
      <c r="MLJ9" s="21"/>
      <c r="MLK9" s="21"/>
      <c r="MLL9" s="21"/>
      <c r="MLM9" s="21"/>
      <c r="MLN9" s="21"/>
      <c r="MLO9" s="21"/>
      <c r="MLP9" s="21"/>
      <c r="MLQ9" s="21"/>
      <c r="MLR9" s="21"/>
      <c r="MLS9" s="21"/>
      <c r="MLT9" s="21"/>
      <c r="MLU9" s="21"/>
      <c r="MLV9" s="21"/>
      <c r="MLW9" s="21"/>
      <c r="MLX9" s="21"/>
      <c r="MLY9" s="21"/>
      <c r="MLZ9" s="21"/>
      <c r="MMA9" s="21"/>
      <c r="MMB9" s="21"/>
      <c r="MMC9" s="21"/>
      <c r="MMD9" s="21"/>
      <c r="MME9" s="21"/>
      <c r="MMF9" s="21"/>
      <c r="MMG9" s="21"/>
      <c r="MMH9" s="21"/>
      <c r="MMI9" s="21"/>
      <c r="MMJ9" s="21"/>
      <c r="MMK9" s="21"/>
      <c r="MML9" s="21"/>
      <c r="MMM9" s="21"/>
      <c r="MMN9" s="21"/>
      <c r="MMO9" s="21"/>
      <c r="MMP9" s="21"/>
      <c r="MMQ9" s="21"/>
      <c r="MMR9" s="21"/>
      <c r="MMS9" s="21"/>
      <c r="MMT9" s="21"/>
      <c r="MMU9" s="21"/>
      <c r="MMV9" s="21"/>
      <c r="MMW9" s="21"/>
      <c r="MMX9" s="21"/>
      <c r="MMY9" s="21"/>
      <c r="MMZ9" s="21"/>
      <c r="MNA9" s="21"/>
      <c r="MNB9" s="21"/>
      <c r="MNC9" s="21"/>
      <c r="MND9" s="21"/>
      <c r="MNE9" s="21"/>
      <c r="MNF9" s="21"/>
      <c r="MNG9" s="21"/>
      <c r="MNH9" s="21"/>
      <c r="MNI9" s="21"/>
      <c r="MNJ9" s="21"/>
      <c r="MNK9" s="21"/>
      <c r="MNL9" s="21"/>
      <c r="MNM9" s="21"/>
      <c r="MNN9" s="21"/>
      <c r="MNO9" s="21"/>
      <c r="MNP9" s="21"/>
      <c r="MNQ9" s="21"/>
      <c r="MNR9" s="21"/>
      <c r="MNS9" s="21"/>
      <c r="MNT9" s="21"/>
      <c r="MNU9" s="21"/>
      <c r="MNV9" s="21"/>
      <c r="MNW9" s="21"/>
      <c r="MNX9" s="21"/>
      <c r="MNY9" s="21"/>
      <c r="MNZ9" s="21"/>
      <c r="MOA9" s="21"/>
      <c r="MOB9" s="21"/>
      <c r="MOC9" s="21"/>
      <c r="MOD9" s="21"/>
      <c r="MOE9" s="21"/>
      <c r="MOF9" s="21"/>
      <c r="MOG9" s="21"/>
      <c r="MOH9" s="21"/>
      <c r="MOI9" s="21"/>
      <c r="MOJ9" s="21"/>
      <c r="MOK9" s="21"/>
      <c r="MOL9" s="21"/>
      <c r="MOM9" s="21"/>
      <c r="MON9" s="21"/>
      <c r="MOO9" s="21"/>
      <c r="MOP9" s="21"/>
      <c r="MOQ9" s="21"/>
      <c r="MOR9" s="21"/>
      <c r="MOS9" s="21"/>
      <c r="MOT9" s="21"/>
      <c r="MOU9" s="21"/>
      <c r="MOV9" s="21"/>
      <c r="MOW9" s="21"/>
      <c r="MOX9" s="21"/>
      <c r="MOY9" s="21"/>
      <c r="MOZ9" s="21"/>
      <c r="MPA9" s="21"/>
      <c r="MPB9" s="21"/>
      <c r="MPC9" s="21"/>
      <c r="MPD9" s="21"/>
      <c r="MPE9" s="21"/>
      <c r="MPF9" s="21"/>
      <c r="MPG9" s="21"/>
      <c r="MPH9" s="21"/>
      <c r="MPI9" s="21"/>
      <c r="MPJ9" s="21"/>
      <c r="MPK9" s="21"/>
      <c r="MPL9" s="21"/>
      <c r="MPM9" s="21"/>
      <c r="MPN9" s="21"/>
      <c r="MPO9" s="21"/>
      <c r="MPP9" s="21"/>
      <c r="MPQ9" s="21"/>
      <c r="MPR9" s="21"/>
      <c r="MPS9" s="21"/>
      <c r="MPT9" s="21"/>
      <c r="MPU9" s="21"/>
      <c r="MPV9" s="21"/>
      <c r="MPW9" s="21"/>
      <c r="MPX9" s="21"/>
      <c r="MPY9" s="21"/>
      <c r="MPZ9" s="21"/>
      <c r="MQA9" s="21"/>
      <c r="MQB9" s="21"/>
      <c r="MQC9" s="21"/>
      <c r="MQD9" s="21"/>
      <c r="MQE9" s="21"/>
      <c r="MQF9" s="21"/>
      <c r="MQG9" s="21"/>
      <c r="MQH9" s="21"/>
      <c r="MQI9" s="21"/>
      <c r="MQJ9" s="21"/>
      <c r="MQK9" s="21"/>
      <c r="MQL9" s="21"/>
      <c r="MQM9" s="21"/>
      <c r="MQN9" s="21"/>
      <c r="MQO9" s="21"/>
      <c r="MQP9" s="21"/>
      <c r="MQQ9" s="21"/>
      <c r="MQR9" s="21"/>
      <c r="MQS9" s="21"/>
      <c r="MQT9" s="21"/>
      <c r="MQU9" s="21"/>
      <c r="MQV9" s="21"/>
      <c r="MQW9" s="21"/>
      <c r="MQX9" s="21"/>
      <c r="MQY9" s="21"/>
      <c r="MQZ9" s="21"/>
      <c r="MRA9" s="21"/>
      <c r="MRB9" s="21"/>
      <c r="MRC9" s="21"/>
      <c r="MRD9" s="21"/>
      <c r="MRE9" s="21"/>
      <c r="MRF9" s="21"/>
      <c r="MRG9" s="21"/>
      <c r="MRH9" s="21"/>
      <c r="MRI9" s="21"/>
      <c r="MRJ9" s="21"/>
      <c r="MRK9" s="21"/>
      <c r="MRL9" s="21"/>
      <c r="MRM9" s="21"/>
      <c r="MRN9" s="21"/>
      <c r="MRO9" s="21"/>
      <c r="MRP9" s="21"/>
      <c r="MRQ9" s="21"/>
      <c r="MRR9" s="21"/>
      <c r="MRS9" s="21"/>
      <c r="MRT9" s="21"/>
      <c r="MRU9" s="21"/>
      <c r="MRV9" s="21"/>
      <c r="MRW9" s="21"/>
      <c r="MRX9" s="21"/>
      <c r="MRY9" s="21"/>
      <c r="MRZ9" s="21"/>
      <c r="MSA9" s="21"/>
      <c r="MSB9" s="21"/>
      <c r="MSC9" s="21"/>
      <c r="MSD9" s="21"/>
      <c r="MSE9" s="21"/>
      <c r="MSF9" s="21"/>
      <c r="MSG9" s="21"/>
      <c r="MSH9" s="21"/>
      <c r="MSI9" s="21"/>
      <c r="MSJ9" s="21"/>
      <c r="MSK9" s="21"/>
      <c r="MSL9" s="21"/>
      <c r="MSM9" s="21"/>
      <c r="MSN9" s="21"/>
      <c r="MSO9" s="21"/>
      <c r="MSP9" s="21"/>
      <c r="MSQ9" s="21"/>
      <c r="MSR9" s="21"/>
      <c r="MSS9" s="21"/>
      <c r="MST9" s="21"/>
      <c r="MSU9" s="21"/>
      <c r="MSV9" s="21"/>
      <c r="MSW9" s="21"/>
      <c r="MSX9" s="21"/>
      <c r="MSY9" s="21"/>
      <c r="MSZ9" s="21"/>
      <c r="MTA9" s="21"/>
      <c r="MTB9" s="21"/>
      <c r="MTC9" s="21"/>
      <c r="MTD9" s="21"/>
      <c r="MTE9" s="21"/>
      <c r="MTF9" s="21"/>
      <c r="MTG9" s="21"/>
      <c r="MTH9" s="21"/>
      <c r="MTI9" s="21"/>
      <c r="MTJ9" s="21"/>
      <c r="MTK9" s="21"/>
      <c r="MTL9" s="21"/>
      <c r="MTM9" s="21"/>
      <c r="MTN9" s="21"/>
      <c r="MTO9" s="21"/>
      <c r="MTP9" s="21"/>
      <c r="MTQ9" s="21"/>
      <c r="MTR9" s="21"/>
      <c r="MTS9" s="21"/>
      <c r="MTT9" s="21"/>
      <c r="MTU9" s="21"/>
      <c r="MTV9" s="21"/>
      <c r="MTW9" s="21"/>
      <c r="MTX9" s="21"/>
      <c r="MTY9" s="21"/>
      <c r="MTZ9" s="21"/>
      <c r="MUA9" s="21"/>
      <c r="MUB9" s="21"/>
      <c r="MUC9" s="21"/>
      <c r="MUD9" s="21"/>
      <c r="MUE9" s="21"/>
      <c r="MUF9" s="21"/>
      <c r="MUG9" s="21"/>
      <c r="MUH9" s="21"/>
      <c r="MUI9" s="21"/>
      <c r="MUJ9" s="21"/>
      <c r="MUK9" s="21"/>
      <c r="MUL9" s="21"/>
      <c r="MUM9" s="21"/>
      <c r="MUN9" s="21"/>
      <c r="MUO9" s="21"/>
      <c r="MUP9" s="21"/>
      <c r="MUQ9" s="21"/>
      <c r="MUR9" s="21"/>
      <c r="MUS9" s="21"/>
      <c r="MUT9" s="21"/>
      <c r="MUU9" s="21"/>
      <c r="MUV9" s="21"/>
      <c r="MUW9" s="21"/>
      <c r="MUX9" s="21"/>
      <c r="MUY9" s="21"/>
      <c r="MUZ9" s="21"/>
      <c r="MVA9" s="21"/>
      <c r="MVB9" s="21"/>
      <c r="MVC9" s="21"/>
      <c r="MVD9" s="21"/>
      <c r="MVE9" s="21"/>
      <c r="MVF9" s="21"/>
      <c r="MVG9" s="21"/>
      <c r="MVH9" s="21"/>
      <c r="MVI9" s="21"/>
      <c r="MVJ9" s="21"/>
      <c r="MVK9" s="21"/>
      <c r="MVL9" s="21"/>
      <c r="MVM9" s="21"/>
      <c r="MVN9" s="21"/>
      <c r="MVO9" s="21"/>
      <c r="MVP9" s="21"/>
      <c r="MVQ9" s="21"/>
      <c r="MVR9" s="21"/>
      <c r="MVS9" s="21"/>
      <c r="MVT9" s="21"/>
      <c r="MVU9" s="21"/>
      <c r="MVV9" s="21"/>
      <c r="MVW9" s="21"/>
      <c r="MVX9" s="21"/>
      <c r="MVY9" s="21"/>
      <c r="MVZ9" s="21"/>
      <c r="MWA9" s="21"/>
      <c r="MWB9" s="21"/>
      <c r="MWC9" s="21"/>
      <c r="MWD9" s="21"/>
      <c r="MWE9" s="21"/>
      <c r="MWF9" s="21"/>
      <c r="MWG9" s="21"/>
      <c r="MWH9" s="21"/>
      <c r="MWI9" s="21"/>
      <c r="MWJ9" s="21"/>
      <c r="MWK9" s="21"/>
      <c r="MWL9" s="21"/>
      <c r="MWM9" s="21"/>
      <c r="MWN9" s="21"/>
      <c r="MWO9" s="21"/>
      <c r="MWP9" s="21"/>
      <c r="MWQ9" s="21"/>
      <c r="MWR9" s="21"/>
      <c r="MWS9" s="21"/>
      <c r="MWT9" s="21"/>
      <c r="MWU9" s="21"/>
      <c r="MWV9" s="21"/>
      <c r="MWW9" s="21"/>
      <c r="MWX9" s="21"/>
      <c r="MWY9" s="21"/>
      <c r="MWZ9" s="21"/>
      <c r="MXA9" s="21"/>
      <c r="MXB9" s="21"/>
      <c r="MXC9" s="21"/>
      <c r="MXD9" s="21"/>
      <c r="MXE9" s="21"/>
      <c r="MXF9" s="21"/>
      <c r="MXG9" s="21"/>
      <c r="MXH9" s="21"/>
      <c r="MXI9" s="21"/>
      <c r="MXJ9" s="21"/>
      <c r="MXK9" s="21"/>
      <c r="MXL9" s="21"/>
      <c r="MXM9" s="21"/>
      <c r="MXN9" s="21"/>
      <c r="MXO9" s="21"/>
      <c r="MXP9" s="21"/>
      <c r="MXQ9" s="21"/>
      <c r="MXR9" s="21"/>
      <c r="MXS9" s="21"/>
      <c r="MXT9" s="21"/>
      <c r="MXU9" s="21"/>
      <c r="MXV9" s="21"/>
      <c r="MXW9" s="21"/>
      <c r="MXX9" s="21"/>
      <c r="MXY9" s="21"/>
      <c r="MXZ9" s="21"/>
      <c r="MYA9" s="21"/>
      <c r="MYB9" s="21"/>
      <c r="MYC9" s="21"/>
      <c r="MYD9" s="21"/>
      <c r="MYE9" s="21"/>
      <c r="MYF9" s="21"/>
      <c r="MYG9" s="21"/>
      <c r="MYH9" s="21"/>
      <c r="MYI9" s="21"/>
      <c r="MYJ9" s="21"/>
      <c r="MYK9" s="21"/>
      <c r="MYL9" s="21"/>
      <c r="MYM9" s="21"/>
      <c r="MYN9" s="21"/>
      <c r="MYO9" s="21"/>
      <c r="MYP9" s="21"/>
      <c r="MYQ9" s="21"/>
      <c r="MYR9" s="21"/>
      <c r="MYS9" s="21"/>
      <c r="MYT9" s="21"/>
      <c r="MYU9" s="21"/>
      <c r="MYV9" s="21"/>
      <c r="MYW9" s="21"/>
      <c r="MYX9" s="21"/>
      <c r="MYY9" s="21"/>
      <c r="MYZ9" s="21"/>
      <c r="MZA9" s="21"/>
      <c r="MZB9" s="21"/>
      <c r="MZC9" s="21"/>
      <c r="MZD9" s="21"/>
      <c r="MZE9" s="21"/>
      <c r="MZF9" s="21"/>
      <c r="MZG9" s="21"/>
      <c r="MZH9" s="21"/>
      <c r="MZI9" s="21"/>
      <c r="MZJ9" s="21"/>
      <c r="MZK9" s="21"/>
      <c r="MZL9" s="21"/>
      <c r="MZM9" s="21"/>
      <c r="MZN9" s="21"/>
      <c r="MZO9" s="21"/>
      <c r="MZP9" s="21"/>
      <c r="MZQ9" s="21"/>
      <c r="MZR9" s="21"/>
      <c r="MZS9" s="21"/>
      <c r="MZT9" s="21"/>
      <c r="MZU9" s="21"/>
      <c r="MZV9" s="21"/>
      <c r="MZW9" s="21"/>
      <c r="MZX9" s="21"/>
      <c r="MZY9" s="21"/>
      <c r="MZZ9" s="21"/>
      <c r="NAA9" s="21"/>
      <c r="NAB9" s="21"/>
      <c r="NAC9" s="21"/>
      <c r="NAD9" s="21"/>
      <c r="NAE9" s="21"/>
      <c r="NAF9" s="21"/>
      <c r="NAG9" s="21"/>
      <c r="NAH9" s="21"/>
      <c r="NAI9" s="21"/>
      <c r="NAJ9" s="21"/>
      <c r="NAK9" s="21"/>
      <c r="NAL9" s="21"/>
      <c r="NAM9" s="21"/>
      <c r="NAN9" s="21"/>
      <c r="NAO9" s="21"/>
      <c r="NAP9" s="21"/>
      <c r="NAQ9" s="21"/>
      <c r="NAR9" s="21"/>
      <c r="NAS9" s="21"/>
      <c r="NAT9" s="21"/>
      <c r="NAU9" s="21"/>
      <c r="NAV9" s="21"/>
      <c r="NAW9" s="21"/>
      <c r="NAX9" s="21"/>
      <c r="NAY9" s="21"/>
      <c r="NAZ9" s="21"/>
      <c r="NBA9" s="21"/>
      <c r="NBB9" s="21"/>
      <c r="NBC9" s="21"/>
      <c r="NBD9" s="21"/>
      <c r="NBE9" s="21"/>
      <c r="NBF9" s="21"/>
      <c r="NBG9" s="21"/>
      <c r="NBH9" s="21"/>
      <c r="NBI9" s="21"/>
      <c r="NBJ9" s="21"/>
      <c r="NBK9" s="21"/>
      <c r="NBL9" s="21"/>
      <c r="NBM9" s="21"/>
      <c r="NBN9" s="21"/>
      <c r="NBO9" s="21"/>
      <c r="NBP9" s="21"/>
      <c r="NBQ9" s="21"/>
      <c r="NBR9" s="21"/>
      <c r="NBS9" s="21"/>
      <c r="NBT9" s="21"/>
      <c r="NBU9" s="21"/>
      <c r="NBV9" s="21"/>
      <c r="NBW9" s="21"/>
      <c r="NBX9" s="21"/>
      <c r="NBY9" s="21"/>
      <c r="NBZ9" s="21"/>
      <c r="NCA9" s="21"/>
      <c r="NCB9" s="21"/>
      <c r="NCC9" s="21"/>
      <c r="NCD9" s="21"/>
      <c r="NCE9" s="21"/>
      <c r="NCF9" s="21"/>
      <c r="NCG9" s="21"/>
      <c r="NCH9" s="21"/>
      <c r="NCI9" s="21"/>
      <c r="NCJ9" s="21"/>
      <c r="NCK9" s="21"/>
      <c r="NCL9" s="21"/>
      <c r="NCM9" s="21"/>
      <c r="NCN9" s="21"/>
      <c r="NCO9" s="21"/>
      <c r="NCP9" s="21"/>
      <c r="NCQ9" s="21"/>
      <c r="NCR9" s="21"/>
      <c r="NCS9" s="21"/>
      <c r="NCT9" s="21"/>
      <c r="NCU9" s="21"/>
      <c r="NCV9" s="21"/>
      <c r="NCW9" s="21"/>
      <c r="NCX9" s="21"/>
      <c r="NCY9" s="21"/>
      <c r="NCZ9" s="21"/>
      <c r="NDA9" s="21"/>
      <c r="NDB9" s="21"/>
      <c r="NDC9" s="21"/>
      <c r="NDD9" s="21"/>
      <c r="NDE9" s="21"/>
      <c r="NDF9" s="21"/>
      <c r="NDG9" s="21"/>
      <c r="NDH9" s="21"/>
      <c r="NDI9" s="21"/>
      <c r="NDJ9" s="21"/>
      <c r="NDK9" s="21"/>
      <c r="NDL9" s="21"/>
      <c r="NDM9" s="21"/>
      <c r="NDN9" s="21"/>
      <c r="NDO9" s="21"/>
      <c r="NDP9" s="21"/>
      <c r="NDQ9" s="21"/>
      <c r="NDR9" s="21"/>
      <c r="NDS9" s="21"/>
      <c r="NDT9" s="21"/>
      <c r="NDU9" s="21"/>
      <c r="NDV9" s="21"/>
      <c r="NDW9" s="21"/>
      <c r="NDX9" s="21"/>
      <c r="NDY9" s="21"/>
      <c r="NDZ9" s="21"/>
      <c r="NEA9" s="21"/>
      <c r="NEB9" s="21"/>
      <c r="NEC9" s="21"/>
      <c r="NED9" s="21"/>
      <c r="NEE9" s="21"/>
      <c r="NEF9" s="21"/>
      <c r="NEG9" s="21"/>
      <c r="NEH9" s="21"/>
      <c r="NEI9" s="21"/>
      <c r="NEJ9" s="21"/>
      <c r="NEK9" s="21"/>
      <c r="NEL9" s="21"/>
      <c r="NEM9" s="21"/>
      <c r="NEN9" s="21"/>
      <c r="NEO9" s="21"/>
      <c r="NEP9" s="21"/>
      <c r="NEQ9" s="21"/>
      <c r="NER9" s="21"/>
      <c r="NES9" s="21"/>
      <c r="NET9" s="21"/>
      <c r="NEU9" s="21"/>
      <c r="NEV9" s="21"/>
      <c r="NEW9" s="21"/>
      <c r="NEX9" s="21"/>
      <c r="NEY9" s="21"/>
      <c r="NEZ9" s="21"/>
      <c r="NFA9" s="21"/>
      <c r="NFB9" s="21"/>
      <c r="NFC9" s="21"/>
      <c r="NFD9" s="21"/>
      <c r="NFE9" s="21"/>
      <c r="NFF9" s="21"/>
      <c r="NFG9" s="21"/>
      <c r="NFH9" s="21"/>
      <c r="NFI9" s="21"/>
      <c r="NFJ9" s="21"/>
      <c r="NFK9" s="21"/>
      <c r="NFL9" s="21"/>
      <c r="NFM9" s="21"/>
      <c r="NFN9" s="21"/>
      <c r="NFO9" s="21"/>
      <c r="NFP9" s="21"/>
      <c r="NFQ9" s="21"/>
      <c r="NFR9" s="21"/>
      <c r="NFS9" s="21"/>
      <c r="NFT9" s="21"/>
      <c r="NFU9" s="21"/>
      <c r="NFV9" s="21"/>
      <c r="NFW9" s="21"/>
      <c r="NFX9" s="21"/>
      <c r="NFY9" s="21"/>
      <c r="NFZ9" s="21"/>
      <c r="NGA9" s="21"/>
      <c r="NGB9" s="21"/>
      <c r="NGC9" s="21"/>
      <c r="NGD9" s="21"/>
      <c r="NGE9" s="21"/>
      <c r="NGF9" s="21"/>
      <c r="NGG9" s="21"/>
      <c r="NGH9" s="21"/>
      <c r="NGI9" s="21"/>
      <c r="NGJ9" s="21"/>
      <c r="NGK9" s="21"/>
      <c r="NGL9" s="21"/>
      <c r="NGM9" s="21"/>
      <c r="NGN9" s="21"/>
      <c r="NGO9" s="21"/>
      <c r="NGP9" s="21"/>
      <c r="NGQ9" s="21"/>
      <c r="NGR9" s="21"/>
      <c r="NGS9" s="21"/>
      <c r="NGT9" s="21"/>
      <c r="NGU9" s="21"/>
      <c r="NGV9" s="21"/>
      <c r="NGW9" s="21"/>
      <c r="NGX9" s="21"/>
      <c r="NGY9" s="21"/>
      <c r="NGZ9" s="21"/>
      <c r="NHA9" s="21"/>
      <c r="NHB9" s="21"/>
      <c r="NHC9" s="21"/>
      <c r="NHD9" s="21"/>
      <c r="NHE9" s="21"/>
      <c r="NHF9" s="21"/>
      <c r="NHG9" s="21"/>
      <c r="NHH9" s="21"/>
      <c r="NHI9" s="21"/>
      <c r="NHJ9" s="21"/>
      <c r="NHK9" s="21"/>
      <c r="NHL9" s="21"/>
      <c r="NHM9" s="21"/>
      <c r="NHN9" s="21"/>
      <c r="NHO9" s="21"/>
      <c r="NHP9" s="21"/>
      <c r="NHQ9" s="21"/>
      <c r="NHR9" s="21"/>
      <c r="NHS9" s="21"/>
      <c r="NHT9" s="21"/>
      <c r="NHU9" s="21"/>
      <c r="NHV9" s="21"/>
      <c r="NHW9" s="21"/>
      <c r="NHX9" s="21"/>
      <c r="NHY9" s="21"/>
      <c r="NHZ9" s="21"/>
      <c r="NIA9" s="21"/>
      <c r="NIB9" s="21"/>
      <c r="NIC9" s="21"/>
      <c r="NID9" s="21"/>
      <c r="NIE9" s="21"/>
      <c r="NIF9" s="21"/>
      <c r="NIG9" s="21"/>
      <c r="NIH9" s="21"/>
      <c r="NII9" s="21"/>
      <c r="NIJ9" s="21"/>
      <c r="NIK9" s="21"/>
      <c r="NIL9" s="21"/>
      <c r="NIM9" s="21"/>
      <c r="NIN9" s="21"/>
      <c r="NIO9" s="21"/>
      <c r="NIP9" s="21"/>
      <c r="NIQ9" s="21"/>
      <c r="NIR9" s="21"/>
      <c r="NIS9" s="21"/>
      <c r="NIT9" s="21"/>
      <c r="NIU9" s="21"/>
      <c r="NIV9" s="21"/>
      <c r="NIW9" s="21"/>
      <c r="NIX9" s="21"/>
      <c r="NIY9" s="21"/>
      <c r="NIZ9" s="21"/>
      <c r="NJA9" s="21"/>
      <c r="NJB9" s="21"/>
      <c r="NJC9" s="21"/>
      <c r="NJD9" s="21"/>
      <c r="NJE9" s="21"/>
      <c r="NJF9" s="21"/>
      <c r="NJG9" s="21"/>
      <c r="NJH9" s="21"/>
      <c r="NJI9" s="21"/>
      <c r="NJJ9" s="21"/>
      <c r="NJK9" s="21"/>
      <c r="NJL9" s="21"/>
      <c r="NJM9" s="21"/>
      <c r="NJN9" s="21"/>
      <c r="NJO9" s="21"/>
      <c r="NJP9" s="21"/>
      <c r="NJQ9" s="21"/>
      <c r="NJR9" s="21"/>
      <c r="NJS9" s="21"/>
      <c r="NJT9" s="21"/>
      <c r="NJU9" s="21"/>
      <c r="NJV9" s="21"/>
      <c r="NJW9" s="21"/>
      <c r="NJX9" s="21"/>
      <c r="NJY9" s="21"/>
      <c r="NJZ9" s="21"/>
      <c r="NKA9" s="21"/>
      <c r="NKB9" s="21"/>
      <c r="NKC9" s="21"/>
      <c r="NKD9" s="21"/>
      <c r="NKE9" s="21"/>
      <c r="NKF9" s="21"/>
      <c r="NKG9" s="21"/>
      <c r="NKH9" s="21"/>
      <c r="NKI9" s="21"/>
      <c r="NKJ9" s="21"/>
      <c r="NKK9" s="21"/>
      <c r="NKL9" s="21"/>
      <c r="NKM9" s="21"/>
      <c r="NKN9" s="21"/>
      <c r="NKO9" s="21"/>
      <c r="NKP9" s="21"/>
      <c r="NKQ9" s="21"/>
      <c r="NKR9" s="21"/>
      <c r="NKS9" s="21"/>
      <c r="NKT9" s="21"/>
      <c r="NKU9" s="21"/>
      <c r="NKV9" s="21"/>
      <c r="NKW9" s="21"/>
      <c r="NKX9" s="21"/>
      <c r="NKY9" s="21"/>
      <c r="NKZ9" s="21"/>
      <c r="NLA9" s="21"/>
      <c r="NLB9" s="21"/>
      <c r="NLC9" s="21"/>
      <c r="NLD9" s="21"/>
      <c r="NLE9" s="21"/>
      <c r="NLF9" s="21"/>
      <c r="NLG9" s="21"/>
      <c r="NLH9" s="21"/>
      <c r="NLI9" s="21"/>
      <c r="NLJ9" s="21"/>
      <c r="NLK9" s="21"/>
      <c r="NLL9" s="21"/>
      <c r="NLM9" s="21"/>
      <c r="NLN9" s="21"/>
      <c r="NLO9" s="21"/>
      <c r="NLP9" s="21"/>
      <c r="NLQ9" s="21"/>
      <c r="NLR9" s="21"/>
      <c r="NLS9" s="21"/>
      <c r="NLT9" s="21"/>
      <c r="NLU9" s="21"/>
      <c r="NLV9" s="21"/>
      <c r="NLW9" s="21"/>
      <c r="NLX9" s="21"/>
      <c r="NLY9" s="21"/>
      <c r="NLZ9" s="21"/>
      <c r="NMA9" s="21"/>
      <c r="NMB9" s="21"/>
      <c r="NMC9" s="21"/>
      <c r="NMD9" s="21"/>
      <c r="NME9" s="21"/>
      <c r="NMF9" s="21"/>
      <c r="NMG9" s="21"/>
      <c r="NMH9" s="21"/>
      <c r="NMI9" s="21"/>
      <c r="NMJ9" s="21"/>
      <c r="NMK9" s="21"/>
      <c r="NML9" s="21"/>
      <c r="NMM9" s="21"/>
      <c r="NMN9" s="21"/>
      <c r="NMO9" s="21"/>
      <c r="NMP9" s="21"/>
      <c r="NMQ9" s="21"/>
      <c r="NMR9" s="21"/>
      <c r="NMS9" s="21"/>
      <c r="NMT9" s="21"/>
      <c r="NMU9" s="21"/>
      <c r="NMV9" s="21"/>
      <c r="NMW9" s="21"/>
      <c r="NMX9" s="21"/>
      <c r="NMY9" s="21"/>
      <c r="NMZ9" s="21"/>
      <c r="NNA9" s="21"/>
      <c r="NNB9" s="21"/>
      <c r="NNC9" s="21"/>
      <c r="NND9" s="21"/>
      <c r="NNE9" s="21"/>
      <c r="NNF9" s="21"/>
      <c r="NNG9" s="21"/>
      <c r="NNH9" s="21"/>
      <c r="NNI9" s="21"/>
      <c r="NNJ9" s="21"/>
      <c r="NNK9" s="21"/>
      <c r="NNL9" s="21"/>
      <c r="NNM9" s="21"/>
      <c r="NNN9" s="21"/>
      <c r="NNO9" s="21"/>
      <c r="NNP9" s="21"/>
      <c r="NNQ9" s="21"/>
      <c r="NNR9" s="21"/>
      <c r="NNS9" s="21"/>
      <c r="NNT9" s="21"/>
      <c r="NNU9" s="21"/>
      <c r="NNV9" s="21"/>
      <c r="NNW9" s="21"/>
      <c r="NNX9" s="21"/>
      <c r="NNY9" s="21"/>
      <c r="NNZ9" s="21"/>
      <c r="NOA9" s="21"/>
      <c r="NOB9" s="21"/>
      <c r="NOC9" s="21"/>
      <c r="NOD9" s="21"/>
      <c r="NOE9" s="21"/>
      <c r="NOF9" s="21"/>
      <c r="NOG9" s="21"/>
      <c r="NOH9" s="21"/>
      <c r="NOI9" s="21"/>
      <c r="NOJ9" s="21"/>
      <c r="NOK9" s="21"/>
      <c r="NOL9" s="21"/>
      <c r="NOM9" s="21"/>
      <c r="NON9" s="21"/>
      <c r="NOO9" s="21"/>
      <c r="NOP9" s="21"/>
      <c r="NOQ9" s="21"/>
      <c r="NOR9" s="21"/>
      <c r="NOS9" s="21"/>
      <c r="NOT9" s="21"/>
      <c r="NOU9" s="21"/>
      <c r="NOV9" s="21"/>
      <c r="NOW9" s="21"/>
      <c r="NOX9" s="21"/>
      <c r="NOY9" s="21"/>
      <c r="NOZ9" s="21"/>
      <c r="NPA9" s="21"/>
      <c r="NPB9" s="21"/>
      <c r="NPC9" s="21"/>
      <c r="NPD9" s="21"/>
      <c r="NPE9" s="21"/>
      <c r="NPF9" s="21"/>
      <c r="NPG9" s="21"/>
      <c r="NPH9" s="21"/>
      <c r="NPI9" s="21"/>
      <c r="NPJ9" s="21"/>
      <c r="NPK9" s="21"/>
      <c r="NPL9" s="21"/>
      <c r="NPM9" s="21"/>
      <c r="NPN9" s="21"/>
      <c r="NPO9" s="21"/>
      <c r="NPP9" s="21"/>
      <c r="NPQ9" s="21"/>
      <c r="NPR9" s="21"/>
      <c r="NPS9" s="21"/>
      <c r="NPT9" s="21"/>
      <c r="NPU9" s="21"/>
      <c r="NPV9" s="21"/>
      <c r="NPW9" s="21"/>
      <c r="NPX9" s="21"/>
      <c r="NPY9" s="21"/>
      <c r="NPZ9" s="21"/>
      <c r="NQA9" s="21"/>
      <c r="NQB9" s="21"/>
      <c r="NQC9" s="21"/>
      <c r="NQD9" s="21"/>
      <c r="NQE9" s="21"/>
      <c r="NQF9" s="21"/>
      <c r="NQG9" s="21"/>
      <c r="NQH9" s="21"/>
      <c r="NQI9" s="21"/>
      <c r="NQJ9" s="21"/>
      <c r="NQK9" s="21"/>
      <c r="NQL9" s="21"/>
      <c r="NQM9" s="21"/>
      <c r="NQN9" s="21"/>
      <c r="NQO9" s="21"/>
      <c r="NQP9" s="21"/>
      <c r="NQQ9" s="21"/>
      <c r="NQR9" s="21"/>
      <c r="NQS9" s="21"/>
      <c r="NQT9" s="21"/>
      <c r="NQU9" s="21"/>
      <c r="NQV9" s="21"/>
      <c r="NQW9" s="21"/>
      <c r="NQX9" s="21"/>
      <c r="NQY9" s="21"/>
      <c r="NQZ9" s="21"/>
      <c r="NRA9" s="21"/>
      <c r="NRB9" s="21"/>
      <c r="NRC9" s="21"/>
      <c r="NRD9" s="21"/>
      <c r="NRE9" s="21"/>
      <c r="NRF9" s="21"/>
      <c r="NRG9" s="21"/>
      <c r="NRH9" s="21"/>
      <c r="NRI9" s="21"/>
      <c r="NRJ9" s="21"/>
      <c r="NRK9" s="21"/>
      <c r="NRL9" s="21"/>
      <c r="NRM9" s="21"/>
      <c r="NRN9" s="21"/>
      <c r="NRO9" s="21"/>
      <c r="NRP9" s="21"/>
      <c r="NRQ9" s="21"/>
      <c r="NRR9" s="21"/>
      <c r="NRS9" s="21"/>
      <c r="NRT9" s="21"/>
      <c r="NRU9" s="21"/>
      <c r="NRV9" s="21"/>
      <c r="NRW9" s="21"/>
      <c r="NRX9" s="21"/>
      <c r="NRY9" s="21"/>
      <c r="NRZ9" s="21"/>
      <c r="NSA9" s="21"/>
      <c r="NSB9" s="21"/>
      <c r="NSC9" s="21"/>
      <c r="NSD9" s="21"/>
      <c r="NSE9" s="21"/>
      <c r="NSF9" s="21"/>
      <c r="NSG9" s="21"/>
      <c r="NSH9" s="21"/>
      <c r="NSI9" s="21"/>
      <c r="NSJ9" s="21"/>
      <c r="NSK9" s="21"/>
      <c r="NSL9" s="21"/>
      <c r="NSM9" s="21"/>
      <c r="NSN9" s="21"/>
      <c r="NSO9" s="21"/>
      <c r="NSP9" s="21"/>
      <c r="NSQ9" s="21"/>
      <c r="NSR9" s="21"/>
      <c r="NSS9" s="21"/>
      <c r="NST9" s="21"/>
      <c r="NSU9" s="21"/>
      <c r="NSV9" s="21"/>
      <c r="NSW9" s="21"/>
      <c r="NSX9" s="21"/>
      <c r="NSY9" s="21"/>
      <c r="NSZ9" s="21"/>
      <c r="NTA9" s="21"/>
      <c r="NTB9" s="21"/>
      <c r="NTC9" s="21"/>
      <c r="NTD9" s="21"/>
      <c r="NTE9" s="21"/>
      <c r="NTF9" s="21"/>
      <c r="NTG9" s="21"/>
      <c r="NTH9" s="21"/>
      <c r="NTI9" s="21"/>
      <c r="NTJ9" s="21"/>
      <c r="NTK9" s="21"/>
      <c r="NTL9" s="21"/>
      <c r="NTM9" s="21"/>
      <c r="NTN9" s="21"/>
      <c r="NTO9" s="21"/>
      <c r="NTP9" s="21"/>
      <c r="NTQ9" s="21"/>
      <c r="NTR9" s="21"/>
      <c r="NTS9" s="21"/>
      <c r="NTT9" s="21"/>
      <c r="NTU9" s="21"/>
      <c r="NTV9" s="21"/>
      <c r="NTW9" s="21"/>
      <c r="NTX9" s="21"/>
      <c r="NTY9" s="21"/>
      <c r="NTZ9" s="21"/>
      <c r="NUA9" s="21"/>
      <c r="NUB9" s="21"/>
      <c r="NUC9" s="21"/>
      <c r="NUD9" s="21"/>
      <c r="NUE9" s="21"/>
      <c r="NUF9" s="21"/>
      <c r="NUG9" s="21"/>
      <c r="NUH9" s="21"/>
      <c r="NUI9" s="21"/>
      <c r="NUJ9" s="21"/>
      <c r="NUK9" s="21"/>
      <c r="NUL9" s="21"/>
      <c r="NUM9" s="21"/>
      <c r="NUN9" s="21"/>
      <c r="NUO9" s="21"/>
      <c r="NUP9" s="21"/>
      <c r="NUQ9" s="21"/>
      <c r="NUR9" s="21"/>
      <c r="NUS9" s="21"/>
      <c r="NUT9" s="21"/>
      <c r="NUU9" s="21"/>
      <c r="NUV9" s="21"/>
      <c r="NUW9" s="21"/>
      <c r="NUX9" s="21"/>
      <c r="NUY9" s="21"/>
      <c r="NUZ9" s="21"/>
      <c r="NVA9" s="21"/>
      <c r="NVB9" s="21"/>
      <c r="NVC9" s="21"/>
      <c r="NVD9" s="21"/>
      <c r="NVE9" s="21"/>
      <c r="NVF9" s="21"/>
      <c r="NVG9" s="21"/>
      <c r="NVH9" s="21"/>
      <c r="NVI9" s="21"/>
      <c r="NVJ9" s="21"/>
      <c r="NVK9" s="21"/>
      <c r="NVL9" s="21"/>
      <c r="NVM9" s="21"/>
      <c r="NVN9" s="21"/>
      <c r="NVO9" s="21"/>
      <c r="NVP9" s="21"/>
      <c r="NVQ9" s="21"/>
      <c r="NVR9" s="21"/>
      <c r="NVS9" s="21"/>
      <c r="NVT9" s="21"/>
      <c r="NVU9" s="21"/>
      <c r="NVV9" s="21"/>
      <c r="NVW9" s="21"/>
      <c r="NVX9" s="21"/>
      <c r="NVY9" s="21"/>
      <c r="NVZ9" s="21"/>
      <c r="NWA9" s="21"/>
      <c r="NWB9" s="21"/>
      <c r="NWC9" s="21"/>
      <c r="NWD9" s="21"/>
      <c r="NWE9" s="21"/>
      <c r="NWF9" s="21"/>
      <c r="NWG9" s="21"/>
      <c r="NWH9" s="21"/>
      <c r="NWI9" s="21"/>
      <c r="NWJ9" s="21"/>
      <c r="NWK9" s="21"/>
      <c r="NWL9" s="21"/>
      <c r="NWM9" s="21"/>
      <c r="NWN9" s="21"/>
      <c r="NWO9" s="21"/>
      <c r="NWP9" s="21"/>
      <c r="NWQ9" s="21"/>
      <c r="NWR9" s="21"/>
      <c r="NWS9" s="21"/>
      <c r="NWT9" s="21"/>
      <c r="NWU9" s="21"/>
      <c r="NWV9" s="21"/>
      <c r="NWW9" s="21"/>
      <c r="NWX9" s="21"/>
      <c r="NWY9" s="21"/>
      <c r="NWZ9" s="21"/>
      <c r="NXA9" s="21"/>
      <c r="NXB9" s="21"/>
      <c r="NXC9" s="21"/>
      <c r="NXD9" s="21"/>
      <c r="NXE9" s="21"/>
      <c r="NXF9" s="21"/>
      <c r="NXG9" s="21"/>
      <c r="NXH9" s="21"/>
      <c r="NXI9" s="21"/>
      <c r="NXJ9" s="21"/>
      <c r="NXK9" s="21"/>
      <c r="NXL9" s="21"/>
      <c r="NXM9" s="21"/>
      <c r="NXN9" s="21"/>
      <c r="NXO9" s="21"/>
      <c r="NXP9" s="21"/>
      <c r="NXQ9" s="21"/>
      <c r="NXR9" s="21"/>
      <c r="NXS9" s="21"/>
      <c r="NXT9" s="21"/>
      <c r="NXU9" s="21"/>
      <c r="NXV9" s="21"/>
      <c r="NXW9" s="21"/>
      <c r="NXX9" s="21"/>
      <c r="NXY9" s="21"/>
      <c r="NXZ9" s="21"/>
      <c r="NYA9" s="21"/>
      <c r="NYB9" s="21"/>
      <c r="NYC9" s="21"/>
      <c r="NYD9" s="21"/>
      <c r="NYE9" s="21"/>
      <c r="NYF9" s="21"/>
      <c r="NYG9" s="21"/>
      <c r="NYH9" s="21"/>
      <c r="NYI9" s="21"/>
      <c r="NYJ9" s="21"/>
      <c r="NYK9" s="21"/>
      <c r="NYL9" s="21"/>
      <c r="NYM9" s="21"/>
      <c r="NYN9" s="21"/>
      <c r="NYO9" s="21"/>
      <c r="NYP9" s="21"/>
      <c r="NYQ9" s="21"/>
      <c r="NYR9" s="21"/>
      <c r="NYS9" s="21"/>
      <c r="NYT9" s="21"/>
      <c r="NYU9" s="21"/>
      <c r="NYV9" s="21"/>
      <c r="NYW9" s="21"/>
      <c r="NYX9" s="21"/>
      <c r="NYY9" s="21"/>
      <c r="NYZ9" s="21"/>
      <c r="NZA9" s="21"/>
      <c r="NZB9" s="21"/>
      <c r="NZC9" s="21"/>
      <c r="NZD9" s="21"/>
      <c r="NZE9" s="21"/>
      <c r="NZF9" s="21"/>
      <c r="NZG9" s="21"/>
      <c r="NZH9" s="21"/>
      <c r="NZI9" s="21"/>
      <c r="NZJ9" s="21"/>
      <c r="NZK9" s="21"/>
      <c r="NZL9" s="21"/>
      <c r="NZM9" s="21"/>
      <c r="NZN9" s="21"/>
      <c r="NZO9" s="21"/>
      <c r="NZP9" s="21"/>
      <c r="NZQ9" s="21"/>
      <c r="NZR9" s="21"/>
      <c r="NZS9" s="21"/>
      <c r="NZT9" s="21"/>
      <c r="NZU9" s="21"/>
      <c r="NZV9" s="21"/>
      <c r="NZW9" s="21"/>
      <c r="NZX9" s="21"/>
      <c r="NZY9" s="21"/>
      <c r="NZZ9" s="21"/>
      <c r="OAA9" s="21"/>
      <c r="OAB9" s="21"/>
      <c r="OAC9" s="21"/>
      <c r="OAD9" s="21"/>
      <c r="OAE9" s="21"/>
      <c r="OAF9" s="21"/>
      <c r="OAG9" s="21"/>
      <c r="OAH9" s="21"/>
      <c r="OAI9" s="21"/>
      <c r="OAJ9" s="21"/>
      <c r="OAK9" s="21"/>
      <c r="OAL9" s="21"/>
      <c r="OAM9" s="21"/>
      <c r="OAN9" s="21"/>
      <c r="OAO9" s="21"/>
      <c r="OAP9" s="21"/>
      <c r="OAQ9" s="21"/>
      <c r="OAR9" s="21"/>
      <c r="OAS9" s="21"/>
      <c r="OAT9" s="21"/>
      <c r="OAU9" s="21"/>
      <c r="OAV9" s="21"/>
      <c r="OAW9" s="21"/>
      <c r="OAX9" s="21"/>
      <c r="OAY9" s="21"/>
      <c r="OAZ9" s="21"/>
      <c r="OBA9" s="21"/>
      <c r="OBB9" s="21"/>
      <c r="OBC9" s="21"/>
      <c r="OBD9" s="21"/>
      <c r="OBE9" s="21"/>
      <c r="OBF9" s="21"/>
      <c r="OBG9" s="21"/>
      <c r="OBH9" s="21"/>
      <c r="OBI9" s="21"/>
      <c r="OBJ9" s="21"/>
      <c r="OBK9" s="21"/>
      <c r="OBL9" s="21"/>
      <c r="OBM9" s="21"/>
      <c r="OBN9" s="21"/>
      <c r="OBO9" s="21"/>
      <c r="OBP9" s="21"/>
      <c r="OBQ9" s="21"/>
      <c r="OBR9" s="21"/>
      <c r="OBS9" s="21"/>
      <c r="OBT9" s="21"/>
      <c r="OBU9" s="21"/>
      <c r="OBV9" s="21"/>
      <c r="OBW9" s="21"/>
      <c r="OBX9" s="21"/>
      <c r="OBY9" s="21"/>
      <c r="OBZ9" s="21"/>
      <c r="OCA9" s="21"/>
      <c r="OCB9" s="21"/>
      <c r="OCC9" s="21"/>
      <c r="OCD9" s="21"/>
      <c r="OCE9" s="21"/>
      <c r="OCF9" s="21"/>
      <c r="OCG9" s="21"/>
      <c r="OCH9" s="21"/>
      <c r="OCI9" s="21"/>
      <c r="OCJ9" s="21"/>
      <c r="OCK9" s="21"/>
      <c r="OCL9" s="21"/>
      <c r="OCM9" s="21"/>
      <c r="OCN9" s="21"/>
      <c r="OCO9" s="21"/>
      <c r="OCP9" s="21"/>
      <c r="OCQ9" s="21"/>
      <c r="OCR9" s="21"/>
      <c r="OCS9" s="21"/>
      <c r="OCT9" s="21"/>
      <c r="OCU9" s="21"/>
      <c r="OCV9" s="21"/>
      <c r="OCW9" s="21"/>
      <c r="OCX9" s="21"/>
      <c r="OCY9" s="21"/>
      <c r="OCZ9" s="21"/>
      <c r="ODA9" s="21"/>
      <c r="ODB9" s="21"/>
      <c r="ODC9" s="21"/>
      <c r="ODD9" s="21"/>
      <c r="ODE9" s="21"/>
      <c r="ODF9" s="21"/>
      <c r="ODG9" s="21"/>
      <c r="ODH9" s="21"/>
      <c r="ODI9" s="21"/>
      <c r="ODJ9" s="21"/>
      <c r="ODK9" s="21"/>
      <c r="ODL9" s="21"/>
      <c r="ODM9" s="21"/>
      <c r="ODN9" s="21"/>
      <c r="ODO9" s="21"/>
      <c r="ODP9" s="21"/>
      <c r="ODQ9" s="21"/>
      <c r="ODR9" s="21"/>
      <c r="ODS9" s="21"/>
      <c r="ODT9" s="21"/>
      <c r="ODU9" s="21"/>
      <c r="ODV9" s="21"/>
      <c r="ODW9" s="21"/>
      <c r="ODX9" s="21"/>
      <c r="ODY9" s="21"/>
      <c r="ODZ9" s="21"/>
      <c r="OEA9" s="21"/>
      <c r="OEB9" s="21"/>
      <c r="OEC9" s="21"/>
      <c r="OED9" s="21"/>
      <c r="OEE9" s="21"/>
      <c r="OEF9" s="21"/>
      <c r="OEG9" s="21"/>
      <c r="OEH9" s="21"/>
      <c r="OEI9" s="21"/>
      <c r="OEJ9" s="21"/>
      <c r="OEK9" s="21"/>
      <c r="OEL9" s="21"/>
      <c r="OEM9" s="21"/>
      <c r="OEN9" s="21"/>
      <c r="OEO9" s="21"/>
      <c r="OEP9" s="21"/>
      <c r="OEQ9" s="21"/>
      <c r="OER9" s="21"/>
      <c r="OES9" s="21"/>
      <c r="OET9" s="21"/>
      <c r="OEU9" s="21"/>
      <c r="OEV9" s="21"/>
      <c r="OEW9" s="21"/>
      <c r="OEX9" s="21"/>
      <c r="OEY9" s="21"/>
      <c r="OEZ9" s="21"/>
      <c r="OFA9" s="21"/>
      <c r="OFB9" s="21"/>
      <c r="OFC9" s="21"/>
      <c r="OFD9" s="21"/>
      <c r="OFE9" s="21"/>
      <c r="OFF9" s="21"/>
      <c r="OFG9" s="21"/>
      <c r="OFH9" s="21"/>
      <c r="OFI9" s="21"/>
      <c r="OFJ9" s="21"/>
      <c r="OFK9" s="21"/>
      <c r="OFL9" s="21"/>
      <c r="OFM9" s="21"/>
      <c r="OFN9" s="21"/>
      <c r="OFO9" s="21"/>
      <c r="OFP9" s="21"/>
      <c r="OFQ9" s="21"/>
      <c r="OFR9" s="21"/>
      <c r="OFS9" s="21"/>
      <c r="OFT9" s="21"/>
      <c r="OFU9" s="21"/>
      <c r="OFV9" s="21"/>
      <c r="OFW9" s="21"/>
      <c r="OFX9" s="21"/>
      <c r="OFY9" s="21"/>
      <c r="OFZ9" s="21"/>
      <c r="OGA9" s="21"/>
      <c r="OGB9" s="21"/>
      <c r="OGC9" s="21"/>
      <c r="OGD9" s="21"/>
      <c r="OGE9" s="21"/>
      <c r="OGF9" s="21"/>
      <c r="OGG9" s="21"/>
      <c r="OGH9" s="21"/>
      <c r="OGI9" s="21"/>
      <c r="OGJ9" s="21"/>
      <c r="OGK9" s="21"/>
      <c r="OGL9" s="21"/>
      <c r="OGM9" s="21"/>
      <c r="OGN9" s="21"/>
      <c r="OGO9" s="21"/>
      <c r="OGP9" s="21"/>
      <c r="OGQ9" s="21"/>
      <c r="OGR9" s="21"/>
      <c r="OGS9" s="21"/>
      <c r="OGT9" s="21"/>
      <c r="OGU9" s="21"/>
      <c r="OGV9" s="21"/>
      <c r="OGW9" s="21"/>
      <c r="OGX9" s="21"/>
      <c r="OGY9" s="21"/>
      <c r="OGZ9" s="21"/>
      <c r="OHA9" s="21"/>
      <c r="OHB9" s="21"/>
      <c r="OHC9" s="21"/>
      <c r="OHD9" s="21"/>
      <c r="OHE9" s="21"/>
      <c r="OHF9" s="21"/>
      <c r="OHG9" s="21"/>
      <c r="OHH9" s="21"/>
      <c r="OHI9" s="21"/>
      <c r="OHJ9" s="21"/>
      <c r="OHK9" s="21"/>
      <c r="OHL9" s="21"/>
      <c r="OHM9" s="21"/>
      <c r="OHN9" s="21"/>
      <c r="OHO9" s="21"/>
      <c r="OHP9" s="21"/>
      <c r="OHQ9" s="21"/>
      <c r="OHR9" s="21"/>
      <c r="OHS9" s="21"/>
      <c r="OHT9" s="21"/>
      <c r="OHU9" s="21"/>
      <c r="OHV9" s="21"/>
      <c r="OHW9" s="21"/>
      <c r="OHX9" s="21"/>
      <c r="OHY9" s="21"/>
      <c r="OHZ9" s="21"/>
      <c r="OIA9" s="21"/>
      <c r="OIB9" s="21"/>
      <c r="OIC9" s="21"/>
      <c r="OID9" s="21"/>
      <c r="OIE9" s="21"/>
      <c r="OIF9" s="21"/>
      <c r="OIG9" s="21"/>
      <c r="OIH9" s="21"/>
      <c r="OII9" s="21"/>
      <c r="OIJ9" s="21"/>
      <c r="OIK9" s="21"/>
      <c r="OIL9" s="21"/>
      <c r="OIM9" s="21"/>
      <c r="OIN9" s="21"/>
      <c r="OIO9" s="21"/>
      <c r="OIP9" s="21"/>
      <c r="OIQ9" s="21"/>
      <c r="OIR9" s="21"/>
      <c r="OIS9" s="21"/>
      <c r="OIT9" s="21"/>
      <c r="OIU9" s="21"/>
      <c r="OIV9" s="21"/>
      <c r="OIW9" s="21"/>
      <c r="OIX9" s="21"/>
      <c r="OIY9" s="21"/>
      <c r="OIZ9" s="21"/>
      <c r="OJA9" s="21"/>
      <c r="OJB9" s="21"/>
      <c r="OJC9" s="21"/>
      <c r="OJD9" s="21"/>
      <c r="OJE9" s="21"/>
      <c r="OJF9" s="21"/>
      <c r="OJG9" s="21"/>
      <c r="OJH9" s="21"/>
      <c r="OJI9" s="21"/>
      <c r="OJJ9" s="21"/>
      <c r="OJK9" s="21"/>
      <c r="OJL9" s="21"/>
      <c r="OJM9" s="21"/>
      <c r="OJN9" s="21"/>
      <c r="OJO9" s="21"/>
      <c r="OJP9" s="21"/>
      <c r="OJQ9" s="21"/>
      <c r="OJR9" s="21"/>
      <c r="OJS9" s="21"/>
      <c r="OJT9" s="21"/>
      <c r="OJU9" s="21"/>
      <c r="OJV9" s="21"/>
      <c r="OJW9" s="21"/>
      <c r="OJX9" s="21"/>
      <c r="OJY9" s="21"/>
      <c r="OJZ9" s="21"/>
      <c r="OKA9" s="21"/>
      <c r="OKB9" s="21"/>
      <c r="OKC9" s="21"/>
      <c r="OKD9" s="21"/>
      <c r="OKE9" s="21"/>
      <c r="OKF9" s="21"/>
      <c r="OKG9" s="21"/>
      <c r="OKH9" s="21"/>
      <c r="OKI9" s="21"/>
      <c r="OKJ9" s="21"/>
      <c r="OKK9" s="21"/>
      <c r="OKL9" s="21"/>
      <c r="OKM9" s="21"/>
      <c r="OKN9" s="21"/>
      <c r="OKO9" s="21"/>
      <c r="OKP9" s="21"/>
      <c r="OKQ9" s="21"/>
      <c r="OKR9" s="21"/>
      <c r="OKS9" s="21"/>
      <c r="OKT9" s="21"/>
      <c r="OKU9" s="21"/>
      <c r="OKV9" s="21"/>
      <c r="OKW9" s="21"/>
      <c r="OKX9" s="21"/>
      <c r="OKY9" s="21"/>
      <c r="OKZ9" s="21"/>
      <c r="OLA9" s="21"/>
      <c r="OLB9" s="21"/>
      <c r="OLC9" s="21"/>
      <c r="OLD9" s="21"/>
      <c r="OLE9" s="21"/>
      <c r="OLF9" s="21"/>
      <c r="OLG9" s="21"/>
      <c r="OLH9" s="21"/>
      <c r="OLI9" s="21"/>
      <c r="OLJ9" s="21"/>
      <c r="OLK9" s="21"/>
      <c r="OLL9" s="21"/>
      <c r="OLM9" s="21"/>
      <c r="OLN9" s="21"/>
      <c r="OLO9" s="21"/>
      <c r="OLP9" s="21"/>
      <c r="OLQ9" s="21"/>
      <c r="OLR9" s="21"/>
      <c r="OLS9" s="21"/>
      <c r="OLT9" s="21"/>
      <c r="OLU9" s="21"/>
      <c r="OLV9" s="21"/>
      <c r="OLW9" s="21"/>
      <c r="OLX9" s="21"/>
      <c r="OLY9" s="21"/>
      <c r="OLZ9" s="21"/>
      <c r="OMA9" s="21"/>
      <c r="OMB9" s="21"/>
      <c r="OMC9" s="21"/>
      <c r="OMD9" s="21"/>
      <c r="OME9" s="21"/>
      <c r="OMF9" s="21"/>
      <c r="OMG9" s="21"/>
      <c r="OMH9" s="21"/>
      <c r="OMI9" s="21"/>
      <c r="OMJ9" s="21"/>
      <c r="OMK9" s="21"/>
      <c r="OML9" s="21"/>
      <c r="OMM9" s="21"/>
      <c r="OMN9" s="21"/>
      <c r="OMO9" s="21"/>
      <c r="OMP9" s="21"/>
      <c r="OMQ9" s="21"/>
      <c r="OMR9" s="21"/>
      <c r="OMS9" s="21"/>
      <c r="OMT9" s="21"/>
      <c r="OMU9" s="21"/>
      <c r="OMV9" s="21"/>
      <c r="OMW9" s="21"/>
      <c r="OMX9" s="21"/>
      <c r="OMY9" s="21"/>
      <c r="OMZ9" s="21"/>
      <c r="ONA9" s="21"/>
      <c r="ONB9" s="21"/>
      <c r="ONC9" s="21"/>
      <c r="OND9" s="21"/>
      <c r="ONE9" s="21"/>
      <c r="ONF9" s="21"/>
      <c r="ONG9" s="21"/>
      <c r="ONH9" s="21"/>
      <c r="ONI9" s="21"/>
      <c r="ONJ9" s="21"/>
      <c r="ONK9" s="21"/>
      <c r="ONL9" s="21"/>
      <c r="ONM9" s="21"/>
      <c r="ONN9" s="21"/>
      <c r="ONO9" s="21"/>
      <c r="ONP9" s="21"/>
      <c r="ONQ9" s="21"/>
      <c r="ONR9" s="21"/>
      <c r="ONS9" s="21"/>
      <c r="ONT9" s="21"/>
      <c r="ONU9" s="21"/>
      <c r="ONV9" s="21"/>
      <c r="ONW9" s="21"/>
      <c r="ONX9" s="21"/>
      <c r="ONY9" s="21"/>
      <c r="ONZ9" s="21"/>
      <c r="OOA9" s="21"/>
      <c r="OOB9" s="21"/>
      <c r="OOC9" s="21"/>
      <c r="OOD9" s="21"/>
      <c r="OOE9" s="21"/>
      <c r="OOF9" s="21"/>
      <c r="OOG9" s="21"/>
      <c r="OOH9" s="21"/>
      <c r="OOI9" s="21"/>
      <c r="OOJ9" s="21"/>
      <c r="OOK9" s="21"/>
      <c r="OOL9" s="21"/>
      <c r="OOM9" s="21"/>
      <c r="OON9" s="21"/>
      <c r="OOO9" s="21"/>
      <c r="OOP9" s="21"/>
      <c r="OOQ9" s="21"/>
      <c r="OOR9" s="21"/>
      <c r="OOS9" s="21"/>
      <c r="OOT9" s="21"/>
      <c r="OOU9" s="21"/>
      <c r="OOV9" s="21"/>
      <c r="OOW9" s="21"/>
      <c r="OOX9" s="21"/>
      <c r="OOY9" s="21"/>
      <c r="OOZ9" s="21"/>
      <c r="OPA9" s="21"/>
      <c r="OPB9" s="21"/>
      <c r="OPC9" s="21"/>
      <c r="OPD9" s="21"/>
      <c r="OPE9" s="21"/>
      <c r="OPF9" s="21"/>
      <c r="OPG9" s="21"/>
      <c r="OPH9" s="21"/>
      <c r="OPI9" s="21"/>
      <c r="OPJ9" s="21"/>
      <c r="OPK9" s="21"/>
      <c r="OPL9" s="21"/>
      <c r="OPM9" s="21"/>
      <c r="OPN9" s="21"/>
      <c r="OPO9" s="21"/>
      <c r="OPP9" s="21"/>
      <c r="OPQ9" s="21"/>
      <c r="OPR9" s="21"/>
      <c r="OPS9" s="21"/>
      <c r="OPT9" s="21"/>
      <c r="OPU9" s="21"/>
      <c r="OPV9" s="21"/>
      <c r="OPW9" s="21"/>
      <c r="OPX9" s="21"/>
      <c r="OPY9" s="21"/>
      <c r="OPZ9" s="21"/>
      <c r="OQA9" s="21"/>
      <c r="OQB9" s="21"/>
      <c r="OQC9" s="21"/>
      <c r="OQD9" s="21"/>
      <c r="OQE9" s="21"/>
      <c r="OQF9" s="21"/>
      <c r="OQG9" s="21"/>
      <c r="OQH9" s="21"/>
      <c r="OQI9" s="21"/>
      <c r="OQJ9" s="21"/>
      <c r="OQK9" s="21"/>
      <c r="OQL9" s="21"/>
      <c r="OQM9" s="21"/>
      <c r="OQN9" s="21"/>
      <c r="OQO9" s="21"/>
      <c r="OQP9" s="21"/>
      <c r="OQQ9" s="21"/>
      <c r="OQR9" s="21"/>
      <c r="OQS9" s="21"/>
      <c r="OQT9" s="21"/>
      <c r="OQU9" s="21"/>
      <c r="OQV9" s="21"/>
      <c r="OQW9" s="21"/>
      <c r="OQX9" s="21"/>
      <c r="OQY9" s="21"/>
      <c r="OQZ9" s="21"/>
      <c r="ORA9" s="21"/>
      <c r="ORB9" s="21"/>
      <c r="ORC9" s="21"/>
      <c r="ORD9" s="21"/>
      <c r="ORE9" s="21"/>
      <c r="ORF9" s="21"/>
      <c r="ORG9" s="21"/>
      <c r="ORH9" s="21"/>
      <c r="ORI9" s="21"/>
      <c r="ORJ9" s="21"/>
      <c r="ORK9" s="21"/>
      <c r="ORL9" s="21"/>
      <c r="ORM9" s="21"/>
      <c r="ORN9" s="21"/>
      <c r="ORO9" s="21"/>
      <c r="ORP9" s="21"/>
      <c r="ORQ9" s="21"/>
      <c r="ORR9" s="21"/>
      <c r="ORS9" s="21"/>
      <c r="ORT9" s="21"/>
      <c r="ORU9" s="21"/>
      <c r="ORV9" s="21"/>
      <c r="ORW9" s="21"/>
      <c r="ORX9" s="21"/>
      <c r="ORY9" s="21"/>
      <c r="ORZ9" s="21"/>
      <c r="OSA9" s="21"/>
      <c r="OSB9" s="21"/>
      <c r="OSC9" s="21"/>
      <c r="OSD9" s="21"/>
      <c r="OSE9" s="21"/>
      <c r="OSF9" s="21"/>
      <c r="OSG9" s="21"/>
      <c r="OSH9" s="21"/>
      <c r="OSI9" s="21"/>
      <c r="OSJ9" s="21"/>
      <c r="OSK9" s="21"/>
      <c r="OSL9" s="21"/>
      <c r="OSM9" s="21"/>
      <c r="OSN9" s="21"/>
      <c r="OSO9" s="21"/>
      <c r="OSP9" s="21"/>
      <c r="OSQ9" s="21"/>
      <c r="OSR9" s="21"/>
      <c r="OSS9" s="21"/>
      <c r="OST9" s="21"/>
      <c r="OSU9" s="21"/>
      <c r="OSV9" s="21"/>
      <c r="OSW9" s="21"/>
      <c r="OSX9" s="21"/>
      <c r="OSY9" s="21"/>
      <c r="OSZ9" s="21"/>
      <c r="OTA9" s="21"/>
      <c r="OTB9" s="21"/>
      <c r="OTC9" s="21"/>
      <c r="OTD9" s="21"/>
      <c r="OTE9" s="21"/>
      <c r="OTF9" s="21"/>
      <c r="OTG9" s="21"/>
      <c r="OTH9" s="21"/>
      <c r="OTI9" s="21"/>
      <c r="OTJ9" s="21"/>
      <c r="OTK9" s="21"/>
      <c r="OTL9" s="21"/>
      <c r="OTM9" s="21"/>
      <c r="OTN9" s="21"/>
      <c r="OTO9" s="21"/>
      <c r="OTP9" s="21"/>
      <c r="OTQ9" s="21"/>
      <c r="OTR9" s="21"/>
      <c r="OTS9" s="21"/>
      <c r="OTT9" s="21"/>
      <c r="OTU9" s="21"/>
      <c r="OTV9" s="21"/>
      <c r="OTW9" s="21"/>
      <c r="OTX9" s="21"/>
      <c r="OTY9" s="21"/>
      <c r="OTZ9" s="21"/>
      <c r="OUA9" s="21"/>
      <c r="OUB9" s="21"/>
      <c r="OUC9" s="21"/>
      <c r="OUD9" s="21"/>
      <c r="OUE9" s="21"/>
      <c r="OUF9" s="21"/>
      <c r="OUG9" s="21"/>
      <c r="OUH9" s="21"/>
      <c r="OUI9" s="21"/>
      <c r="OUJ9" s="21"/>
      <c r="OUK9" s="21"/>
      <c r="OUL9" s="21"/>
      <c r="OUM9" s="21"/>
      <c r="OUN9" s="21"/>
      <c r="OUO9" s="21"/>
      <c r="OUP9" s="21"/>
      <c r="OUQ9" s="21"/>
      <c r="OUR9" s="21"/>
      <c r="OUS9" s="21"/>
      <c r="OUT9" s="21"/>
      <c r="OUU9" s="21"/>
      <c r="OUV9" s="21"/>
      <c r="OUW9" s="21"/>
      <c r="OUX9" s="21"/>
      <c r="OUY9" s="21"/>
      <c r="OUZ9" s="21"/>
      <c r="OVA9" s="21"/>
      <c r="OVB9" s="21"/>
      <c r="OVC9" s="21"/>
      <c r="OVD9" s="21"/>
      <c r="OVE9" s="21"/>
      <c r="OVF9" s="21"/>
      <c r="OVG9" s="21"/>
      <c r="OVH9" s="21"/>
      <c r="OVI9" s="21"/>
      <c r="OVJ9" s="21"/>
      <c r="OVK9" s="21"/>
      <c r="OVL9" s="21"/>
      <c r="OVM9" s="21"/>
      <c r="OVN9" s="21"/>
      <c r="OVO9" s="21"/>
      <c r="OVP9" s="21"/>
      <c r="OVQ9" s="21"/>
      <c r="OVR9" s="21"/>
      <c r="OVS9" s="21"/>
      <c r="OVT9" s="21"/>
      <c r="OVU9" s="21"/>
      <c r="OVV9" s="21"/>
      <c r="OVW9" s="21"/>
      <c r="OVX9" s="21"/>
      <c r="OVY9" s="21"/>
      <c r="OVZ9" s="21"/>
      <c r="OWA9" s="21"/>
      <c r="OWB9" s="21"/>
      <c r="OWC9" s="21"/>
      <c r="OWD9" s="21"/>
      <c r="OWE9" s="21"/>
      <c r="OWF9" s="21"/>
      <c r="OWG9" s="21"/>
      <c r="OWH9" s="21"/>
      <c r="OWI9" s="21"/>
      <c r="OWJ9" s="21"/>
      <c r="OWK9" s="21"/>
      <c r="OWL9" s="21"/>
      <c r="OWM9" s="21"/>
      <c r="OWN9" s="21"/>
      <c r="OWO9" s="21"/>
      <c r="OWP9" s="21"/>
      <c r="OWQ9" s="21"/>
      <c r="OWR9" s="21"/>
      <c r="OWS9" s="21"/>
      <c r="OWT9" s="21"/>
      <c r="OWU9" s="21"/>
      <c r="OWV9" s="21"/>
      <c r="OWW9" s="21"/>
      <c r="OWX9" s="21"/>
      <c r="OWY9" s="21"/>
      <c r="OWZ9" s="21"/>
      <c r="OXA9" s="21"/>
      <c r="OXB9" s="21"/>
      <c r="OXC9" s="21"/>
      <c r="OXD9" s="21"/>
      <c r="OXE9" s="21"/>
      <c r="OXF9" s="21"/>
      <c r="OXG9" s="21"/>
      <c r="OXH9" s="21"/>
      <c r="OXI9" s="21"/>
      <c r="OXJ9" s="21"/>
      <c r="OXK9" s="21"/>
      <c r="OXL9" s="21"/>
      <c r="OXM9" s="21"/>
      <c r="OXN9" s="21"/>
      <c r="OXO9" s="21"/>
      <c r="OXP9" s="21"/>
      <c r="OXQ9" s="21"/>
      <c r="OXR9" s="21"/>
      <c r="OXS9" s="21"/>
      <c r="OXT9" s="21"/>
      <c r="OXU9" s="21"/>
      <c r="OXV9" s="21"/>
      <c r="OXW9" s="21"/>
      <c r="OXX9" s="21"/>
      <c r="OXY9" s="21"/>
      <c r="OXZ9" s="21"/>
      <c r="OYA9" s="21"/>
      <c r="OYB9" s="21"/>
      <c r="OYC9" s="21"/>
      <c r="OYD9" s="21"/>
      <c r="OYE9" s="21"/>
      <c r="OYF9" s="21"/>
      <c r="OYG9" s="21"/>
      <c r="OYH9" s="21"/>
      <c r="OYI9" s="21"/>
      <c r="OYJ9" s="21"/>
      <c r="OYK9" s="21"/>
      <c r="OYL9" s="21"/>
      <c r="OYM9" s="21"/>
      <c r="OYN9" s="21"/>
      <c r="OYO9" s="21"/>
      <c r="OYP9" s="21"/>
      <c r="OYQ9" s="21"/>
      <c r="OYR9" s="21"/>
      <c r="OYS9" s="21"/>
      <c r="OYT9" s="21"/>
      <c r="OYU9" s="21"/>
      <c r="OYV9" s="21"/>
      <c r="OYW9" s="21"/>
      <c r="OYX9" s="21"/>
      <c r="OYY9" s="21"/>
      <c r="OYZ9" s="21"/>
      <c r="OZA9" s="21"/>
      <c r="OZB9" s="21"/>
      <c r="OZC9" s="21"/>
      <c r="OZD9" s="21"/>
      <c r="OZE9" s="21"/>
      <c r="OZF9" s="21"/>
      <c r="OZG9" s="21"/>
      <c r="OZH9" s="21"/>
      <c r="OZI9" s="21"/>
      <c r="OZJ9" s="21"/>
      <c r="OZK9" s="21"/>
      <c r="OZL9" s="21"/>
      <c r="OZM9" s="21"/>
      <c r="OZN9" s="21"/>
      <c r="OZO9" s="21"/>
      <c r="OZP9" s="21"/>
      <c r="OZQ9" s="21"/>
      <c r="OZR9" s="21"/>
      <c r="OZS9" s="21"/>
      <c r="OZT9" s="21"/>
      <c r="OZU9" s="21"/>
      <c r="OZV9" s="21"/>
      <c r="OZW9" s="21"/>
      <c r="OZX9" s="21"/>
      <c r="OZY9" s="21"/>
      <c r="OZZ9" s="21"/>
      <c r="PAA9" s="21"/>
      <c r="PAB9" s="21"/>
      <c r="PAC9" s="21"/>
      <c r="PAD9" s="21"/>
      <c r="PAE9" s="21"/>
      <c r="PAF9" s="21"/>
      <c r="PAG9" s="21"/>
      <c r="PAH9" s="21"/>
      <c r="PAI9" s="21"/>
      <c r="PAJ9" s="21"/>
      <c r="PAK9" s="21"/>
      <c r="PAL9" s="21"/>
      <c r="PAM9" s="21"/>
      <c r="PAN9" s="21"/>
      <c r="PAO9" s="21"/>
      <c r="PAP9" s="21"/>
      <c r="PAQ9" s="21"/>
      <c r="PAR9" s="21"/>
      <c r="PAS9" s="21"/>
      <c r="PAT9" s="21"/>
      <c r="PAU9" s="21"/>
      <c r="PAV9" s="21"/>
      <c r="PAW9" s="21"/>
      <c r="PAX9" s="21"/>
      <c r="PAY9" s="21"/>
      <c r="PAZ9" s="21"/>
      <c r="PBA9" s="21"/>
      <c r="PBB9" s="21"/>
      <c r="PBC9" s="21"/>
      <c r="PBD9" s="21"/>
      <c r="PBE9" s="21"/>
      <c r="PBF9" s="21"/>
      <c r="PBG9" s="21"/>
      <c r="PBH9" s="21"/>
      <c r="PBI9" s="21"/>
      <c r="PBJ9" s="21"/>
      <c r="PBK9" s="21"/>
      <c r="PBL9" s="21"/>
      <c r="PBM9" s="21"/>
      <c r="PBN9" s="21"/>
      <c r="PBO9" s="21"/>
      <c r="PBP9" s="21"/>
      <c r="PBQ9" s="21"/>
      <c r="PBR9" s="21"/>
      <c r="PBS9" s="21"/>
      <c r="PBT9" s="21"/>
      <c r="PBU9" s="21"/>
      <c r="PBV9" s="21"/>
      <c r="PBW9" s="21"/>
      <c r="PBX9" s="21"/>
      <c r="PBY9" s="21"/>
      <c r="PBZ9" s="21"/>
      <c r="PCA9" s="21"/>
      <c r="PCB9" s="21"/>
      <c r="PCC9" s="21"/>
      <c r="PCD9" s="21"/>
      <c r="PCE9" s="21"/>
      <c r="PCF9" s="21"/>
      <c r="PCG9" s="21"/>
      <c r="PCH9" s="21"/>
      <c r="PCI9" s="21"/>
      <c r="PCJ9" s="21"/>
      <c r="PCK9" s="21"/>
      <c r="PCL9" s="21"/>
      <c r="PCM9" s="21"/>
      <c r="PCN9" s="21"/>
      <c r="PCO9" s="21"/>
      <c r="PCP9" s="21"/>
      <c r="PCQ9" s="21"/>
      <c r="PCR9" s="21"/>
      <c r="PCS9" s="21"/>
      <c r="PCT9" s="21"/>
      <c r="PCU9" s="21"/>
      <c r="PCV9" s="21"/>
      <c r="PCW9" s="21"/>
      <c r="PCX9" s="21"/>
      <c r="PCY9" s="21"/>
      <c r="PCZ9" s="21"/>
      <c r="PDA9" s="21"/>
      <c r="PDB9" s="21"/>
      <c r="PDC9" s="21"/>
      <c r="PDD9" s="21"/>
      <c r="PDE9" s="21"/>
      <c r="PDF9" s="21"/>
      <c r="PDG9" s="21"/>
      <c r="PDH9" s="21"/>
      <c r="PDI9" s="21"/>
      <c r="PDJ9" s="21"/>
      <c r="PDK9" s="21"/>
      <c r="PDL9" s="21"/>
      <c r="PDM9" s="21"/>
      <c r="PDN9" s="21"/>
      <c r="PDO9" s="21"/>
      <c r="PDP9" s="21"/>
      <c r="PDQ9" s="21"/>
      <c r="PDR9" s="21"/>
      <c r="PDS9" s="21"/>
      <c r="PDT9" s="21"/>
      <c r="PDU9" s="21"/>
      <c r="PDV9" s="21"/>
      <c r="PDW9" s="21"/>
      <c r="PDX9" s="21"/>
      <c r="PDY9" s="21"/>
      <c r="PDZ9" s="21"/>
      <c r="PEA9" s="21"/>
      <c r="PEB9" s="21"/>
      <c r="PEC9" s="21"/>
      <c r="PED9" s="21"/>
      <c r="PEE9" s="21"/>
      <c r="PEF9" s="21"/>
      <c r="PEG9" s="21"/>
      <c r="PEH9" s="21"/>
      <c r="PEI9" s="21"/>
      <c r="PEJ9" s="21"/>
      <c r="PEK9" s="21"/>
      <c r="PEL9" s="21"/>
      <c r="PEM9" s="21"/>
      <c r="PEN9" s="21"/>
      <c r="PEO9" s="21"/>
      <c r="PEP9" s="21"/>
      <c r="PEQ9" s="21"/>
      <c r="PER9" s="21"/>
      <c r="PES9" s="21"/>
      <c r="PET9" s="21"/>
      <c r="PEU9" s="21"/>
      <c r="PEV9" s="21"/>
      <c r="PEW9" s="21"/>
      <c r="PEX9" s="21"/>
      <c r="PEY9" s="21"/>
      <c r="PEZ9" s="21"/>
      <c r="PFA9" s="21"/>
      <c r="PFB9" s="21"/>
      <c r="PFC9" s="21"/>
      <c r="PFD9" s="21"/>
      <c r="PFE9" s="21"/>
      <c r="PFF9" s="21"/>
      <c r="PFG9" s="21"/>
      <c r="PFH9" s="21"/>
      <c r="PFI9" s="21"/>
      <c r="PFJ9" s="21"/>
      <c r="PFK9" s="21"/>
      <c r="PFL9" s="21"/>
      <c r="PFM9" s="21"/>
      <c r="PFN9" s="21"/>
      <c r="PFO9" s="21"/>
      <c r="PFP9" s="21"/>
      <c r="PFQ9" s="21"/>
      <c r="PFR9" s="21"/>
      <c r="PFS9" s="21"/>
      <c r="PFT9" s="21"/>
      <c r="PFU9" s="21"/>
      <c r="PFV9" s="21"/>
      <c r="PFW9" s="21"/>
      <c r="PFX9" s="21"/>
      <c r="PFY9" s="21"/>
      <c r="PFZ9" s="21"/>
      <c r="PGA9" s="21"/>
      <c r="PGB9" s="21"/>
      <c r="PGC9" s="21"/>
      <c r="PGD9" s="21"/>
      <c r="PGE9" s="21"/>
      <c r="PGF9" s="21"/>
      <c r="PGG9" s="21"/>
      <c r="PGH9" s="21"/>
      <c r="PGI9" s="21"/>
      <c r="PGJ9" s="21"/>
      <c r="PGK9" s="21"/>
      <c r="PGL9" s="21"/>
      <c r="PGM9" s="21"/>
      <c r="PGN9" s="21"/>
      <c r="PGO9" s="21"/>
      <c r="PGP9" s="21"/>
      <c r="PGQ9" s="21"/>
      <c r="PGR9" s="21"/>
      <c r="PGS9" s="21"/>
      <c r="PGT9" s="21"/>
      <c r="PGU9" s="21"/>
      <c r="PGV9" s="21"/>
      <c r="PGW9" s="21"/>
      <c r="PGX9" s="21"/>
      <c r="PGY9" s="21"/>
      <c r="PGZ9" s="21"/>
      <c r="PHA9" s="21"/>
      <c r="PHB9" s="21"/>
      <c r="PHC9" s="21"/>
      <c r="PHD9" s="21"/>
      <c r="PHE9" s="21"/>
      <c r="PHF9" s="21"/>
      <c r="PHG9" s="21"/>
      <c r="PHH9" s="21"/>
      <c r="PHI9" s="21"/>
      <c r="PHJ9" s="21"/>
      <c r="PHK9" s="21"/>
      <c r="PHL9" s="21"/>
      <c r="PHM9" s="21"/>
      <c r="PHN9" s="21"/>
      <c r="PHO9" s="21"/>
      <c r="PHP9" s="21"/>
      <c r="PHQ9" s="21"/>
      <c r="PHR9" s="21"/>
      <c r="PHS9" s="21"/>
      <c r="PHT9" s="21"/>
      <c r="PHU9" s="21"/>
      <c r="PHV9" s="21"/>
      <c r="PHW9" s="21"/>
      <c r="PHX9" s="21"/>
      <c r="PHY9" s="21"/>
      <c r="PHZ9" s="21"/>
      <c r="PIA9" s="21"/>
      <c r="PIB9" s="21"/>
      <c r="PIC9" s="21"/>
      <c r="PID9" s="21"/>
      <c r="PIE9" s="21"/>
      <c r="PIF9" s="21"/>
      <c r="PIG9" s="21"/>
      <c r="PIH9" s="21"/>
      <c r="PII9" s="21"/>
      <c r="PIJ9" s="21"/>
      <c r="PIK9" s="21"/>
      <c r="PIL9" s="21"/>
      <c r="PIM9" s="21"/>
      <c r="PIN9" s="21"/>
      <c r="PIO9" s="21"/>
      <c r="PIP9" s="21"/>
      <c r="PIQ9" s="21"/>
      <c r="PIR9" s="21"/>
      <c r="PIS9" s="21"/>
      <c r="PIT9" s="21"/>
      <c r="PIU9" s="21"/>
      <c r="PIV9" s="21"/>
      <c r="PIW9" s="21"/>
      <c r="PIX9" s="21"/>
      <c r="PIY9" s="21"/>
      <c r="PIZ9" s="21"/>
      <c r="PJA9" s="21"/>
      <c r="PJB9" s="21"/>
      <c r="PJC9" s="21"/>
      <c r="PJD9" s="21"/>
      <c r="PJE9" s="21"/>
      <c r="PJF9" s="21"/>
      <c r="PJG9" s="21"/>
      <c r="PJH9" s="21"/>
      <c r="PJI9" s="21"/>
      <c r="PJJ9" s="21"/>
      <c r="PJK9" s="21"/>
      <c r="PJL9" s="21"/>
      <c r="PJM9" s="21"/>
      <c r="PJN9" s="21"/>
      <c r="PJO9" s="21"/>
      <c r="PJP9" s="21"/>
      <c r="PJQ9" s="21"/>
      <c r="PJR9" s="21"/>
      <c r="PJS9" s="21"/>
      <c r="PJT9" s="21"/>
      <c r="PJU9" s="21"/>
      <c r="PJV9" s="21"/>
      <c r="PJW9" s="21"/>
      <c r="PJX9" s="21"/>
      <c r="PJY9" s="21"/>
      <c r="PJZ9" s="21"/>
      <c r="PKA9" s="21"/>
      <c r="PKB9" s="21"/>
      <c r="PKC9" s="21"/>
      <c r="PKD9" s="21"/>
      <c r="PKE9" s="21"/>
      <c r="PKF9" s="21"/>
      <c r="PKG9" s="21"/>
      <c r="PKH9" s="21"/>
      <c r="PKI9" s="21"/>
      <c r="PKJ9" s="21"/>
      <c r="PKK9" s="21"/>
      <c r="PKL9" s="21"/>
      <c r="PKM9" s="21"/>
      <c r="PKN9" s="21"/>
      <c r="PKO9" s="21"/>
      <c r="PKP9" s="21"/>
      <c r="PKQ9" s="21"/>
      <c r="PKR9" s="21"/>
      <c r="PKS9" s="21"/>
      <c r="PKT9" s="21"/>
      <c r="PKU9" s="21"/>
      <c r="PKV9" s="21"/>
      <c r="PKW9" s="21"/>
      <c r="PKX9" s="21"/>
      <c r="PKY9" s="21"/>
      <c r="PKZ9" s="21"/>
      <c r="PLA9" s="21"/>
      <c r="PLB9" s="21"/>
      <c r="PLC9" s="21"/>
      <c r="PLD9" s="21"/>
      <c r="PLE9" s="21"/>
      <c r="PLF9" s="21"/>
      <c r="PLG9" s="21"/>
      <c r="PLH9" s="21"/>
      <c r="PLI9" s="21"/>
      <c r="PLJ9" s="21"/>
      <c r="PLK9" s="21"/>
      <c r="PLL9" s="21"/>
      <c r="PLM9" s="21"/>
      <c r="PLN9" s="21"/>
      <c r="PLO9" s="21"/>
      <c r="PLP9" s="21"/>
      <c r="PLQ9" s="21"/>
      <c r="PLR9" s="21"/>
      <c r="PLS9" s="21"/>
      <c r="PLT9" s="21"/>
      <c r="PLU9" s="21"/>
      <c r="PLV9" s="21"/>
      <c r="PLW9" s="21"/>
      <c r="PLX9" s="21"/>
      <c r="PLY9" s="21"/>
      <c r="PLZ9" s="21"/>
      <c r="PMA9" s="21"/>
      <c r="PMB9" s="21"/>
      <c r="PMC9" s="21"/>
      <c r="PMD9" s="21"/>
      <c r="PME9" s="21"/>
      <c r="PMF9" s="21"/>
      <c r="PMG9" s="21"/>
      <c r="PMH9" s="21"/>
      <c r="PMI9" s="21"/>
      <c r="PMJ9" s="21"/>
      <c r="PMK9" s="21"/>
      <c r="PML9" s="21"/>
      <c r="PMM9" s="21"/>
      <c r="PMN9" s="21"/>
      <c r="PMO9" s="21"/>
      <c r="PMP9" s="21"/>
      <c r="PMQ9" s="21"/>
      <c r="PMR9" s="21"/>
      <c r="PMS9" s="21"/>
      <c r="PMT9" s="21"/>
      <c r="PMU9" s="21"/>
      <c r="PMV9" s="21"/>
      <c r="PMW9" s="21"/>
      <c r="PMX9" s="21"/>
      <c r="PMY9" s="21"/>
      <c r="PMZ9" s="21"/>
      <c r="PNA9" s="21"/>
      <c r="PNB9" s="21"/>
      <c r="PNC9" s="21"/>
      <c r="PND9" s="21"/>
      <c r="PNE9" s="21"/>
      <c r="PNF9" s="21"/>
      <c r="PNG9" s="21"/>
      <c r="PNH9" s="21"/>
      <c r="PNI9" s="21"/>
      <c r="PNJ9" s="21"/>
      <c r="PNK9" s="21"/>
      <c r="PNL9" s="21"/>
      <c r="PNM9" s="21"/>
      <c r="PNN9" s="21"/>
      <c r="PNO9" s="21"/>
      <c r="PNP9" s="21"/>
      <c r="PNQ9" s="21"/>
      <c r="PNR9" s="21"/>
      <c r="PNS9" s="21"/>
      <c r="PNT9" s="21"/>
      <c r="PNU9" s="21"/>
      <c r="PNV9" s="21"/>
      <c r="PNW9" s="21"/>
      <c r="PNX9" s="21"/>
      <c r="PNY9" s="21"/>
      <c r="PNZ9" s="21"/>
      <c r="POA9" s="21"/>
      <c r="POB9" s="21"/>
      <c r="POC9" s="21"/>
      <c r="POD9" s="21"/>
      <c r="POE9" s="21"/>
      <c r="POF9" s="21"/>
      <c r="POG9" s="21"/>
      <c r="POH9" s="21"/>
      <c r="POI9" s="21"/>
      <c r="POJ9" s="21"/>
      <c r="POK9" s="21"/>
      <c r="POL9" s="21"/>
      <c r="POM9" s="21"/>
      <c r="PON9" s="21"/>
      <c r="POO9" s="21"/>
      <c r="POP9" s="21"/>
      <c r="POQ9" s="21"/>
      <c r="POR9" s="21"/>
      <c r="POS9" s="21"/>
      <c r="POT9" s="21"/>
      <c r="POU9" s="21"/>
      <c r="POV9" s="21"/>
      <c r="POW9" s="21"/>
      <c r="POX9" s="21"/>
      <c r="POY9" s="21"/>
      <c r="POZ9" s="21"/>
      <c r="PPA9" s="21"/>
      <c r="PPB9" s="21"/>
      <c r="PPC9" s="21"/>
      <c r="PPD9" s="21"/>
      <c r="PPE9" s="21"/>
      <c r="PPF9" s="21"/>
      <c r="PPG9" s="21"/>
      <c r="PPH9" s="21"/>
      <c r="PPI9" s="21"/>
      <c r="PPJ9" s="21"/>
      <c r="PPK9" s="21"/>
      <c r="PPL9" s="21"/>
      <c r="PPM9" s="21"/>
      <c r="PPN9" s="21"/>
      <c r="PPO9" s="21"/>
      <c r="PPP9" s="21"/>
      <c r="PPQ9" s="21"/>
      <c r="PPR9" s="21"/>
      <c r="PPS9" s="21"/>
      <c r="PPT9" s="21"/>
      <c r="PPU9" s="21"/>
      <c r="PPV9" s="21"/>
      <c r="PPW9" s="21"/>
      <c r="PPX9" s="21"/>
      <c r="PPY9" s="21"/>
      <c r="PPZ9" s="21"/>
      <c r="PQA9" s="21"/>
      <c r="PQB9" s="21"/>
      <c r="PQC9" s="21"/>
      <c r="PQD9" s="21"/>
      <c r="PQE9" s="21"/>
      <c r="PQF9" s="21"/>
      <c r="PQG9" s="21"/>
      <c r="PQH9" s="21"/>
      <c r="PQI9" s="21"/>
      <c r="PQJ9" s="21"/>
      <c r="PQK9" s="21"/>
      <c r="PQL9" s="21"/>
      <c r="PQM9" s="21"/>
      <c r="PQN9" s="21"/>
      <c r="PQO9" s="21"/>
      <c r="PQP9" s="21"/>
      <c r="PQQ9" s="21"/>
      <c r="PQR9" s="21"/>
      <c r="PQS9" s="21"/>
      <c r="PQT9" s="21"/>
      <c r="PQU9" s="21"/>
      <c r="PQV9" s="21"/>
      <c r="PQW9" s="21"/>
      <c r="PQX9" s="21"/>
      <c r="PQY9" s="21"/>
      <c r="PQZ9" s="21"/>
      <c r="PRA9" s="21"/>
      <c r="PRB9" s="21"/>
      <c r="PRC9" s="21"/>
      <c r="PRD9" s="21"/>
      <c r="PRE9" s="21"/>
      <c r="PRF9" s="21"/>
      <c r="PRG9" s="21"/>
      <c r="PRH9" s="21"/>
      <c r="PRI9" s="21"/>
      <c r="PRJ9" s="21"/>
      <c r="PRK9" s="21"/>
      <c r="PRL9" s="21"/>
      <c r="PRM9" s="21"/>
      <c r="PRN9" s="21"/>
      <c r="PRO9" s="21"/>
      <c r="PRP9" s="21"/>
      <c r="PRQ9" s="21"/>
      <c r="PRR9" s="21"/>
      <c r="PRS9" s="21"/>
      <c r="PRT9" s="21"/>
      <c r="PRU9" s="21"/>
      <c r="PRV9" s="21"/>
      <c r="PRW9" s="21"/>
      <c r="PRX9" s="21"/>
      <c r="PRY9" s="21"/>
      <c r="PRZ9" s="21"/>
      <c r="PSA9" s="21"/>
      <c r="PSB9" s="21"/>
      <c r="PSC9" s="21"/>
      <c r="PSD9" s="21"/>
      <c r="PSE9" s="21"/>
      <c r="PSF9" s="21"/>
      <c r="PSG9" s="21"/>
      <c r="PSH9" s="21"/>
      <c r="PSI9" s="21"/>
      <c r="PSJ9" s="21"/>
      <c r="PSK9" s="21"/>
      <c r="PSL9" s="21"/>
      <c r="PSM9" s="21"/>
      <c r="PSN9" s="21"/>
      <c r="PSO9" s="21"/>
      <c r="PSP9" s="21"/>
      <c r="PSQ9" s="21"/>
      <c r="PSR9" s="21"/>
      <c r="PSS9" s="21"/>
      <c r="PST9" s="21"/>
      <c r="PSU9" s="21"/>
      <c r="PSV9" s="21"/>
      <c r="PSW9" s="21"/>
      <c r="PSX9" s="21"/>
      <c r="PSY9" s="21"/>
      <c r="PSZ9" s="21"/>
      <c r="PTA9" s="21"/>
      <c r="PTB9" s="21"/>
      <c r="PTC9" s="21"/>
      <c r="PTD9" s="21"/>
      <c r="PTE9" s="21"/>
      <c r="PTF9" s="21"/>
      <c r="PTG9" s="21"/>
      <c r="PTH9" s="21"/>
      <c r="PTI9" s="21"/>
      <c r="PTJ9" s="21"/>
      <c r="PTK9" s="21"/>
      <c r="PTL9" s="21"/>
      <c r="PTM9" s="21"/>
      <c r="PTN9" s="21"/>
      <c r="PTO9" s="21"/>
      <c r="PTP9" s="21"/>
      <c r="PTQ9" s="21"/>
      <c r="PTR9" s="21"/>
      <c r="PTS9" s="21"/>
      <c r="PTT9" s="21"/>
      <c r="PTU9" s="21"/>
      <c r="PTV9" s="21"/>
      <c r="PTW9" s="21"/>
      <c r="PTX9" s="21"/>
      <c r="PTY9" s="21"/>
      <c r="PTZ9" s="21"/>
      <c r="PUA9" s="21"/>
      <c r="PUB9" s="21"/>
      <c r="PUC9" s="21"/>
      <c r="PUD9" s="21"/>
      <c r="PUE9" s="21"/>
      <c r="PUF9" s="21"/>
      <c r="PUG9" s="21"/>
      <c r="PUH9" s="21"/>
      <c r="PUI9" s="21"/>
      <c r="PUJ9" s="21"/>
      <c r="PUK9" s="21"/>
      <c r="PUL9" s="21"/>
      <c r="PUM9" s="21"/>
      <c r="PUN9" s="21"/>
      <c r="PUO9" s="21"/>
      <c r="PUP9" s="21"/>
      <c r="PUQ9" s="21"/>
      <c r="PUR9" s="21"/>
      <c r="PUS9" s="21"/>
      <c r="PUT9" s="21"/>
      <c r="PUU9" s="21"/>
      <c r="PUV9" s="21"/>
      <c r="PUW9" s="21"/>
      <c r="PUX9" s="21"/>
      <c r="PUY9" s="21"/>
      <c r="PUZ9" s="21"/>
      <c r="PVA9" s="21"/>
      <c r="PVB9" s="21"/>
      <c r="PVC9" s="21"/>
      <c r="PVD9" s="21"/>
      <c r="PVE9" s="21"/>
      <c r="PVF9" s="21"/>
      <c r="PVG9" s="21"/>
      <c r="PVH9" s="21"/>
      <c r="PVI9" s="21"/>
      <c r="PVJ9" s="21"/>
      <c r="PVK9" s="21"/>
      <c r="PVL9" s="21"/>
      <c r="PVM9" s="21"/>
      <c r="PVN9" s="21"/>
      <c r="PVO9" s="21"/>
      <c r="PVP9" s="21"/>
      <c r="PVQ9" s="21"/>
      <c r="PVR9" s="21"/>
      <c r="PVS9" s="21"/>
      <c r="PVT9" s="21"/>
      <c r="PVU9" s="21"/>
      <c r="PVV9" s="21"/>
      <c r="PVW9" s="21"/>
      <c r="PVX9" s="21"/>
      <c r="PVY9" s="21"/>
      <c r="PVZ9" s="21"/>
      <c r="PWA9" s="21"/>
      <c r="PWB9" s="21"/>
      <c r="PWC9" s="21"/>
      <c r="PWD9" s="21"/>
      <c r="PWE9" s="21"/>
      <c r="PWF9" s="21"/>
      <c r="PWG9" s="21"/>
      <c r="PWH9" s="21"/>
      <c r="PWI9" s="21"/>
      <c r="PWJ9" s="21"/>
      <c r="PWK9" s="21"/>
      <c r="PWL9" s="21"/>
      <c r="PWM9" s="21"/>
      <c r="PWN9" s="21"/>
      <c r="PWO9" s="21"/>
      <c r="PWP9" s="21"/>
      <c r="PWQ9" s="21"/>
      <c r="PWR9" s="21"/>
      <c r="PWS9" s="21"/>
      <c r="PWT9" s="21"/>
      <c r="PWU9" s="21"/>
      <c r="PWV9" s="21"/>
      <c r="PWW9" s="21"/>
      <c r="PWX9" s="21"/>
      <c r="PWY9" s="21"/>
      <c r="PWZ9" s="21"/>
      <c r="PXA9" s="21"/>
      <c r="PXB9" s="21"/>
      <c r="PXC9" s="21"/>
      <c r="PXD9" s="21"/>
      <c r="PXE9" s="21"/>
      <c r="PXF9" s="21"/>
      <c r="PXG9" s="21"/>
      <c r="PXH9" s="21"/>
      <c r="PXI9" s="21"/>
      <c r="PXJ9" s="21"/>
      <c r="PXK9" s="21"/>
      <c r="PXL9" s="21"/>
      <c r="PXM9" s="21"/>
      <c r="PXN9" s="21"/>
      <c r="PXO9" s="21"/>
      <c r="PXP9" s="21"/>
      <c r="PXQ9" s="21"/>
      <c r="PXR9" s="21"/>
      <c r="PXS9" s="21"/>
      <c r="PXT9" s="21"/>
      <c r="PXU9" s="21"/>
      <c r="PXV9" s="21"/>
      <c r="PXW9" s="21"/>
      <c r="PXX9" s="21"/>
      <c r="PXY9" s="21"/>
      <c r="PXZ9" s="21"/>
      <c r="PYA9" s="21"/>
      <c r="PYB9" s="21"/>
      <c r="PYC9" s="21"/>
      <c r="PYD9" s="21"/>
      <c r="PYE9" s="21"/>
      <c r="PYF9" s="21"/>
      <c r="PYG9" s="21"/>
      <c r="PYH9" s="21"/>
      <c r="PYI9" s="21"/>
      <c r="PYJ9" s="21"/>
      <c r="PYK9" s="21"/>
      <c r="PYL9" s="21"/>
      <c r="PYM9" s="21"/>
      <c r="PYN9" s="21"/>
      <c r="PYO9" s="21"/>
      <c r="PYP9" s="21"/>
      <c r="PYQ9" s="21"/>
      <c r="PYR9" s="21"/>
      <c r="PYS9" s="21"/>
      <c r="PYT9" s="21"/>
      <c r="PYU9" s="21"/>
      <c r="PYV9" s="21"/>
      <c r="PYW9" s="21"/>
      <c r="PYX9" s="21"/>
      <c r="PYY9" s="21"/>
      <c r="PYZ9" s="21"/>
      <c r="PZA9" s="21"/>
      <c r="PZB9" s="21"/>
      <c r="PZC9" s="21"/>
      <c r="PZD9" s="21"/>
      <c r="PZE9" s="21"/>
      <c r="PZF9" s="21"/>
      <c r="PZG9" s="21"/>
      <c r="PZH9" s="21"/>
      <c r="PZI9" s="21"/>
      <c r="PZJ9" s="21"/>
      <c r="PZK9" s="21"/>
      <c r="PZL9" s="21"/>
      <c r="PZM9" s="21"/>
      <c r="PZN9" s="21"/>
      <c r="PZO9" s="21"/>
      <c r="PZP9" s="21"/>
      <c r="PZQ9" s="21"/>
      <c r="PZR9" s="21"/>
      <c r="PZS9" s="21"/>
      <c r="PZT9" s="21"/>
      <c r="PZU9" s="21"/>
      <c r="PZV9" s="21"/>
      <c r="PZW9" s="21"/>
      <c r="PZX9" s="21"/>
      <c r="PZY9" s="21"/>
      <c r="PZZ9" s="21"/>
      <c r="QAA9" s="21"/>
      <c r="QAB9" s="21"/>
      <c r="QAC9" s="21"/>
      <c r="QAD9" s="21"/>
      <c r="QAE9" s="21"/>
      <c r="QAF9" s="21"/>
      <c r="QAG9" s="21"/>
      <c r="QAH9" s="21"/>
      <c r="QAI9" s="21"/>
      <c r="QAJ9" s="21"/>
      <c r="QAK9" s="21"/>
      <c r="QAL9" s="21"/>
      <c r="QAM9" s="21"/>
      <c r="QAN9" s="21"/>
      <c r="QAO9" s="21"/>
      <c r="QAP9" s="21"/>
      <c r="QAQ9" s="21"/>
      <c r="QAR9" s="21"/>
      <c r="QAS9" s="21"/>
      <c r="QAT9" s="21"/>
      <c r="QAU9" s="21"/>
      <c r="QAV9" s="21"/>
      <c r="QAW9" s="21"/>
      <c r="QAX9" s="21"/>
      <c r="QAY9" s="21"/>
      <c r="QAZ9" s="21"/>
      <c r="QBA9" s="21"/>
      <c r="QBB9" s="21"/>
      <c r="QBC9" s="21"/>
      <c r="QBD9" s="21"/>
      <c r="QBE9" s="21"/>
      <c r="QBF9" s="21"/>
      <c r="QBG9" s="21"/>
      <c r="QBH9" s="21"/>
      <c r="QBI9" s="21"/>
      <c r="QBJ9" s="21"/>
      <c r="QBK9" s="21"/>
      <c r="QBL9" s="21"/>
      <c r="QBM9" s="21"/>
      <c r="QBN9" s="21"/>
      <c r="QBO9" s="21"/>
      <c r="QBP9" s="21"/>
      <c r="QBQ9" s="21"/>
      <c r="QBR9" s="21"/>
      <c r="QBS9" s="21"/>
      <c r="QBT9" s="21"/>
      <c r="QBU9" s="21"/>
      <c r="QBV9" s="21"/>
      <c r="QBW9" s="21"/>
      <c r="QBX9" s="21"/>
      <c r="QBY9" s="21"/>
      <c r="QBZ9" s="21"/>
      <c r="QCA9" s="21"/>
      <c r="QCB9" s="21"/>
      <c r="QCC9" s="21"/>
      <c r="QCD9" s="21"/>
      <c r="QCE9" s="21"/>
      <c r="QCF9" s="21"/>
      <c r="QCG9" s="21"/>
      <c r="QCH9" s="21"/>
      <c r="QCI9" s="21"/>
      <c r="QCJ9" s="21"/>
      <c r="QCK9" s="21"/>
      <c r="QCL9" s="21"/>
      <c r="QCM9" s="21"/>
      <c r="QCN9" s="21"/>
      <c r="QCO9" s="21"/>
      <c r="QCP9" s="21"/>
      <c r="QCQ9" s="21"/>
      <c r="QCR9" s="21"/>
      <c r="QCS9" s="21"/>
      <c r="QCT9" s="21"/>
      <c r="QCU9" s="21"/>
      <c r="QCV9" s="21"/>
      <c r="QCW9" s="21"/>
      <c r="QCX9" s="21"/>
      <c r="QCY9" s="21"/>
      <c r="QCZ9" s="21"/>
      <c r="QDA9" s="21"/>
      <c r="QDB9" s="21"/>
      <c r="QDC9" s="21"/>
      <c r="QDD9" s="21"/>
      <c r="QDE9" s="21"/>
      <c r="QDF9" s="21"/>
      <c r="QDG9" s="21"/>
      <c r="QDH9" s="21"/>
      <c r="QDI9" s="21"/>
      <c r="QDJ9" s="21"/>
      <c r="QDK9" s="21"/>
      <c r="QDL9" s="21"/>
      <c r="QDM9" s="21"/>
      <c r="QDN9" s="21"/>
      <c r="QDO9" s="21"/>
      <c r="QDP9" s="21"/>
      <c r="QDQ9" s="21"/>
      <c r="QDR9" s="21"/>
      <c r="QDS9" s="21"/>
      <c r="QDT9" s="21"/>
      <c r="QDU9" s="21"/>
      <c r="QDV9" s="21"/>
      <c r="QDW9" s="21"/>
      <c r="QDX9" s="21"/>
      <c r="QDY9" s="21"/>
      <c r="QDZ9" s="21"/>
      <c r="QEA9" s="21"/>
      <c r="QEB9" s="21"/>
      <c r="QEC9" s="21"/>
      <c r="QED9" s="21"/>
      <c r="QEE9" s="21"/>
      <c r="QEF9" s="21"/>
      <c r="QEG9" s="21"/>
      <c r="QEH9" s="21"/>
      <c r="QEI9" s="21"/>
      <c r="QEJ9" s="21"/>
      <c r="QEK9" s="21"/>
      <c r="QEL9" s="21"/>
      <c r="QEM9" s="21"/>
      <c r="QEN9" s="21"/>
      <c r="QEO9" s="21"/>
      <c r="QEP9" s="21"/>
      <c r="QEQ9" s="21"/>
      <c r="QER9" s="21"/>
      <c r="QES9" s="21"/>
      <c r="QET9" s="21"/>
      <c r="QEU9" s="21"/>
      <c r="QEV9" s="21"/>
      <c r="QEW9" s="21"/>
      <c r="QEX9" s="21"/>
      <c r="QEY9" s="21"/>
      <c r="QEZ9" s="21"/>
      <c r="QFA9" s="21"/>
      <c r="QFB9" s="21"/>
      <c r="QFC9" s="21"/>
      <c r="QFD9" s="21"/>
      <c r="QFE9" s="21"/>
      <c r="QFF9" s="21"/>
      <c r="QFG9" s="21"/>
      <c r="QFH9" s="21"/>
      <c r="QFI9" s="21"/>
      <c r="QFJ9" s="21"/>
      <c r="QFK9" s="21"/>
      <c r="QFL9" s="21"/>
      <c r="QFM9" s="21"/>
      <c r="QFN9" s="21"/>
      <c r="QFO9" s="21"/>
      <c r="QFP9" s="21"/>
      <c r="QFQ9" s="21"/>
      <c r="QFR9" s="21"/>
      <c r="QFS9" s="21"/>
      <c r="QFT9" s="21"/>
      <c r="QFU9" s="21"/>
      <c r="QFV9" s="21"/>
      <c r="QFW9" s="21"/>
      <c r="QFX9" s="21"/>
      <c r="QFY9" s="21"/>
      <c r="QFZ9" s="21"/>
      <c r="QGA9" s="21"/>
      <c r="QGB9" s="21"/>
      <c r="QGC9" s="21"/>
      <c r="QGD9" s="21"/>
      <c r="QGE9" s="21"/>
      <c r="QGF9" s="21"/>
      <c r="QGG9" s="21"/>
      <c r="QGH9" s="21"/>
      <c r="QGI9" s="21"/>
      <c r="QGJ9" s="21"/>
      <c r="QGK9" s="21"/>
      <c r="QGL9" s="21"/>
      <c r="QGM9" s="21"/>
      <c r="QGN9" s="21"/>
      <c r="QGO9" s="21"/>
      <c r="QGP9" s="21"/>
      <c r="QGQ9" s="21"/>
      <c r="QGR9" s="21"/>
      <c r="QGS9" s="21"/>
      <c r="QGT9" s="21"/>
      <c r="QGU9" s="21"/>
      <c r="QGV9" s="21"/>
      <c r="QGW9" s="21"/>
      <c r="QGX9" s="21"/>
      <c r="QGY9" s="21"/>
      <c r="QGZ9" s="21"/>
      <c r="QHA9" s="21"/>
      <c r="QHB9" s="21"/>
      <c r="QHC9" s="21"/>
      <c r="QHD9" s="21"/>
      <c r="QHE9" s="21"/>
      <c r="QHF9" s="21"/>
      <c r="QHG9" s="21"/>
      <c r="QHH9" s="21"/>
      <c r="QHI9" s="21"/>
      <c r="QHJ9" s="21"/>
      <c r="QHK9" s="21"/>
      <c r="QHL9" s="21"/>
      <c r="QHM9" s="21"/>
      <c r="QHN9" s="21"/>
      <c r="QHO9" s="21"/>
      <c r="QHP9" s="21"/>
      <c r="QHQ9" s="21"/>
      <c r="QHR9" s="21"/>
      <c r="QHS9" s="21"/>
      <c r="QHT9" s="21"/>
      <c r="QHU9" s="21"/>
      <c r="QHV9" s="21"/>
      <c r="QHW9" s="21"/>
      <c r="QHX9" s="21"/>
      <c r="QHY9" s="21"/>
      <c r="QHZ9" s="21"/>
      <c r="QIA9" s="21"/>
      <c r="QIB9" s="21"/>
      <c r="QIC9" s="21"/>
      <c r="QID9" s="21"/>
      <c r="QIE9" s="21"/>
      <c r="QIF9" s="21"/>
      <c r="QIG9" s="21"/>
      <c r="QIH9" s="21"/>
      <c r="QII9" s="21"/>
      <c r="QIJ9" s="21"/>
      <c r="QIK9" s="21"/>
      <c r="QIL9" s="21"/>
      <c r="QIM9" s="21"/>
      <c r="QIN9" s="21"/>
      <c r="QIO9" s="21"/>
      <c r="QIP9" s="21"/>
      <c r="QIQ9" s="21"/>
      <c r="QIR9" s="21"/>
      <c r="QIS9" s="21"/>
      <c r="QIT9" s="21"/>
      <c r="QIU9" s="21"/>
      <c r="QIV9" s="21"/>
      <c r="QIW9" s="21"/>
      <c r="QIX9" s="21"/>
      <c r="QIY9" s="21"/>
      <c r="QIZ9" s="21"/>
      <c r="QJA9" s="21"/>
      <c r="QJB9" s="21"/>
      <c r="QJC9" s="21"/>
      <c r="QJD9" s="21"/>
      <c r="QJE9" s="21"/>
      <c r="QJF9" s="21"/>
      <c r="QJG9" s="21"/>
      <c r="QJH9" s="21"/>
      <c r="QJI9" s="21"/>
      <c r="QJJ9" s="21"/>
      <c r="QJK9" s="21"/>
      <c r="QJL9" s="21"/>
      <c r="QJM9" s="21"/>
      <c r="QJN9" s="21"/>
      <c r="QJO9" s="21"/>
      <c r="QJP9" s="21"/>
      <c r="QJQ9" s="21"/>
      <c r="QJR9" s="21"/>
      <c r="QJS9" s="21"/>
      <c r="QJT9" s="21"/>
      <c r="QJU9" s="21"/>
      <c r="QJV9" s="21"/>
      <c r="QJW9" s="21"/>
      <c r="QJX9" s="21"/>
      <c r="QJY9" s="21"/>
      <c r="QJZ9" s="21"/>
      <c r="QKA9" s="21"/>
      <c r="QKB9" s="21"/>
      <c r="QKC9" s="21"/>
      <c r="QKD9" s="21"/>
      <c r="QKE9" s="21"/>
      <c r="QKF9" s="21"/>
      <c r="QKG9" s="21"/>
      <c r="QKH9" s="21"/>
      <c r="QKI9" s="21"/>
      <c r="QKJ9" s="21"/>
      <c r="QKK9" s="21"/>
      <c r="QKL9" s="21"/>
      <c r="QKM9" s="21"/>
      <c r="QKN9" s="21"/>
      <c r="QKO9" s="21"/>
      <c r="QKP9" s="21"/>
      <c r="QKQ9" s="21"/>
      <c r="QKR9" s="21"/>
      <c r="QKS9" s="21"/>
      <c r="QKT9" s="21"/>
      <c r="QKU9" s="21"/>
      <c r="QKV9" s="21"/>
      <c r="QKW9" s="21"/>
      <c r="QKX9" s="21"/>
      <c r="QKY9" s="21"/>
      <c r="QKZ9" s="21"/>
      <c r="QLA9" s="21"/>
      <c r="QLB9" s="21"/>
      <c r="QLC9" s="21"/>
      <c r="QLD9" s="21"/>
      <c r="QLE9" s="21"/>
      <c r="QLF9" s="21"/>
      <c r="QLG9" s="21"/>
      <c r="QLH9" s="21"/>
      <c r="QLI9" s="21"/>
      <c r="QLJ9" s="21"/>
      <c r="QLK9" s="21"/>
      <c r="QLL9" s="21"/>
      <c r="QLM9" s="21"/>
      <c r="QLN9" s="21"/>
      <c r="QLO9" s="21"/>
      <c r="QLP9" s="21"/>
      <c r="QLQ9" s="21"/>
      <c r="QLR9" s="21"/>
      <c r="QLS9" s="21"/>
      <c r="QLT9" s="21"/>
      <c r="QLU9" s="21"/>
      <c r="QLV9" s="21"/>
      <c r="QLW9" s="21"/>
      <c r="QLX9" s="21"/>
      <c r="QLY9" s="21"/>
      <c r="QLZ9" s="21"/>
      <c r="QMA9" s="21"/>
      <c r="QMB9" s="21"/>
      <c r="QMC9" s="21"/>
      <c r="QMD9" s="21"/>
      <c r="QME9" s="21"/>
      <c r="QMF9" s="21"/>
      <c r="QMG9" s="21"/>
      <c r="QMH9" s="21"/>
      <c r="QMI9" s="21"/>
      <c r="QMJ9" s="21"/>
      <c r="QMK9" s="21"/>
      <c r="QML9" s="21"/>
      <c r="QMM9" s="21"/>
      <c r="QMN9" s="21"/>
      <c r="QMO9" s="21"/>
      <c r="QMP9" s="21"/>
      <c r="QMQ9" s="21"/>
      <c r="QMR9" s="21"/>
      <c r="QMS9" s="21"/>
      <c r="QMT9" s="21"/>
      <c r="QMU9" s="21"/>
      <c r="QMV9" s="21"/>
      <c r="QMW9" s="21"/>
      <c r="QMX9" s="21"/>
      <c r="QMY9" s="21"/>
      <c r="QMZ9" s="21"/>
      <c r="QNA9" s="21"/>
      <c r="QNB9" s="21"/>
      <c r="QNC9" s="21"/>
      <c r="QND9" s="21"/>
      <c r="QNE9" s="21"/>
      <c r="QNF9" s="21"/>
      <c r="QNG9" s="21"/>
      <c r="QNH9" s="21"/>
      <c r="QNI9" s="21"/>
      <c r="QNJ9" s="21"/>
      <c r="QNK9" s="21"/>
      <c r="QNL9" s="21"/>
      <c r="QNM9" s="21"/>
      <c r="QNN9" s="21"/>
      <c r="QNO9" s="21"/>
      <c r="QNP9" s="21"/>
      <c r="QNQ9" s="21"/>
      <c r="QNR9" s="21"/>
      <c r="QNS9" s="21"/>
      <c r="QNT9" s="21"/>
      <c r="QNU9" s="21"/>
      <c r="QNV9" s="21"/>
      <c r="QNW9" s="21"/>
      <c r="QNX9" s="21"/>
      <c r="QNY9" s="21"/>
      <c r="QNZ9" s="21"/>
      <c r="QOA9" s="21"/>
      <c r="QOB9" s="21"/>
      <c r="QOC9" s="21"/>
      <c r="QOD9" s="21"/>
      <c r="QOE9" s="21"/>
      <c r="QOF9" s="21"/>
      <c r="QOG9" s="21"/>
      <c r="QOH9" s="21"/>
      <c r="QOI9" s="21"/>
      <c r="QOJ9" s="21"/>
      <c r="QOK9" s="21"/>
      <c r="QOL9" s="21"/>
      <c r="QOM9" s="21"/>
      <c r="QON9" s="21"/>
      <c r="QOO9" s="21"/>
      <c r="QOP9" s="21"/>
      <c r="QOQ9" s="21"/>
      <c r="QOR9" s="21"/>
      <c r="QOS9" s="21"/>
      <c r="QOT9" s="21"/>
      <c r="QOU9" s="21"/>
      <c r="QOV9" s="21"/>
      <c r="QOW9" s="21"/>
      <c r="QOX9" s="21"/>
      <c r="QOY9" s="21"/>
      <c r="QOZ9" s="21"/>
      <c r="QPA9" s="21"/>
      <c r="QPB9" s="21"/>
      <c r="QPC9" s="21"/>
      <c r="QPD9" s="21"/>
      <c r="QPE9" s="21"/>
      <c r="QPF9" s="21"/>
      <c r="QPG9" s="21"/>
      <c r="QPH9" s="21"/>
      <c r="QPI9" s="21"/>
      <c r="QPJ9" s="21"/>
      <c r="QPK9" s="21"/>
      <c r="QPL9" s="21"/>
      <c r="QPM9" s="21"/>
      <c r="QPN9" s="21"/>
      <c r="QPO9" s="21"/>
      <c r="QPP9" s="21"/>
      <c r="QPQ9" s="21"/>
      <c r="QPR9" s="21"/>
      <c r="QPS9" s="21"/>
      <c r="QPT9" s="21"/>
      <c r="QPU9" s="21"/>
      <c r="QPV9" s="21"/>
      <c r="QPW9" s="21"/>
      <c r="QPX9" s="21"/>
      <c r="QPY9" s="21"/>
      <c r="QPZ9" s="21"/>
      <c r="QQA9" s="21"/>
      <c r="QQB9" s="21"/>
      <c r="QQC9" s="21"/>
      <c r="QQD9" s="21"/>
      <c r="QQE9" s="21"/>
      <c r="QQF9" s="21"/>
      <c r="QQG9" s="21"/>
      <c r="QQH9" s="21"/>
      <c r="QQI9" s="21"/>
      <c r="QQJ9" s="21"/>
      <c r="QQK9" s="21"/>
      <c r="QQL9" s="21"/>
      <c r="QQM9" s="21"/>
      <c r="QQN9" s="21"/>
      <c r="QQO9" s="21"/>
      <c r="QQP9" s="21"/>
      <c r="QQQ9" s="21"/>
      <c r="QQR9" s="21"/>
      <c r="QQS9" s="21"/>
      <c r="QQT9" s="21"/>
      <c r="QQU9" s="21"/>
      <c r="QQV9" s="21"/>
      <c r="QQW9" s="21"/>
      <c r="QQX9" s="21"/>
      <c r="QQY9" s="21"/>
      <c r="QQZ9" s="21"/>
      <c r="QRA9" s="21"/>
      <c r="QRB9" s="21"/>
      <c r="QRC9" s="21"/>
      <c r="QRD9" s="21"/>
      <c r="QRE9" s="21"/>
      <c r="QRF9" s="21"/>
      <c r="QRG9" s="21"/>
      <c r="QRH9" s="21"/>
      <c r="QRI9" s="21"/>
      <c r="QRJ9" s="21"/>
      <c r="QRK9" s="21"/>
      <c r="QRL9" s="21"/>
      <c r="QRM9" s="21"/>
      <c r="QRN9" s="21"/>
      <c r="QRO9" s="21"/>
      <c r="QRP9" s="21"/>
      <c r="QRQ9" s="21"/>
      <c r="QRR9" s="21"/>
      <c r="QRS9" s="21"/>
      <c r="QRT9" s="21"/>
      <c r="QRU9" s="21"/>
      <c r="QRV9" s="21"/>
      <c r="QRW9" s="21"/>
      <c r="QRX9" s="21"/>
      <c r="QRY9" s="21"/>
      <c r="QRZ9" s="21"/>
      <c r="QSA9" s="21"/>
      <c r="QSB9" s="21"/>
      <c r="QSC9" s="21"/>
      <c r="QSD9" s="21"/>
      <c r="QSE9" s="21"/>
      <c r="QSF9" s="21"/>
      <c r="QSG9" s="21"/>
      <c r="QSH9" s="21"/>
      <c r="QSI9" s="21"/>
      <c r="QSJ9" s="21"/>
      <c r="QSK9" s="21"/>
      <c r="QSL9" s="21"/>
      <c r="QSM9" s="21"/>
      <c r="QSN9" s="21"/>
      <c r="QSO9" s="21"/>
      <c r="QSP9" s="21"/>
      <c r="QSQ9" s="21"/>
      <c r="QSR9" s="21"/>
      <c r="QSS9" s="21"/>
      <c r="QST9" s="21"/>
      <c r="QSU9" s="21"/>
      <c r="QSV9" s="21"/>
      <c r="QSW9" s="21"/>
      <c r="QSX9" s="21"/>
      <c r="QSY9" s="21"/>
      <c r="QSZ9" s="21"/>
      <c r="QTA9" s="21"/>
      <c r="QTB9" s="21"/>
      <c r="QTC9" s="21"/>
      <c r="QTD9" s="21"/>
      <c r="QTE9" s="21"/>
      <c r="QTF9" s="21"/>
      <c r="QTG9" s="21"/>
      <c r="QTH9" s="21"/>
      <c r="QTI9" s="21"/>
      <c r="QTJ9" s="21"/>
      <c r="QTK9" s="21"/>
      <c r="QTL9" s="21"/>
      <c r="QTM9" s="21"/>
      <c r="QTN9" s="21"/>
      <c r="QTO9" s="21"/>
      <c r="QTP9" s="21"/>
      <c r="QTQ9" s="21"/>
      <c r="QTR9" s="21"/>
      <c r="QTS9" s="21"/>
      <c r="QTT9" s="21"/>
      <c r="QTU9" s="21"/>
      <c r="QTV9" s="21"/>
      <c r="QTW9" s="21"/>
      <c r="QTX9" s="21"/>
      <c r="QTY9" s="21"/>
      <c r="QTZ9" s="21"/>
      <c r="QUA9" s="21"/>
      <c r="QUB9" s="21"/>
      <c r="QUC9" s="21"/>
      <c r="QUD9" s="21"/>
      <c r="QUE9" s="21"/>
      <c r="QUF9" s="21"/>
      <c r="QUG9" s="21"/>
      <c r="QUH9" s="21"/>
      <c r="QUI9" s="21"/>
      <c r="QUJ9" s="21"/>
      <c r="QUK9" s="21"/>
      <c r="QUL9" s="21"/>
      <c r="QUM9" s="21"/>
      <c r="QUN9" s="21"/>
      <c r="QUO9" s="21"/>
      <c r="QUP9" s="21"/>
      <c r="QUQ9" s="21"/>
      <c r="QUR9" s="21"/>
      <c r="QUS9" s="21"/>
      <c r="QUT9" s="21"/>
      <c r="QUU9" s="21"/>
      <c r="QUV9" s="21"/>
      <c r="QUW9" s="21"/>
      <c r="QUX9" s="21"/>
      <c r="QUY9" s="21"/>
      <c r="QUZ9" s="21"/>
      <c r="QVA9" s="21"/>
      <c r="QVB9" s="21"/>
      <c r="QVC9" s="21"/>
      <c r="QVD9" s="21"/>
      <c r="QVE9" s="21"/>
      <c r="QVF9" s="21"/>
      <c r="QVG9" s="21"/>
      <c r="QVH9" s="21"/>
      <c r="QVI9" s="21"/>
      <c r="QVJ9" s="21"/>
      <c r="QVK9" s="21"/>
      <c r="QVL9" s="21"/>
      <c r="QVM9" s="21"/>
      <c r="QVN9" s="21"/>
      <c r="QVO9" s="21"/>
      <c r="QVP9" s="21"/>
      <c r="QVQ9" s="21"/>
      <c r="QVR9" s="21"/>
      <c r="QVS9" s="21"/>
      <c r="QVT9" s="21"/>
      <c r="QVU9" s="21"/>
      <c r="QVV9" s="21"/>
      <c r="QVW9" s="21"/>
      <c r="QVX9" s="21"/>
      <c r="QVY9" s="21"/>
      <c r="QVZ9" s="21"/>
      <c r="QWA9" s="21"/>
      <c r="QWB9" s="21"/>
      <c r="QWC9" s="21"/>
      <c r="QWD9" s="21"/>
      <c r="QWE9" s="21"/>
      <c r="QWF9" s="21"/>
      <c r="QWG9" s="21"/>
      <c r="QWH9" s="21"/>
      <c r="QWI9" s="21"/>
      <c r="QWJ9" s="21"/>
      <c r="QWK9" s="21"/>
      <c r="QWL9" s="21"/>
      <c r="QWM9" s="21"/>
      <c r="QWN9" s="21"/>
      <c r="QWO9" s="21"/>
      <c r="QWP9" s="21"/>
      <c r="QWQ9" s="21"/>
      <c r="QWR9" s="21"/>
      <c r="QWS9" s="21"/>
      <c r="QWT9" s="21"/>
      <c r="QWU9" s="21"/>
      <c r="QWV9" s="21"/>
      <c r="QWW9" s="21"/>
      <c r="QWX9" s="21"/>
      <c r="QWY9" s="21"/>
      <c r="QWZ9" s="21"/>
      <c r="QXA9" s="21"/>
      <c r="QXB9" s="21"/>
      <c r="QXC9" s="21"/>
      <c r="QXD9" s="21"/>
      <c r="QXE9" s="21"/>
      <c r="QXF9" s="21"/>
      <c r="QXG9" s="21"/>
      <c r="QXH9" s="21"/>
      <c r="QXI9" s="21"/>
      <c r="QXJ9" s="21"/>
      <c r="QXK9" s="21"/>
      <c r="QXL9" s="21"/>
      <c r="QXM9" s="21"/>
      <c r="QXN9" s="21"/>
      <c r="QXO9" s="21"/>
      <c r="QXP9" s="21"/>
      <c r="QXQ9" s="21"/>
      <c r="QXR9" s="21"/>
      <c r="QXS9" s="21"/>
      <c r="QXT9" s="21"/>
      <c r="QXU9" s="21"/>
      <c r="QXV9" s="21"/>
      <c r="QXW9" s="21"/>
      <c r="QXX9" s="21"/>
      <c r="QXY9" s="21"/>
      <c r="QXZ9" s="21"/>
      <c r="QYA9" s="21"/>
      <c r="QYB9" s="21"/>
      <c r="QYC9" s="21"/>
      <c r="QYD9" s="21"/>
      <c r="QYE9" s="21"/>
      <c r="QYF9" s="21"/>
      <c r="QYG9" s="21"/>
      <c r="QYH9" s="21"/>
      <c r="QYI9" s="21"/>
      <c r="QYJ9" s="21"/>
      <c r="QYK9" s="21"/>
      <c r="QYL9" s="21"/>
      <c r="QYM9" s="21"/>
      <c r="QYN9" s="21"/>
      <c r="QYO9" s="21"/>
      <c r="QYP9" s="21"/>
      <c r="QYQ9" s="21"/>
      <c r="QYR9" s="21"/>
      <c r="QYS9" s="21"/>
      <c r="QYT9" s="21"/>
      <c r="QYU9" s="21"/>
      <c r="QYV9" s="21"/>
      <c r="QYW9" s="21"/>
      <c r="QYX9" s="21"/>
      <c r="QYY9" s="21"/>
      <c r="QYZ9" s="21"/>
      <c r="QZA9" s="21"/>
      <c r="QZB9" s="21"/>
      <c r="QZC9" s="21"/>
      <c r="QZD9" s="21"/>
      <c r="QZE9" s="21"/>
      <c r="QZF9" s="21"/>
      <c r="QZG9" s="21"/>
      <c r="QZH9" s="21"/>
      <c r="QZI9" s="21"/>
      <c r="QZJ9" s="21"/>
      <c r="QZK9" s="21"/>
      <c r="QZL9" s="21"/>
      <c r="QZM9" s="21"/>
      <c r="QZN9" s="21"/>
      <c r="QZO9" s="21"/>
      <c r="QZP9" s="21"/>
      <c r="QZQ9" s="21"/>
      <c r="QZR9" s="21"/>
      <c r="QZS9" s="21"/>
      <c r="QZT9" s="21"/>
      <c r="QZU9" s="21"/>
      <c r="QZV9" s="21"/>
      <c r="QZW9" s="21"/>
      <c r="QZX9" s="21"/>
      <c r="QZY9" s="21"/>
      <c r="QZZ9" s="21"/>
      <c r="RAA9" s="21"/>
      <c r="RAB9" s="21"/>
      <c r="RAC9" s="21"/>
      <c r="RAD9" s="21"/>
      <c r="RAE9" s="21"/>
      <c r="RAF9" s="21"/>
      <c r="RAG9" s="21"/>
      <c r="RAH9" s="21"/>
      <c r="RAI9" s="21"/>
      <c r="RAJ9" s="21"/>
      <c r="RAK9" s="21"/>
      <c r="RAL9" s="21"/>
      <c r="RAM9" s="21"/>
      <c r="RAN9" s="21"/>
      <c r="RAO9" s="21"/>
      <c r="RAP9" s="21"/>
      <c r="RAQ9" s="21"/>
      <c r="RAR9" s="21"/>
      <c r="RAS9" s="21"/>
      <c r="RAT9" s="21"/>
      <c r="RAU9" s="21"/>
      <c r="RAV9" s="21"/>
      <c r="RAW9" s="21"/>
      <c r="RAX9" s="21"/>
      <c r="RAY9" s="21"/>
      <c r="RAZ9" s="21"/>
      <c r="RBA9" s="21"/>
      <c r="RBB9" s="21"/>
      <c r="RBC9" s="21"/>
      <c r="RBD9" s="21"/>
      <c r="RBE9" s="21"/>
      <c r="RBF9" s="21"/>
      <c r="RBG9" s="21"/>
      <c r="RBH9" s="21"/>
      <c r="RBI9" s="21"/>
      <c r="RBJ9" s="21"/>
      <c r="RBK9" s="21"/>
      <c r="RBL9" s="21"/>
      <c r="RBM9" s="21"/>
      <c r="RBN9" s="21"/>
      <c r="RBO9" s="21"/>
      <c r="RBP9" s="21"/>
      <c r="RBQ9" s="21"/>
      <c r="RBR9" s="21"/>
      <c r="RBS9" s="21"/>
      <c r="RBT9" s="21"/>
      <c r="RBU9" s="21"/>
      <c r="RBV9" s="21"/>
      <c r="RBW9" s="21"/>
      <c r="RBX9" s="21"/>
      <c r="RBY9" s="21"/>
      <c r="RBZ9" s="21"/>
      <c r="RCA9" s="21"/>
      <c r="RCB9" s="21"/>
      <c r="RCC9" s="21"/>
      <c r="RCD9" s="21"/>
      <c r="RCE9" s="21"/>
      <c r="RCF9" s="21"/>
      <c r="RCG9" s="21"/>
      <c r="RCH9" s="21"/>
      <c r="RCI9" s="21"/>
      <c r="RCJ9" s="21"/>
      <c r="RCK9" s="21"/>
      <c r="RCL9" s="21"/>
      <c r="RCM9" s="21"/>
      <c r="RCN9" s="21"/>
      <c r="RCO9" s="21"/>
      <c r="RCP9" s="21"/>
      <c r="RCQ9" s="21"/>
      <c r="RCR9" s="21"/>
      <c r="RCS9" s="21"/>
      <c r="RCT9" s="21"/>
      <c r="RCU9" s="21"/>
      <c r="RCV9" s="21"/>
      <c r="RCW9" s="21"/>
      <c r="RCX9" s="21"/>
      <c r="RCY9" s="21"/>
      <c r="RCZ9" s="21"/>
      <c r="RDA9" s="21"/>
      <c r="RDB9" s="21"/>
      <c r="RDC9" s="21"/>
      <c r="RDD9" s="21"/>
      <c r="RDE9" s="21"/>
      <c r="RDF9" s="21"/>
      <c r="RDG9" s="21"/>
      <c r="RDH9" s="21"/>
      <c r="RDI9" s="21"/>
      <c r="RDJ9" s="21"/>
      <c r="RDK9" s="21"/>
      <c r="RDL9" s="21"/>
      <c r="RDM9" s="21"/>
      <c r="RDN9" s="21"/>
      <c r="RDO9" s="21"/>
      <c r="RDP9" s="21"/>
      <c r="RDQ9" s="21"/>
      <c r="RDR9" s="21"/>
      <c r="RDS9" s="21"/>
      <c r="RDT9" s="21"/>
      <c r="RDU9" s="21"/>
      <c r="RDV9" s="21"/>
      <c r="RDW9" s="21"/>
      <c r="RDX9" s="21"/>
      <c r="RDY9" s="21"/>
      <c r="RDZ9" s="21"/>
      <c r="REA9" s="21"/>
      <c r="REB9" s="21"/>
      <c r="REC9" s="21"/>
      <c r="RED9" s="21"/>
      <c r="REE9" s="21"/>
      <c r="REF9" s="21"/>
      <c r="REG9" s="21"/>
      <c r="REH9" s="21"/>
      <c r="REI9" s="21"/>
      <c r="REJ9" s="21"/>
      <c r="REK9" s="21"/>
      <c r="REL9" s="21"/>
      <c r="REM9" s="21"/>
      <c r="REN9" s="21"/>
      <c r="REO9" s="21"/>
      <c r="REP9" s="21"/>
      <c r="REQ9" s="21"/>
      <c r="RER9" s="21"/>
      <c r="RES9" s="21"/>
      <c r="RET9" s="21"/>
      <c r="REU9" s="21"/>
      <c r="REV9" s="21"/>
      <c r="REW9" s="21"/>
      <c r="REX9" s="21"/>
      <c r="REY9" s="21"/>
      <c r="REZ9" s="21"/>
      <c r="RFA9" s="21"/>
      <c r="RFB9" s="21"/>
      <c r="RFC9" s="21"/>
      <c r="RFD9" s="21"/>
      <c r="RFE9" s="21"/>
      <c r="RFF9" s="21"/>
      <c r="RFG9" s="21"/>
      <c r="RFH9" s="21"/>
      <c r="RFI9" s="21"/>
      <c r="RFJ9" s="21"/>
      <c r="RFK9" s="21"/>
      <c r="RFL9" s="21"/>
      <c r="RFM9" s="21"/>
      <c r="RFN9" s="21"/>
      <c r="RFO9" s="21"/>
      <c r="RFP9" s="21"/>
      <c r="RFQ9" s="21"/>
      <c r="RFR9" s="21"/>
      <c r="RFS9" s="21"/>
      <c r="RFT9" s="21"/>
      <c r="RFU9" s="21"/>
      <c r="RFV9" s="21"/>
      <c r="RFW9" s="21"/>
      <c r="RFX9" s="21"/>
      <c r="RFY9" s="21"/>
      <c r="RFZ9" s="21"/>
      <c r="RGA9" s="21"/>
      <c r="RGB9" s="21"/>
      <c r="RGC9" s="21"/>
      <c r="RGD9" s="21"/>
      <c r="RGE9" s="21"/>
      <c r="RGF9" s="21"/>
      <c r="RGG9" s="21"/>
      <c r="RGH9" s="21"/>
      <c r="RGI9" s="21"/>
      <c r="RGJ9" s="21"/>
      <c r="RGK9" s="21"/>
      <c r="RGL9" s="21"/>
      <c r="RGM9" s="21"/>
      <c r="RGN9" s="21"/>
      <c r="RGO9" s="21"/>
      <c r="RGP9" s="21"/>
      <c r="RGQ9" s="21"/>
      <c r="RGR9" s="21"/>
      <c r="RGS9" s="21"/>
      <c r="RGT9" s="21"/>
      <c r="RGU9" s="21"/>
      <c r="RGV9" s="21"/>
      <c r="RGW9" s="21"/>
      <c r="RGX9" s="21"/>
      <c r="RGY9" s="21"/>
      <c r="RGZ9" s="21"/>
      <c r="RHA9" s="21"/>
      <c r="RHB9" s="21"/>
      <c r="RHC9" s="21"/>
      <c r="RHD9" s="21"/>
      <c r="RHE9" s="21"/>
      <c r="RHF9" s="21"/>
      <c r="RHG9" s="21"/>
      <c r="RHH9" s="21"/>
      <c r="RHI9" s="21"/>
      <c r="RHJ9" s="21"/>
      <c r="RHK9" s="21"/>
      <c r="RHL9" s="21"/>
      <c r="RHM9" s="21"/>
      <c r="RHN9" s="21"/>
      <c r="RHO9" s="21"/>
      <c r="RHP9" s="21"/>
      <c r="RHQ9" s="21"/>
      <c r="RHR9" s="21"/>
      <c r="RHS9" s="21"/>
      <c r="RHT9" s="21"/>
      <c r="RHU9" s="21"/>
      <c r="RHV9" s="21"/>
      <c r="RHW9" s="21"/>
      <c r="RHX9" s="21"/>
      <c r="RHY9" s="21"/>
      <c r="RHZ9" s="21"/>
      <c r="RIA9" s="21"/>
      <c r="RIB9" s="21"/>
      <c r="RIC9" s="21"/>
      <c r="RID9" s="21"/>
      <c r="RIE9" s="21"/>
      <c r="RIF9" s="21"/>
      <c r="RIG9" s="21"/>
      <c r="RIH9" s="21"/>
      <c r="RII9" s="21"/>
      <c r="RIJ9" s="21"/>
      <c r="RIK9" s="21"/>
      <c r="RIL9" s="21"/>
      <c r="RIM9" s="21"/>
      <c r="RIN9" s="21"/>
      <c r="RIO9" s="21"/>
      <c r="RIP9" s="21"/>
      <c r="RIQ9" s="21"/>
      <c r="RIR9" s="21"/>
      <c r="RIS9" s="21"/>
      <c r="RIT9" s="21"/>
      <c r="RIU9" s="21"/>
      <c r="RIV9" s="21"/>
      <c r="RIW9" s="21"/>
      <c r="RIX9" s="21"/>
      <c r="RIY9" s="21"/>
      <c r="RIZ9" s="21"/>
      <c r="RJA9" s="21"/>
      <c r="RJB9" s="21"/>
      <c r="RJC9" s="21"/>
      <c r="RJD9" s="21"/>
      <c r="RJE9" s="21"/>
      <c r="RJF9" s="21"/>
      <c r="RJG9" s="21"/>
      <c r="RJH9" s="21"/>
      <c r="RJI9" s="21"/>
      <c r="RJJ9" s="21"/>
      <c r="RJK9" s="21"/>
      <c r="RJL9" s="21"/>
      <c r="RJM9" s="21"/>
      <c r="RJN9" s="21"/>
      <c r="RJO9" s="21"/>
      <c r="RJP9" s="21"/>
      <c r="RJQ9" s="21"/>
      <c r="RJR9" s="21"/>
      <c r="RJS9" s="21"/>
      <c r="RJT9" s="21"/>
      <c r="RJU9" s="21"/>
      <c r="RJV9" s="21"/>
      <c r="RJW9" s="21"/>
      <c r="RJX9" s="21"/>
      <c r="RJY9" s="21"/>
      <c r="RJZ9" s="21"/>
      <c r="RKA9" s="21"/>
      <c r="RKB9" s="21"/>
      <c r="RKC9" s="21"/>
      <c r="RKD9" s="21"/>
      <c r="RKE9" s="21"/>
      <c r="RKF9" s="21"/>
      <c r="RKG9" s="21"/>
      <c r="RKH9" s="21"/>
      <c r="RKI9" s="21"/>
      <c r="RKJ9" s="21"/>
      <c r="RKK9" s="21"/>
      <c r="RKL9" s="21"/>
      <c r="RKM9" s="21"/>
      <c r="RKN9" s="21"/>
      <c r="RKO9" s="21"/>
      <c r="RKP9" s="21"/>
      <c r="RKQ9" s="21"/>
      <c r="RKR9" s="21"/>
      <c r="RKS9" s="21"/>
      <c r="RKT9" s="21"/>
      <c r="RKU9" s="21"/>
      <c r="RKV9" s="21"/>
      <c r="RKW9" s="21"/>
      <c r="RKX9" s="21"/>
      <c r="RKY9" s="21"/>
      <c r="RKZ9" s="21"/>
      <c r="RLA9" s="21"/>
      <c r="RLB9" s="21"/>
      <c r="RLC9" s="21"/>
      <c r="RLD9" s="21"/>
      <c r="RLE9" s="21"/>
      <c r="RLF9" s="21"/>
      <c r="RLG9" s="21"/>
      <c r="RLH9" s="21"/>
      <c r="RLI9" s="21"/>
      <c r="RLJ9" s="21"/>
      <c r="RLK9" s="21"/>
      <c r="RLL9" s="21"/>
      <c r="RLM9" s="21"/>
      <c r="RLN9" s="21"/>
      <c r="RLO9" s="21"/>
      <c r="RLP9" s="21"/>
      <c r="RLQ9" s="21"/>
      <c r="RLR9" s="21"/>
      <c r="RLS9" s="21"/>
      <c r="RLT9" s="21"/>
      <c r="RLU9" s="21"/>
      <c r="RLV9" s="21"/>
      <c r="RLW9" s="21"/>
      <c r="RLX9" s="21"/>
      <c r="RLY9" s="21"/>
      <c r="RLZ9" s="21"/>
      <c r="RMA9" s="21"/>
      <c r="RMB9" s="21"/>
      <c r="RMC9" s="21"/>
      <c r="RMD9" s="21"/>
      <c r="RME9" s="21"/>
      <c r="RMF9" s="21"/>
      <c r="RMG9" s="21"/>
      <c r="RMH9" s="21"/>
      <c r="RMI9" s="21"/>
      <c r="RMJ9" s="21"/>
      <c r="RMK9" s="21"/>
      <c r="RML9" s="21"/>
      <c r="RMM9" s="21"/>
      <c r="RMN9" s="21"/>
      <c r="RMO9" s="21"/>
      <c r="RMP9" s="21"/>
      <c r="RMQ9" s="21"/>
      <c r="RMR9" s="21"/>
      <c r="RMS9" s="21"/>
      <c r="RMT9" s="21"/>
      <c r="RMU9" s="21"/>
      <c r="RMV9" s="21"/>
      <c r="RMW9" s="21"/>
      <c r="RMX9" s="21"/>
      <c r="RMY9" s="21"/>
      <c r="RMZ9" s="21"/>
      <c r="RNA9" s="21"/>
      <c r="RNB9" s="21"/>
      <c r="RNC9" s="21"/>
      <c r="RND9" s="21"/>
      <c r="RNE9" s="21"/>
      <c r="RNF9" s="21"/>
      <c r="RNG9" s="21"/>
      <c r="RNH9" s="21"/>
      <c r="RNI9" s="21"/>
      <c r="RNJ9" s="21"/>
      <c r="RNK9" s="21"/>
      <c r="RNL9" s="21"/>
      <c r="RNM9" s="21"/>
      <c r="RNN9" s="21"/>
      <c r="RNO9" s="21"/>
      <c r="RNP9" s="21"/>
      <c r="RNQ9" s="21"/>
      <c r="RNR9" s="21"/>
      <c r="RNS9" s="21"/>
      <c r="RNT9" s="21"/>
      <c r="RNU9" s="21"/>
      <c r="RNV9" s="21"/>
      <c r="RNW9" s="21"/>
      <c r="RNX9" s="21"/>
      <c r="RNY9" s="21"/>
      <c r="RNZ9" s="21"/>
      <c r="ROA9" s="21"/>
      <c r="ROB9" s="21"/>
      <c r="ROC9" s="21"/>
      <c r="ROD9" s="21"/>
      <c r="ROE9" s="21"/>
      <c r="ROF9" s="21"/>
      <c r="ROG9" s="21"/>
      <c r="ROH9" s="21"/>
      <c r="ROI9" s="21"/>
      <c r="ROJ9" s="21"/>
      <c r="ROK9" s="21"/>
      <c r="ROL9" s="21"/>
      <c r="ROM9" s="21"/>
      <c r="RON9" s="21"/>
      <c r="ROO9" s="21"/>
      <c r="ROP9" s="21"/>
      <c r="ROQ9" s="21"/>
      <c r="ROR9" s="21"/>
      <c r="ROS9" s="21"/>
      <c r="ROT9" s="21"/>
      <c r="ROU9" s="21"/>
      <c r="ROV9" s="21"/>
      <c r="ROW9" s="21"/>
      <c r="ROX9" s="21"/>
      <c r="ROY9" s="21"/>
      <c r="ROZ9" s="21"/>
      <c r="RPA9" s="21"/>
      <c r="RPB9" s="21"/>
      <c r="RPC9" s="21"/>
      <c r="RPD9" s="21"/>
      <c r="RPE9" s="21"/>
      <c r="RPF9" s="21"/>
      <c r="RPG9" s="21"/>
      <c r="RPH9" s="21"/>
      <c r="RPI9" s="21"/>
      <c r="RPJ9" s="21"/>
      <c r="RPK9" s="21"/>
      <c r="RPL9" s="21"/>
      <c r="RPM9" s="21"/>
      <c r="RPN9" s="21"/>
      <c r="RPO9" s="21"/>
      <c r="RPP9" s="21"/>
      <c r="RPQ9" s="21"/>
      <c r="RPR9" s="21"/>
      <c r="RPS9" s="21"/>
      <c r="RPT9" s="21"/>
      <c r="RPU9" s="21"/>
      <c r="RPV9" s="21"/>
      <c r="RPW9" s="21"/>
      <c r="RPX9" s="21"/>
      <c r="RPY9" s="21"/>
      <c r="RPZ9" s="21"/>
      <c r="RQA9" s="21"/>
      <c r="RQB9" s="21"/>
      <c r="RQC9" s="21"/>
      <c r="RQD9" s="21"/>
      <c r="RQE9" s="21"/>
      <c r="RQF9" s="21"/>
      <c r="RQG9" s="21"/>
      <c r="RQH9" s="21"/>
      <c r="RQI9" s="21"/>
      <c r="RQJ9" s="21"/>
      <c r="RQK9" s="21"/>
      <c r="RQL9" s="21"/>
      <c r="RQM9" s="21"/>
      <c r="RQN9" s="21"/>
      <c r="RQO9" s="21"/>
      <c r="RQP9" s="21"/>
      <c r="RQQ9" s="21"/>
      <c r="RQR9" s="21"/>
      <c r="RQS9" s="21"/>
      <c r="RQT9" s="21"/>
      <c r="RQU9" s="21"/>
      <c r="RQV9" s="21"/>
      <c r="RQW9" s="21"/>
      <c r="RQX9" s="21"/>
      <c r="RQY9" s="21"/>
      <c r="RQZ9" s="21"/>
      <c r="RRA9" s="21"/>
      <c r="RRB9" s="21"/>
      <c r="RRC9" s="21"/>
      <c r="RRD9" s="21"/>
      <c r="RRE9" s="21"/>
      <c r="RRF9" s="21"/>
      <c r="RRG9" s="21"/>
      <c r="RRH9" s="21"/>
      <c r="RRI9" s="21"/>
      <c r="RRJ9" s="21"/>
      <c r="RRK9" s="21"/>
      <c r="RRL9" s="21"/>
      <c r="RRM9" s="21"/>
      <c r="RRN9" s="21"/>
      <c r="RRO9" s="21"/>
      <c r="RRP9" s="21"/>
      <c r="RRQ9" s="21"/>
      <c r="RRR9" s="21"/>
      <c r="RRS9" s="21"/>
      <c r="RRT9" s="21"/>
      <c r="RRU9" s="21"/>
      <c r="RRV9" s="21"/>
      <c r="RRW9" s="21"/>
      <c r="RRX9" s="21"/>
      <c r="RRY9" s="21"/>
      <c r="RRZ9" s="21"/>
      <c r="RSA9" s="21"/>
      <c r="RSB9" s="21"/>
      <c r="RSC9" s="21"/>
      <c r="RSD9" s="21"/>
      <c r="RSE9" s="21"/>
      <c r="RSF9" s="21"/>
      <c r="RSG9" s="21"/>
      <c r="RSH9" s="21"/>
      <c r="RSI9" s="21"/>
      <c r="RSJ9" s="21"/>
      <c r="RSK9" s="21"/>
      <c r="RSL9" s="21"/>
      <c r="RSM9" s="21"/>
      <c r="RSN9" s="21"/>
      <c r="RSO9" s="21"/>
      <c r="RSP9" s="21"/>
      <c r="RSQ9" s="21"/>
      <c r="RSR9" s="21"/>
      <c r="RSS9" s="21"/>
      <c r="RST9" s="21"/>
      <c r="RSU9" s="21"/>
      <c r="RSV9" s="21"/>
      <c r="RSW9" s="21"/>
      <c r="RSX9" s="21"/>
      <c r="RSY9" s="21"/>
      <c r="RSZ9" s="21"/>
      <c r="RTA9" s="21"/>
      <c r="RTB9" s="21"/>
      <c r="RTC9" s="21"/>
      <c r="RTD9" s="21"/>
      <c r="RTE9" s="21"/>
      <c r="RTF9" s="21"/>
      <c r="RTG9" s="21"/>
      <c r="RTH9" s="21"/>
      <c r="RTI9" s="21"/>
      <c r="RTJ9" s="21"/>
      <c r="RTK9" s="21"/>
      <c r="RTL9" s="21"/>
      <c r="RTM9" s="21"/>
      <c r="RTN9" s="21"/>
      <c r="RTO9" s="21"/>
      <c r="RTP9" s="21"/>
      <c r="RTQ9" s="21"/>
      <c r="RTR9" s="21"/>
      <c r="RTS9" s="21"/>
      <c r="RTT9" s="21"/>
      <c r="RTU9" s="21"/>
      <c r="RTV9" s="21"/>
      <c r="RTW9" s="21"/>
      <c r="RTX9" s="21"/>
      <c r="RTY9" s="21"/>
      <c r="RTZ9" s="21"/>
      <c r="RUA9" s="21"/>
      <c r="RUB9" s="21"/>
      <c r="RUC9" s="21"/>
      <c r="RUD9" s="21"/>
      <c r="RUE9" s="21"/>
      <c r="RUF9" s="21"/>
      <c r="RUG9" s="21"/>
      <c r="RUH9" s="21"/>
      <c r="RUI9" s="21"/>
      <c r="RUJ9" s="21"/>
      <c r="RUK9" s="21"/>
      <c r="RUL9" s="21"/>
      <c r="RUM9" s="21"/>
      <c r="RUN9" s="21"/>
      <c r="RUO9" s="21"/>
      <c r="RUP9" s="21"/>
      <c r="RUQ9" s="21"/>
      <c r="RUR9" s="21"/>
      <c r="RUS9" s="21"/>
      <c r="RUT9" s="21"/>
      <c r="RUU9" s="21"/>
      <c r="RUV9" s="21"/>
      <c r="RUW9" s="21"/>
      <c r="RUX9" s="21"/>
      <c r="RUY9" s="21"/>
      <c r="RUZ9" s="21"/>
      <c r="RVA9" s="21"/>
      <c r="RVB9" s="21"/>
      <c r="RVC9" s="21"/>
      <c r="RVD9" s="21"/>
      <c r="RVE9" s="21"/>
      <c r="RVF9" s="21"/>
      <c r="RVG9" s="21"/>
      <c r="RVH9" s="21"/>
      <c r="RVI9" s="21"/>
      <c r="RVJ9" s="21"/>
      <c r="RVK9" s="21"/>
      <c r="RVL9" s="21"/>
      <c r="RVM9" s="21"/>
      <c r="RVN9" s="21"/>
      <c r="RVO9" s="21"/>
      <c r="RVP9" s="21"/>
      <c r="RVQ9" s="21"/>
      <c r="RVR9" s="21"/>
      <c r="RVS9" s="21"/>
      <c r="RVT9" s="21"/>
      <c r="RVU9" s="21"/>
      <c r="RVV9" s="21"/>
      <c r="RVW9" s="21"/>
      <c r="RVX9" s="21"/>
      <c r="RVY9" s="21"/>
      <c r="RVZ9" s="21"/>
      <c r="RWA9" s="21"/>
      <c r="RWB9" s="21"/>
      <c r="RWC9" s="21"/>
      <c r="RWD9" s="21"/>
      <c r="RWE9" s="21"/>
      <c r="RWF9" s="21"/>
      <c r="RWG9" s="21"/>
      <c r="RWH9" s="21"/>
      <c r="RWI9" s="21"/>
      <c r="RWJ9" s="21"/>
      <c r="RWK9" s="21"/>
      <c r="RWL9" s="21"/>
      <c r="RWM9" s="21"/>
      <c r="RWN9" s="21"/>
      <c r="RWO9" s="21"/>
      <c r="RWP9" s="21"/>
      <c r="RWQ9" s="21"/>
      <c r="RWR9" s="21"/>
      <c r="RWS9" s="21"/>
      <c r="RWT9" s="21"/>
      <c r="RWU9" s="21"/>
      <c r="RWV9" s="21"/>
      <c r="RWW9" s="21"/>
      <c r="RWX9" s="21"/>
      <c r="RWY9" s="21"/>
      <c r="RWZ9" s="21"/>
      <c r="RXA9" s="21"/>
      <c r="RXB9" s="21"/>
      <c r="RXC9" s="21"/>
      <c r="RXD9" s="21"/>
      <c r="RXE9" s="21"/>
      <c r="RXF9" s="21"/>
      <c r="RXG9" s="21"/>
      <c r="RXH9" s="21"/>
      <c r="RXI9" s="21"/>
      <c r="RXJ9" s="21"/>
      <c r="RXK9" s="21"/>
      <c r="RXL9" s="21"/>
      <c r="RXM9" s="21"/>
      <c r="RXN9" s="21"/>
      <c r="RXO9" s="21"/>
      <c r="RXP9" s="21"/>
      <c r="RXQ9" s="21"/>
      <c r="RXR9" s="21"/>
      <c r="RXS9" s="21"/>
      <c r="RXT9" s="21"/>
      <c r="RXU9" s="21"/>
      <c r="RXV9" s="21"/>
      <c r="RXW9" s="21"/>
      <c r="RXX9" s="21"/>
      <c r="RXY9" s="21"/>
      <c r="RXZ9" s="21"/>
      <c r="RYA9" s="21"/>
      <c r="RYB9" s="21"/>
      <c r="RYC9" s="21"/>
      <c r="RYD9" s="21"/>
      <c r="RYE9" s="21"/>
      <c r="RYF9" s="21"/>
      <c r="RYG9" s="21"/>
      <c r="RYH9" s="21"/>
      <c r="RYI9" s="21"/>
      <c r="RYJ9" s="21"/>
      <c r="RYK9" s="21"/>
      <c r="RYL9" s="21"/>
      <c r="RYM9" s="21"/>
      <c r="RYN9" s="21"/>
      <c r="RYO9" s="21"/>
      <c r="RYP9" s="21"/>
      <c r="RYQ9" s="21"/>
      <c r="RYR9" s="21"/>
      <c r="RYS9" s="21"/>
      <c r="RYT9" s="21"/>
      <c r="RYU9" s="21"/>
      <c r="RYV9" s="21"/>
      <c r="RYW9" s="21"/>
      <c r="RYX9" s="21"/>
      <c r="RYY9" s="21"/>
      <c r="RYZ9" s="21"/>
      <c r="RZA9" s="21"/>
      <c r="RZB9" s="21"/>
      <c r="RZC9" s="21"/>
      <c r="RZD9" s="21"/>
      <c r="RZE9" s="21"/>
      <c r="RZF9" s="21"/>
      <c r="RZG9" s="21"/>
      <c r="RZH9" s="21"/>
      <c r="RZI9" s="21"/>
      <c r="RZJ9" s="21"/>
      <c r="RZK9" s="21"/>
      <c r="RZL9" s="21"/>
      <c r="RZM9" s="21"/>
      <c r="RZN9" s="21"/>
      <c r="RZO9" s="21"/>
      <c r="RZP9" s="21"/>
      <c r="RZQ9" s="21"/>
      <c r="RZR9" s="21"/>
      <c r="RZS9" s="21"/>
      <c r="RZT9" s="21"/>
      <c r="RZU9" s="21"/>
      <c r="RZV9" s="21"/>
      <c r="RZW9" s="21"/>
      <c r="RZX9" s="21"/>
      <c r="RZY9" s="21"/>
      <c r="RZZ9" s="21"/>
      <c r="SAA9" s="21"/>
      <c r="SAB9" s="21"/>
      <c r="SAC9" s="21"/>
      <c r="SAD9" s="21"/>
      <c r="SAE9" s="21"/>
      <c r="SAF9" s="21"/>
      <c r="SAG9" s="21"/>
      <c r="SAH9" s="21"/>
      <c r="SAI9" s="21"/>
      <c r="SAJ9" s="21"/>
      <c r="SAK9" s="21"/>
      <c r="SAL9" s="21"/>
      <c r="SAM9" s="21"/>
      <c r="SAN9" s="21"/>
      <c r="SAO9" s="21"/>
      <c r="SAP9" s="21"/>
      <c r="SAQ9" s="21"/>
      <c r="SAR9" s="21"/>
      <c r="SAS9" s="21"/>
      <c r="SAT9" s="21"/>
      <c r="SAU9" s="21"/>
      <c r="SAV9" s="21"/>
      <c r="SAW9" s="21"/>
      <c r="SAX9" s="21"/>
      <c r="SAY9" s="21"/>
      <c r="SAZ9" s="21"/>
      <c r="SBA9" s="21"/>
      <c r="SBB9" s="21"/>
      <c r="SBC9" s="21"/>
      <c r="SBD9" s="21"/>
      <c r="SBE9" s="21"/>
      <c r="SBF9" s="21"/>
      <c r="SBG9" s="21"/>
      <c r="SBH9" s="21"/>
      <c r="SBI9" s="21"/>
      <c r="SBJ9" s="21"/>
      <c r="SBK9" s="21"/>
      <c r="SBL9" s="21"/>
      <c r="SBM9" s="21"/>
      <c r="SBN9" s="21"/>
      <c r="SBO9" s="21"/>
      <c r="SBP9" s="21"/>
      <c r="SBQ9" s="21"/>
      <c r="SBR9" s="21"/>
      <c r="SBS9" s="21"/>
      <c r="SBT9" s="21"/>
      <c r="SBU9" s="21"/>
      <c r="SBV9" s="21"/>
      <c r="SBW9" s="21"/>
      <c r="SBX9" s="21"/>
      <c r="SBY9" s="21"/>
      <c r="SBZ9" s="21"/>
      <c r="SCA9" s="21"/>
      <c r="SCB9" s="21"/>
      <c r="SCC9" s="21"/>
      <c r="SCD9" s="21"/>
      <c r="SCE9" s="21"/>
      <c r="SCF9" s="21"/>
      <c r="SCG9" s="21"/>
      <c r="SCH9" s="21"/>
      <c r="SCI9" s="21"/>
      <c r="SCJ9" s="21"/>
      <c r="SCK9" s="21"/>
      <c r="SCL9" s="21"/>
      <c r="SCM9" s="21"/>
      <c r="SCN9" s="21"/>
      <c r="SCO9" s="21"/>
      <c r="SCP9" s="21"/>
      <c r="SCQ9" s="21"/>
      <c r="SCR9" s="21"/>
      <c r="SCS9" s="21"/>
      <c r="SCT9" s="21"/>
      <c r="SCU9" s="21"/>
      <c r="SCV9" s="21"/>
      <c r="SCW9" s="21"/>
      <c r="SCX9" s="21"/>
      <c r="SCY9" s="21"/>
      <c r="SCZ9" s="21"/>
      <c r="SDA9" s="21"/>
      <c r="SDB9" s="21"/>
      <c r="SDC9" s="21"/>
      <c r="SDD9" s="21"/>
      <c r="SDE9" s="21"/>
      <c r="SDF9" s="21"/>
      <c r="SDG9" s="21"/>
      <c r="SDH9" s="21"/>
      <c r="SDI9" s="21"/>
      <c r="SDJ9" s="21"/>
      <c r="SDK9" s="21"/>
      <c r="SDL9" s="21"/>
      <c r="SDM9" s="21"/>
      <c r="SDN9" s="21"/>
      <c r="SDO9" s="21"/>
      <c r="SDP9" s="21"/>
      <c r="SDQ9" s="21"/>
      <c r="SDR9" s="21"/>
      <c r="SDS9" s="21"/>
      <c r="SDT9" s="21"/>
      <c r="SDU9" s="21"/>
      <c r="SDV9" s="21"/>
      <c r="SDW9" s="21"/>
      <c r="SDX9" s="21"/>
      <c r="SDY9" s="21"/>
      <c r="SDZ9" s="21"/>
      <c r="SEA9" s="21"/>
      <c r="SEB9" s="21"/>
      <c r="SEC9" s="21"/>
      <c r="SED9" s="21"/>
      <c r="SEE9" s="21"/>
      <c r="SEF9" s="21"/>
      <c r="SEG9" s="21"/>
      <c r="SEH9" s="21"/>
      <c r="SEI9" s="21"/>
      <c r="SEJ9" s="21"/>
      <c r="SEK9" s="21"/>
      <c r="SEL9" s="21"/>
      <c r="SEM9" s="21"/>
      <c r="SEN9" s="21"/>
      <c r="SEO9" s="21"/>
      <c r="SEP9" s="21"/>
      <c r="SEQ9" s="21"/>
      <c r="SER9" s="21"/>
      <c r="SES9" s="21"/>
      <c r="SET9" s="21"/>
      <c r="SEU9" s="21"/>
      <c r="SEV9" s="21"/>
      <c r="SEW9" s="21"/>
      <c r="SEX9" s="21"/>
      <c r="SEY9" s="21"/>
      <c r="SEZ9" s="21"/>
      <c r="SFA9" s="21"/>
      <c r="SFB9" s="21"/>
      <c r="SFC9" s="21"/>
      <c r="SFD9" s="21"/>
      <c r="SFE9" s="21"/>
      <c r="SFF9" s="21"/>
      <c r="SFG9" s="21"/>
      <c r="SFH9" s="21"/>
      <c r="SFI9" s="21"/>
      <c r="SFJ9" s="21"/>
      <c r="SFK9" s="21"/>
      <c r="SFL9" s="21"/>
      <c r="SFM9" s="21"/>
      <c r="SFN9" s="21"/>
      <c r="SFO9" s="21"/>
      <c r="SFP9" s="21"/>
      <c r="SFQ9" s="21"/>
      <c r="SFR9" s="21"/>
      <c r="SFS9" s="21"/>
      <c r="SFT9" s="21"/>
      <c r="SFU9" s="21"/>
      <c r="SFV9" s="21"/>
      <c r="SFW9" s="21"/>
      <c r="SFX9" s="21"/>
      <c r="SFY9" s="21"/>
      <c r="SFZ9" s="21"/>
      <c r="SGA9" s="21"/>
      <c r="SGB9" s="21"/>
      <c r="SGC9" s="21"/>
      <c r="SGD9" s="21"/>
      <c r="SGE9" s="21"/>
      <c r="SGF9" s="21"/>
      <c r="SGG9" s="21"/>
      <c r="SGH9" s="21"/>
      <c r="SGI9" s="21"/>
      <c r="SGJ9" s="21"/>
      <c r="SGK9" s="21"/>
      <c r="SGL9" s="21"/>
      <c r="SGM9" s="21"/>
      <c r="SGN9" s="21"/>
      <c r="SGO9" s="21"/>
      <c r="SGP9" s="21"/>
      <c r="SGQ9" s="21"/>
      <c r="SGR9" s="21"/>
      <c r="SGS9" s="21"/>
      <c r="SGT9" s="21"/>
      <c r="SGU9" s="21"/>
      <c r="SGV9" s="21"/>
      <c r="SGW9" s="21"/>
      <c r="SGX9" s="21"/>
      <c r="SGY9" s="21"/>
      <c r="SGZ9" s="21"/>
      <c r="SHA9" s="21"/>
      <c r="SHB9" s="21"/>
      <c r="SHC9" s="21"/>
      <c r="SHD9" s="21"/>
      <c r="SHE9" s="21"/>
      <c r="SHF9" s="21"/>
      <c r="SHG9" s="21"/>
      <c r="SHH9" s="21"/>
      <c r="SHI9" s="21"/>
      <c r="SHJ9" s="21"/>
      <c r="SHK9" s="21"/>
      <c r="SHL9" s="21"/>
      <c r="SHM9" s="21"/>
      <c r="SHN9" s="21"/>
      <c r="SHO9" s="21"/>
      <c r="SHP9" s="21"/>
      <c r="SHQ9" s="21"/>
      <c r="SHR9" s="21"/>
      <c r="SHS9" s="21"/>
      <c r="SHT9" s="21"/>
      <c r="SHU9" s="21"/>
      <c r="SHV9" s="21"/>
      <c r="SHW9" s="21"/>
      <c r="SHX9" s="21"/>
      <c r="SHY9" s="21"/>
      <c r="SHZ9" s="21"/>
      <c r="SIA9" s="21"/>
      <c r="SIB9" s="21"/>
      <c r="SIC9" s="21"/>
      <c r="SID9" s="21"/>
      <c r="SIE9" s="21"/>
      <c r="SIF9" s="21"/>
      <c r="SIG9" s="21"/>
      <c r="SIH9" s="21"/>
      <c r="SII9" s="21"/>
      <c r="SIJ9" s="21"/>
      <c r="SIK9" s="21"/>
      <c r="SIL9" s="21"/>
      <c r="SIM9" s="21"/>
      <c r="SIN9" s="21"/>
      <c r="SIO9" s="21"/>
      <c r="SIP9" s="21"/>
      <c r="SIQ9" s="21"/>
      <c r="SIR9" s="21"/>
      <c r="SIS9" s="21"/>
      <c r="SIT9" s="21"/>
      <c r="SIU9" s="21"/>
      <c r="SIV9" s="21"/>
      <c r="SIW9" s="21"/>
      <c r="SIX9" s="21"/>
      <c r="SIY9" s="21"/>
      <c r="SIZ9" s="21"/>
      <c r="SJA9" s="21"/>
      <c r="SJB9" s="21"/>
      <c r="SJC9" s="21"/>
      <c r="SJD9" s="21"/>
      <c r="SJE9" s="21"/>
      <c r="SJF9" s="21"/>
      <c r="SJG9" s="21"/>
      <c r="SJH9" s="21"/>
      <c r="SJI9" s="21"/>
      <c r="SJJ9" s="21"/>
      <c r="SJK9" s="21"/>
      <c r="SJL9" s="21"/>
      <c r="SJM9" s="21"/>
      <c r="SJN9" s="21"/>
      <c r="SJO9" s="21"/>
      <c r="SJP9" s="21"/>
      <c r="SJQ9" s="21"/>
      <c r="SJR9" s="21"/>
      <c r="SJS9" s="21"/>
      <c r="SJT9" s="21"/>
      <c r="SJU9" s="21"/>
      <c r="SJV9" s="21"/>
      <c r="SJW9" s="21"/>
      <c r="SJX9" s="21"/>
      <c r="SJY9" s="21"/>
      <c r="SJZ9" s="21"/>
      <c r="SKA9" s="21"/>
      <c r="SKB9" s="21"/>
      <c r="SKC9" s="21"/>
      <c r="SKD9" s="21"/>
      <c r="SKE9" s="21"/>
      <c r="SKF9" s="21"/>
      <c r="SKG9" s="21"/>
      <c r="SKH9" s="21"/>
      <c r="SKI9" s="21"/>
      <c r="SKJ9" s="21"/>
      <c r="SKK9" s="21"/>
      <c r="SKL9" s="21"/>
      <c r="SKM9" s="21"/>
      <c r="SKN9" s="21"/>
      <c r="SKO9" s="21"/>
      <c r="SKP9" s="21"/>
      <c r="SKQ9" s="21"/>
      <c r="SKR9" s="21"/>
      <c r="SKS9" s="21"/>
      <c r="SKT9" s="21"/>
      <c r="SKU9" s="21"/>
      <c r="SKV9" s="21"/>
      <c r="SKW9" s="21"/>
      <c r="SKX9" s="21"/>
      <c r="SKY9" s="21"/>
      <c r="SKZ9" s="21"/>
      <c r="SLA9" s="21"/>
      <c r="SLB9" s="21"/>
      <c r="SLC9" s="21"/>
      <c r="SLD9" s="21"/>
      <c r="SLE9" s="21"/>
      <c r="SLF9" s="21"/>
      <c r="SLG9" s="21"/>
      <c r="SLH9" s="21"/>
      <c r="SLI9" s="21"/>
      <c r="SLJ9" s="21"/>
      <c r="SLK9" s="21"/>
      <c r="SLL9" s="21"/>
      <c r="SLM9" s="21"/>
      <c r="SLN9" s="21"/>
      <c r="SLO9" s="21"/>
      <c r="SLP9" s="21"/>
      <c r="SLQ9" s="21"/>
      <c r="SLR9" s="21"/>
      <c r="SLS9" s="21"/>
      <c r="SLT9" s="21"/>
      <c r="SLU9" s="21"/>
      <c r="SLV9" s="21"/>
      <c r="SLW9" s="21"/>
      <c r="SLX9" s="21"/>
      <c r="SLY9" s="21"/>
      <c r="SLZ9" s="21"/>
      <c r="SMA9" s="21"/>
      <c r="SMB9" s="21"/>
      <c r="SMC9" s="21"/>
      <c r="SMD9" s="21"/>
      <c r="SME9" s="21"/>
      <c r="SMF9" s="21"/>
      <c r="SMG9" s="21"/>
      <c r="SMH9" s="21"/>
      <c r="SMI9" s="21"/>
      <c r="SMJ9" s="21"/>
      <c r="SMK9" s="21"/>
      <c r="SML9" s="21"/>
      <c r="SMM9" s="21"/>
      <c r="SMN9" s="21"/>
      <c r="SMO9" s="21"/>
      <c r="SMP9" s="21"/>
      <c r="SMQ9" s="21"/>
      <c r="SMR9" s="21"/>
      <c r="SMS9" s="21"/>
      <c r="SMT9" s="21"/>
      <c r="SMU9" s="21"/>
      <c r="SMV9" s="21"/>
      <c r="SMW9" s="21"/>
      <c r="SMX9" s="21"/>
      <c r="SMY9" s="21"/>
      <c r="SMZ9" s="21"/>
      <c r="SNA9" s="21"/>
      <c r="SNB9" s="21"/>
      <c r="SNC9" s="21"/>
      <c r="SND9" s="21"/>
      <c r="SNE9" s="21"/>
      <c r="SNF9" s="21"/>
      <c r="SNG9" s="21"/>
      <c r="SNH9" s="21"/>
      <c r="SNI9" s="21"/>
      <c r="SNJ9" s="21"/>
      <c r="SNK9" s="21"/>
      <c r="SNL9" s="21"/>
      <c r="SNM9" s="21"/>
      <c r="SNN9" s="21"/>
      <c r="SNO9" s="21"/>
      <c r="SNP9" s="21"/>
      <c r="SNQ9" s="21"/>
      <c r="SNR9" s="21"/>
      <c r="SNS9" s="21"/>
      <c r="SNT9" s="21"/>
      <c r="SNU9" s="21"/>
      <c r="SNV9" s="21"/>
      <c r="SNW9" s="21"/>
      <c r="SNX9" s="21"/>
      <c r="SNY9" s="21"/>
      <c r="SNZ9" s="21"/>
      <c r="SOA9" s="21"/>
      <c r="SOB9" s="21"/>
      <c r="SOC9" s="21"/>
      <c r="SOD9" s="21"/>
      <c r="SOE9" s="21"/>
      <c r="SOF9" s="21"/>
      <c r="SOG9" s="21"/>
      <c r="SOH9" s="21"/>
      <c r="SOI9" s="21"/>
      <c r="SOJ9" s="21"/>
      <c r="SOK9" s="21"/>
      <c r="SOL9" s="21"/>
      <c r="SOM9" s="21"/>
      <c r="SON9" s="21"/>
      <c r="SOO9" s="21"/>
      <c r="SOP9" s="21"/>
      <c r="SOQ9" s="21"/>
      <c r="SOR9" s="21"/>
      <c r="SOS9" s="21"/>
      <c r="SOT9" s="21"/>
      <c r="SOU9" s="21"/>
      <c r="SOV9" s="21"/>
      <c r="SOW9" s="21"/>
      <c r="SOX9" s="21"/>
      <c r="SOY9" s="21"/>
      <c r="SOZ9" s="21"/>
      <c r="SPA9" s="21"/>
      <c r="SPB9" s="21"/>
      <c r="SPC9" s="21"/>
      <c r="SPD9" s="21"/>
      <c r="SPE9" s="21"/>
      <c r="SPF9" s="21"/>
      <c r="SPG9" s="21"/>
      <c r="SPH9" s="21"/>
      <c r="SPI9" s="21"/>
      <c r="SPJ9" s="21"/>
      <c r="SPK9" s="21"/>
      <c r="SPL9" s="21"/>
      <c r="SPM9" s="21"/>
      <c r="SPN9" s="21"/>
      <c r="SPO9" s="21"/>
      <c r="SPP9" s="21"/>
      <c r="SPQ9" s="21"/>
      <c r="SPR9" s="21"/>
      <c r="SPS9" s="21"/>
      <c r="SPT9" s="21"/>
      <c r="SPU9" s="21"/>
      <c r="SPV9" s="21"/>
      <c r="SPW9" s="21"/>
      <c r="SPX9" s="21"/>
      <c r="SPY9" s="21"/>
      <c r="SPZ9" s="21"/>
      <c r="SQA9" s="21"/>
      <c r="SQB9" s="21"/>
      <c r="SQC9" s="21"/>
      <c r="SQD9" s="21"/>
      <c r="SQE9" s="21"/>
      <c r="SQF9" s="21"/>
      <c r="SQG9" s="21"/>
      <c r="SQH9" s="21"/>
      <c r="SQI9" s="21"/>
      <c r="SQJ9" s="21"/>
      <c r="SQK9" s="21"/>
      <c r="SQL9" s="21"/>
      <c r="SQM9" s="21"/>
      <c r="SQN9" s="21"/>
      <c r="SQO9" s="21"/>
      <c r="SQP9" s="21"/>
      <c r="SQQ9" s="21"/>
      <c r="SQR9" s="21"/>
      <c r="SQS9" s="21"/>
      <c r="SQT9" s="21"/>
      <c r="SQU9" s="21"/>
      <c r="SQV9" s="21"/>
      <c r="SQW9" s="21"/>
      <c r="SQX9" s="21"/>
      <c r="SQY9" s="21"/>
      <c r="SQZ9" s="21"/>
      <c r="SRA9" s="21"/>
      <c r="SRB9" s="21"/>
      <c r="SRC9" s="21"/>
      <c r="SRD9" s="21"/>
      <c r="SRE9" s="21"/>
      <c r="SRF9" s="21"/>
      <c r="SRG9" s="21"/>
      <c r="SRH9" s="21"/>
      <c r="SRI9" s="21"/>
      <c r="SRJ9" s="21"/>
      <c r="SRK9" s="21"/>
      <c r="SRL9" s="21"/>
      <c r="SRM9" s="21"/>
      <c r="SRN9" s="21"/>
      <c r="SRO9" s="21"/>
      <c r="SRP9" s="21"/>
      <c r="SRQ9" s="21"/>
      <c r="SRR9" s="21"/>
      <c r="SRS9" s="21"/>
      <c r="SRT9" s="21"/>
      <c r="SRU9" s="21"/>
      <c r="SRV9" s="21"/>
      <c r="SRW9" s="21"/>
      <c r="SRX9" s="21"/>
      <c r="SRY9" s="21"/>
      <c r="SRZ9" s="21"/>
      <c r="SSA9" s="21"/>
      <c r="SSB9" s="21"/>
      <c r="SSC9" s="21"/>
      <c r="SSD9" s="21"/>
      <c r="SSE9" s="21"/>
      <c r="SSF9" s="21"/>
      <c r="SSG9" s="21"/>
      <c r="SSH9" s="21"/>
      <c r="SSI9" s="21"/>
      <c r="SSJ9" s="21"/>
      <c r="SSK9" s="21"/>
      <c r="SSL9" s="21"/>
      <c r="SSM9" s="21"/>
      <c r="SSN9" s="21"/>
      <c r="SSO9" s="21"/>
      <c r="SSP9" s="21"/>
      <c r="SSQ9" s="21"/>
      <c r="SSR9" s="21"/>
      <c r="SSS9" s="21"/>
      <c r="SST9" s="21"/>
      <c r="SSU9" s="21"/>
      <c r="SSV9" s="21"/>
      <c r="SSW9" s="21"/>
      <c r="SSX9" s="21"/>
      <c r="SSY9" s="21"/>
      <c r="SSZ9" s="21"/>
      <c r="STA9" s="21"/>
      <c r="STB9" s="21"/>
      <c r="STC9" s="21"/>
      <c r="STD9" s="21"/>
      <c r="STE9" s="21"/>
      <c r="STF9" s="21"/>
      <c r="STG9" s="21"/>
      <c r="STH9" s="21"/>
      <c r="STI9" s="21"/>
      <c r="STJ9" s="21"/>
      <c r="STK9" s="21"/>
      <c r="STL9" s="21"/>
      <c r="STM9" s="21"/>
      <c r="STN9" s="21"/>
      <c r="STO9" s="21"/>
      <c r="STP9" s="21"/>
      <c r="STQ9" s="21"/>
      <c r="STR9" s="21"/>
      <c r="STS9" s="21"/>
      <c r="STT9" s="21"/>
      <c r="STU9" s="21"/>
      <c r="STV9" s="21"/>
      <c r="STW9" s="21"/>
      <c r="STX9" s="21"/>
      <c r="STY9" s="21"/>
      <c r="STZ9" s="21"/>
      <c r="SUA9" s="21"/>
      <c r="SUB9" s="21"/>
      <c r="SUC9" s="21"/>
      <c r="SUD9" s="21"/>
      <c r="SUE9" s="21"/>
      <c r="SUF9" s="21"/>
      <c r="SUG9" s="21"/>
      <c r="SUH9" s="21"/>
      <c r="SUI9" s="21"/>
      <c r="SUJ9" s="21"/>
      <c r="SUK9" s="21"/>
      <c r="SUL9" s="21"/>
      <c r="SUM9" s="21"/>
      <c r="SUN9" s="21"/>
      <c r="SUO9" s="21"/>
      <c r="SUP9" s="21"/>
      <c r="SUQ9" s="21"/>
      <c r="SUR9" s="21"/>
      <c r="SUS9" s="21"/>
      <c r="SUT9" s="21"/>
      <c r="SUU9" s="21"/>
      <c r="SUV9" s="21"/>
      <c r="SUW9" s="21"/>
      <c r="SUX9" s="21"/>
      <c r="SUY9" s="21"/>
      <c r="SUZ9" s="21"/>
      <c r="SVA9" s="21"/>
      <c r="SVB9" s="21"/>
      <c r="SVC9" s="21"/>
      <c r="SVD9" s="21"/>
      <c r="SVE9" s="21"/>
      <c r="SVF9" s="21"/>
      <c r="SVG9" s="21"/>
      <c r="SVH9" s="21"/>
      <c r="SVI9" s="21"/>
      <c r="SVJ9" s="21"/>
      <c r="SVK9" s="21"/>
      <c r="SVL9" s="21"/>
      <c r="SVM9" s="21"/>
      <c r="SVN9" s="21"/>
      <c r="SVO9" s="21"/>
      <c r="SVP9" s="21"/>
      <c r="SVQ9" s="21"/>
      <c r="SVR9" s="21"/>
      <c r="SVS9" s="21"/>
      <c r="SVT9" s="21"/>
      <c r="SVU9" s="21"/>
      <c r="SVV9" s="21"/>
      <c r="SVW9" s="21"/>
      <c r="SVX9" s="21"/>
      <c r="SVY9" s="21"/>
      <c r="SVZ9" s="21"/>
      <c r="SWA9" s="21"/>
      <c r="SWB9" s="21"/>
      <c r="SWC9" s="21"/>
      <c r="SWD9" s="21"/>
      <c r="SWE9" s="21"/>
      <c r="SWF9" s="21"/>
      <c r="SWG9" s="21"/>
      <c r="SWH9" s="21"/>
      <c r="SWI9" s="21"/>
      <c r="SWJ9" s="21"/>
      <c r="SWK9" s="21"/>
      <c r="SWL9" s="21"/>
      <c r="SWM9" s="21"/>
      <c r="SWN9" s="21"/>
      <c r="SWO9" s="21"/>
      <c r="SWP9" s="21"/>
      <c r="SWQ9" s="21"/>
      <c r="SWR9" s="21"/>
      <c r="SWS9" s="21"/>
      <c r="SWT9" s="21"/>
      <c r="SWU9" s="21"/>
      <c r="SWV9" s="21"/>
      <c r="SWW9" s="21"/>
      <c r="SWX9" s="21"/>
      <c r="SWY9" s="21"/>
      <c r="SWZ9" s="21"/>
      <c r="SXA9" s="21"/>
      <c r="SXB9" s="21"/>
      <c r="SXC9" s="21"/>
      <c r="SXD9" s="21"/>
      <c r="SXE9" s="21"/>
      <c r="SXF9" s="21"/>
      <c r="SXG9" s="21"/>
      <c r="SXH9" s="21"/>
      <c r="SXI9" s="21"/>
      <c r="SXJ9" s="21"/>
      <c r="SXK9" s="21"/>
      <c r="SXL9" s="21"/>
      <c r="SXM9" s="21"/>
      <c r="SXN9" s="21"/>
      <c r="SXO9" s="21"/>
      <c r="SXP9" s="21"/>
      <c r="SXQ9" s="21"/>
      <c r="SXR9" s="21"/>
      <c r="SXS9" s="21"/>
      <c r="SXT9" s="21"/>
      <c r="SXU9" s="21"/>
      <c r="SXV9" s="21"/>
      <c r="SXW9" s="21"/>
      <c r="SXX9" s="21"/>
      <c r="SXY9" s="21"/>
      <c r="SXZ9" s="21"/>
      <c r="SYA9" s="21"/>
      <c r="SYB9" s="21"/>
      <c r="SYC9" s="21"/>
      <c r="SYD9" s="21"/>
      <c r="SYE9" s="21"/>
      <c r="SYF9" s="21"/>
      <c r="SYG9" s="21"/>
      <c r="SYH9" s="21"/>
      <c r="SYI9" s="21"/>
      <c r="SYJ9" s="21"/>
      <c r="SYK9" s="21"/>
      <c r="SYL9" s="21"/>
      <c r="SYM9" s="21"/>
      <c r="SYN9" s="21"/>
      <c r="SYO9" s="21"/>
      <c r="SYP9" s="21"/>
      <c r="SYQ9" s="21"/>
      <c r="SYR9" s="21"/>
      <c r="SYS9" s="21"/>
      <c r="SYT9" s="21"/>
      <c r="SYU9" s="21"/>
      <c r="SYV9" s="21"/>
      <c r="SYW9" s="21"/>
      <c r="SYX9" s="21"/>
      <c r="SYY9" s="21"/>
      <c r="SYZ9" s="21"/>
      <c r="SZA9" s="21"/>
      <c r="SZB9" s="21"/>
      <c r="SZC9" s="21"/>
      <c r="SZD9" s="21"/>
      <c r="SZE9" s="21"/>
      <c r="SZF9" s="21"/>
      <c r="SZG9" s="21"/>
      <c r="SZH9" s="21"/>
      <c r="SZI9" s="21"/>
      <c r="SZJ9" s="21"/>
      <c r="SZK9" s="21"/>
      <c r="SZL9" s="21"/>
      <c r="SZM9" s="21"/>
      <c r="SZN9" s="21"/>
      <c r="SZO9" s="21"/>
      <c r="SZP9" s="21"/>
      <c r="SZQ9" s="21"/>
      <c r="SZR9" s="21"/>
      <c r="SZS9" s="21"/>
      <c r="SZT9" s="21"/>
      <c r="SZU9" s="21"/>
      <c r="SZV9" s="21"/>
      <c r="SZW9" s="21"/>
      <c r="SZX9" s="21"/>
      <c r="SZY9" s="21"/>
      <c r="SZZ9" s="21"/>
      <c r="TAA9" s="21"/>
      <c r="TAB9" s="21"/>
      <c r="TAC9" s="21"/>
      <c r="TAD9" s="21"/>
      <c r="TAE9" s="21"/>
      <c r="TAF9" s="21"/>
      <c r="TAG9" s="21"/>
      <c r="TAH9" s="21"/>
      <c r="TAI9" s="21"/>
      <c r="TAJ9" s="21"/>
      <c r="TAK9" s="21"/>
      <c r="TAL9" s="21"/>
      <c r="TAM9" s="21"/>
      <c r="TAN9" s="21"/>
      <c r="TAO9" s="21"/>
      <c r="TAP9" s="21"/>
      <c r="TAQ9" s="21"/>
      <c r="TAR9" s="21"/>
      <c r="TAS9" s="21"/>
      <c r="TAT9" s="21"/>
      <c r="TAU9" s="21"/>
      <c r="TAV9" s="21"/>
      <c r="TAW9" s="21"/>
      <c r="TAX9" s="21"/>
      <c r="TAY9" s="21"/>
      <c r="TAZ9" s="21"/>
      <c r="TBA9" s="21"/>
      <c r="TBB9" s="21"/>
      <c r="TBC9" s="21"/>
      <c r="TBD9" s="21"/>
      <c r="TBE9" s="21"/>
      <c r="TBF9" s="21"/>
      <c r="TBG9" s="21"/>
      <c r="TBH9" s="21"/>
      <c r="TBI9" s="21"/>
      <c r="TBJ9" s="21"/>
      <c r="TBK9" s="21"/>
      <c r="TBL9" s="21"/>
      <c r="TBM9" s="21"/>
      <c r="TBN9" s="21"/>
      <c r="TBO9" s="21"/>
      <c r="TBP9" s="21"/>
      <c r="TBQ9" s="21"/>
      <c r="TBR9" s="21"/>
      <c r="TBS9" s="21"/>
      <c r="TBT9" s="21"/>
      <c r="TBU9" s="21"/>
      <c r="TBV9" s="21"/>
      <c r="TBW9" s="21"/>
      <c r="TBX9" s="21"/>
      <c r="TBY9" s="21"/>
      <c r="TBZ9" s="21"/>
      <c r="TCA9" s="21"/>
      <c r="TCB9" s="21"/>
      <c r="TCC9" s="21"/>
      <c r="TCD9" s="21"/>
      <c r="TCE9" s="21"/>
      <c r="TCF9" s="21"/>
      <c r="TCG9" s="21"/>
      <c r="TCH9" s="21"/>
      <c r="TCI9" s="21"/>
      <c r="TCJ9" s="21"/>
      <c r="TCK9" s="21"/>
      <c r="TCL9" s="21"/>
      <c r="TCM9" s="21"/>
      <c r="TCN9" s="21"/>
      <c r="TCO9" s="21"/>
      <c r="TCP9" s="21"/>
      <c r="TCQ9" s="21"/>
      <c r="TCR9" s="21"/>
      <c r="TCS9" s="21"/>
      <c r="TCT9" s="21"/>
      <c r="TCU9" s="21"/>
      <c r="TCV9" s="21"/>
      <c r="TCW9" s="21"/>
      <c r="TCX9" s="21"/>
      <c r="TCY9" s="21"/>
      <c r="TCZ9" s="21"/>
      <c r="TDA9" s="21"/>
      <c r="TDB9" s="21"/>
      <c r="TDC9" s="21"/>
      <c r="TDD9" s="21"/>
      <c r="TDE9" s="21"/>
      <c r="TDF9" s="21"/>
      <c r="TDG9" s="21"/>
      <c r="TDH9" s="21"/>
      <c r="TDI9" s="21"/>
      <c r="TDJ9" s="21"/>
      <c r="TDK9" s="21"/>
      <c r="TDL9" s="21"/>
      <c r="TDM9" s="21"/>
      <c r="TDN9" s="21"/>
      <c r="TDO9" s="21"/>
      <c r="TDP9" s="21"/>
      <c r="TDQ9" s="21"/>
      <c r="TDR9" s="21"/>
      <c r="TDS9" s="21"/>
      <c r="TDT9" s="21"/>
      <c r="TDU9" s="21"/>
      <c r="TDV9" s="21"/>
      <c r="TDW9" s="21"/>
      <c r="TDX9" s="21"/>
      <c r="TDY9" s="21"/>
      <c r="TDZ9" s="21"/>
      <c r="TEA9" s="21"/>
      <c r="TEB9" s="21"/>
      <c r="TEC9" s="21"/>
      <c r="TED9" s="21"/>
      <c r="TEE9" s="21"/>
      <c r="TEF9" s="21"/>
      <c r="TEG9" s="21"/>
      <c r="TEH9" s="21"/>
      <c r="TEI9" s="21"/>
      <c r="TEJ9" s="21"/>
      <c r="TEK9" s="21"/>
      <c r="TEL9" s="21"/>
      <c r="TEM9" s="21"/>
      <c r="TEN9" s="21"/>
      <c r="TEO9" s="21"/>
      <c r="TEP9" s="21"/>
      <c r="TEQ9" s="21"/>
      <c r="TER9" s="21"/>
      <c r="TES9" s="21"/>
      <c r="TET9" s="21"/>
      <c r="TEU9" s="21"/>
      <c r="TEV9" s="21"/>
      <c r="TEW9" s="21"/>
      <c r="TEX9" s="21"/>
      <c r="TEY9" s="21"/>
      <c r="TEZ9" s="21"/>
      <c r="TFA9" s="21"/>
      <c r="TFB9" s="21"/>
      <c r="TFC9" s="21"/>
      <c r="TFD9" s="21"/>
      <c r="TFE9" s="21"/>
      <c r="TFF9" s="21"/>
      <c r="TFG9" s="21"/>
      <c r="TFH9" s="21"/>
      <c r="TFI9" s="21"/>
      <c r="TFJ9" s="21"/>
      <c r="TFK9" s="21"/>
      <c r="TFL9" s="21"/>
      <c r="TFM9" s="21"/>
      <c r="TFN9" s="21"/>
      <c r="TFO9" s="21"/>
      <c r="TFP9" s="21"/>
      <c r="TFQ9" s="21"/>
      <c r="TFR9" s="21"/>
      <c r="TFS9" s="21"/>
      <c r="TFT9" s="21"/>
      <c r="TFU9" s="21"/>
      <c r="TFV9" s="21"/>
      <c r="TFW9" s="21"/>
      <c r="TFX9" s="21"/>
      <c r="TFY9" s="21"/>
      <c r="TFZ9" s="21"/>
      <c r="TGA9" s="21"/>
      <c r="TGB9" s="21"/>
      <c r="TGC9" s="21"/>
      <c r="TGD9" s="21"/>
      <c r="TGE9" s="21"/>
      <c r="TGF9" s="21"/>
      <c r="TGG9" s="21"/>
      <c r="TGH9" s="21"/>
      <c r="TGI9" s="21"/>
      <c r="TGJ9" s="21"/>
      <c r="TGK9" s="21"/>
      <c r="TGL9" s="21"/>
      <c r="TGM9" s="21"/>
      <c r="TGN9" s="21"/>
      <c r="TGO9" s="21"/>
      <c r="TGP9" s="21"/>
      <c r="TGQ9" s="21"/>
      <c r="TGR9" s="21"/>
      <c r="TGS9" s="21"/>
      <c r="TGT9" s="21"/>
      <c r="TGU9" s="21"/>
      <c r="TGV9" s="21"/>
      <c r="TGW9" s="21"/>
      <c r="TGX9" s="21"/>
      <c r="TGY9" s="21"/>
      <c r="TGZ9" s="21"/>
      <c r="THA9" s="21"/>
      <c r="THB9" s="21"/>
      <c r="THC9" s="21"/>
      <c r="THD9" s="21"/>
      <c r="THE9" s="21"/>
      <c r="THF9" s="21"/>
      <c r="THG9" s="21"/>
      <c r="THH9" s="21"/>
      <c r="THI9" s="21"/>
      <c r="THJ9" s="21"/>
      <c r="THK9" s="21"/>
      <c r="THL9" s="21"/>
      <c r="THM9" s="21"/>
      <c r="THN9" s="21"/>
      <c r="THO9" s="21"/>
      <c r="THP9" s="21"/>
      <c r="THQ9" s="21"/>
      <c r="THR9" s="21"/>
      <c r="THS9" s="21"/>
      <c r="THT9" s="21"/>
      <c r="THU9" s="21"/>
      <c r="THV9" s="21"/>
      <c r="THW9" s="21"/>
      <c r="THX9" s="21"/>
      <c r="THY9" s="21"/>
      <c r="THZ9" s="21"/>
      <c r="TIA9" s="21"/>
      <c r="TIB9" s="21"/>
      <c r="TIC9" s="21"/>
      <c r="TID9" s="21"/>
      <c r="TIE9" s="21"/>
      <c r="TIF9" s="21"/>
      <c r="TIG9" s="21"/>
      <c r="TIH9" s="21"/>
      <c r="TII9" s="21"/>
      <c r="TIJ9" s="21"/>
      <c r="TIK9" s="21"/>
      <c r="TIL9" s="21"/>
      <c r="TIM9" s="21"/>
      <c r="TIN9" s="21"/>
      <c r="TIO9" s="21"/>
      <c r="TIP9" s="21"/>
      <c r="TIQ9" s="21"/>
      <c r="TIR9" s="21"/>
      <c r="TIS9" s="21"/>
      <c r="TIT9" s="21"/>
      <c r="TIU9" s="21"/>
      <c r="TIV9" s="21"/>
      <c r="TIW9" s="21"/>
      <c r="TIX9" s="21"/>
      <c r="TIY9" s="21"/>
      <c r="TIZ9" s="21"/>
      <c r="TJA9" s="21"/>
      <c r="TJB9" s="21"/>
      <c r="TJC9" s="21"/>
      <c r="TJD9" s="21"/>
      <c r="TJE9" s="21"/>
      <c r="TJF9" s="21"/>
      <c r="TJG9" s="21"/>
      <c r="TJH9" s="21"/>
      <c r="TJI9" s="21"/>
      <c r="TJJ9" s="21"/>
      <c r="TJK9" s="21"/>
      <c r="TJL9" s="21"/>
      <c r="TJM9" s="21"/>
      <c r="TJN9" s="21"/>
      <c r="TJO9" s="21"/>
      <c r="TJP9" s="21"/>
      <c r="TJQ9" s="21"/>
      <c r="TJR9" s="21"/>
      <c r="TJS9" s="21"/>
      <c r="TJT9" s="21"/>
      <c r="TJU9" s="21"/>
      <c r="TJV9" s="21"/>
      <c r="TJW9" s="21"/>
      <c r="TJX9" s="21"/>
      <c r="TJY9" s="21"/>
      <c r="TJZ9" s="21"/>
      <c r="TKA9" s="21"/>
      <c r="TKB9" s="21"/>
      <c r="TKC9" s="21"/>
      <c r="TKD9" s="21"/>
      <c r="TKE9" s="21"/>
      <c r="TKF9" s="21"/>
      <c r="TKG9" s="21"/>
      <c r="TKH9" s="21"/>
      <c r="TKI9" s="21"/>
      <c r="TKJ9" s="21"/>
      <c r="TKK9" s="21"/>
      <c r="TKL9" s="21"/>
      <c r="TKM9" s="21"/>
      <c r="TKN9" s="21"/>
      <c r="TKO9" s="21"/>
      <c r="TKP9" s="21"/>
      <c r="TKQ9" s="21"/>
      <c r="TKR9" s="21"/>
      <c r="TKS9" s="21"/>
      <c r="TKT9" s="21"/>
      <c r="TKU9" s="21"/>
      <c r="TKV9" s="21"/>
      <c r="TKW9" s="21"/>
      <c r="TKX9" s="21"/>
      <c r="TKY9" s="21"/>
      <c r="TKZ9" s="21"/>
      <c r="TLA9" s="21"/>
      <c r="TLB9" s="21"/>
      <c r="TLC9" s="21"/>
      <c r="TLD9" s="21"/>
      <c r="TLE9" s="21"/>
      <c r="TLF9" s="21"/>
      <c r="TLG9" s="21"/>
      <c r="TLH9" s="21"/>
      <c r="TLI9" s="21"/>
      <c r="TLJ9" s="21"/>
      <c r="TLK9" s="21"/>
      <c r="TLL9" s="21"/>
      <c r="TLM9" s="21"/>
      <c r="TLN9" s="21"/>
      <c r="TLO9" s="21"/>
      <c r="TLP9" s="21"/>
      <c r="TLQ9" s="21"/>
      <c r="TLR9" s="21"/>
      <c r="TLS9" s="21"/>
      <c r="TLT9" s="21"/>
      <c r="TLU9" s="21"/>
      <c r="TLV9" s="21"/>
      <c r="TLW9" s="21"/>
      <c r="TLX9" s="21"/>
      <c r="TLY9" s="21"/>
      <c r="TLZ9" s="21"/>
      <c r="TMA9" s="21"/>
      <c r="TMB9" s="21"/>
      <c r="TMC9" s="21"/>
      <c r="TMD9" s="21"/>
      <c r="TME9" s="21"/>
      <c r="TMF9" s="21"/>
      <c r="TMG9" s="21"/>
      <c r="TMH9" s="21"/>
      <c r="TMI9" s="21"/>
      <c r="TMJ9" s="21"/>
      <c r="TMK9" s="21"/>
      <c r="TML9" s="21"/>
      <c r="TMM9" s="21"/>
      <c r="TMN9" s="21"/>
      <c r="TMO9" s="21"/>
      <c r="TMP9" s="21"/>
      <c r="TMQ9" s="21"/>
      <c r="TMR9" s="21"/>
      <c r="TMS9" s="21"/>
      <c r="TMT9" s="21"/>
      <c r="TMU9" s="21"/>
      <c r="TMV9" s="21"/>
      <c r="TMW9" s="21"/>
      <c r="TMX9" s="21"/>
      <c r="TMY9" s="21"/>
      <c r="TMZ9" s="21"/>
      <c r="TNA9" s="21"/>
      <c r="TNB9" s="21"/>
      <c r="TNC9" s="21"/>
      <c r="TND9" s="21"/>
      <c r="TNE9" s="21"/>
      <c r="TNF9" s="21"/>
      <c r="TNG9" s="21"/>
      <c r="TNH9" s="21"/>
      <c r="TNI9" s="21"/>
      <c r="TNJ9" s="21"/>
      <c r="TNK9" s="21"/>
      <c r="TNL9" s="21"/>
      <c r="TNM9" s="21"/>
      <c r="TNN9" s="21"/>
      <c r="TNO9" s="21"/>
      <c r="TNP9" s="21"/>
      <c r="TNQ9" s="21"/>
      <c r="TNR9" s="21"/>
      <c r="TNS9" s="21"/>
      <c r="TNT9" s="21"/>
      <c r="TNU9" s="21"/>
      <c r="TNV9" s="21"/>
      <c r="TNW9" s="21"/>
      <c r="TNX9" s="21"/>
      <c r="TNY9" s="21"/>
      <c r="TNZ9" s="21"/>
      <c r="TOA9" s="21"/>
      <c r="TOB9" s="21"/>
      <c r="TOC9" s="21"/>
      <c r="TOD9" s="21"/>
      <c r="TOE9" s="21"/>
      <c r="TOF9" s="21"/>
      <c r="TOG9" s="21"/>
      <c r="TOH9" s="21"/>
      <c r="TOI9" s="21"/>
      <c r="TOJ9" s="21"/>
      <c r="TOK9" s="21"/>
      <c r="TOL9" s="21"/>
      <c r="TOM9" s="21"/>
      <c r="TON9" s="21"/>
      <c r="TOO9" s="21"/>
      <c r="TOP9" s="21"/>
      <c r="TOQ9" s="21"/>
      <c r="TOR9" s="21"/>
      <c r="TOS9" s="21"/>
      <c r="TOT9" s="21"/>
      <c r="TOU9" s="21"/>
      <c r="TOV9" s="21"/>
      <c r="TOW9" s="21"/>
      <c r="TOX9" s="21"/>
      <c r="TOY9" s="21"/>
      <c r="TOZ9" s="21"/>
      <c r="TPA9" s="21"/>
      <c r="TPB9" s="21"/>
      <c r="TPC9" s="21"/>
      <c r="TPD9" s="21"/>
      <c r="TPE9" s="21"/>
      <c r="TPF9" s="21"/>
      <c r="TPG9" s="21"/>
      <c r="TPH9" s="21"/>
      <c r="TPI9" s="21"/>
      <c r="TPJ9" s="21"/>
      <c r="TPK9" s="21"/>
      <c r="TPL9" s="21"/>
      <c r="TPM9" s="21"/>
      <c r="TPN9" s="21"/>
      <c r="TPO9" s="21"/>
      <c r="TPP9" s="21"/>
      <c r="TPQ9" s="21"/>
      <c r="TPR9" s="21"/>
      <c r="TPS9" s="21"/>
      <c r="TPT9" s="21"/>
      <c r="TPU9" s="21"/>
      <c r="TPV9" s="21"/>
      <c r="TPW9" s="21"/>
      <c r="TPX9" s="21"/>
      <c r="TPY9" s="21"/>
      <c r="TPZ9" s="21"/>
      <c r="TQA9" s="21"/>
      <c r="TQB9" s="21"/>
      <c r="TQC9" s="21"/>
      <c r="TQD9" s="21"/>
      <c r="TQE9" s="21"/>
      <c r="TQF9" s="21"/>
      <c r="TQG9" s="21"/>
      <c r="TQH9" s="21"/>
      <c r="TQI9" s="21"/>
      <c r="TQJ9" s="21"/>
      <c r="TQK9" s="21"/>
      <c r="TQL9" s="21"/>
      <c r="TQM9" s="21"/>
      <c r="TQN9" s="21"/>
      <c r="TQO9" s="21"/>
      <c r="TQP9" s="21"/>
      <c r="TQQ9" s="21"/>
      <c r="TQR9" s="21"/>
      <c r="TQS9" s="21"/>
      <c r="TQT9" s="21"/>
      <c r="TQU9" s="21"/>
      <c r="TQV9" s="21"/>
      <c r="TQW9" s="21"/>
      <c r="TQX9" s="21"/>
      <c r="TQY9" s="21"/>
      <c r="TQZ9" s="21"/>
      <c r="TRA9" s="21"/>
      <c r="TRB9" s="21"/>
      <c r="TRC9" s="21"/>
      <c r="TRD9" s="21"/>
      <c r="TRE9" s="21"/>
      <c r="TRF9" s="21"/>
      <c r="TRG9" s="21"/>
      <c r="TRH9" s="21"/>
      <c r="TRI9" s="21"/>
      <c r="TRJ9" s="21"/>
      <c r="TRK9" s="21"/>
      <c r="TRL9" s="21"/>
      <c r="TRM9" s="21"/>
      <c r="TRN9" s="21"/>
      <c r="TRO9" s="21"/>
      <c r="TRP9" s="21"/>
      <c r="TRQ9" s="21"/>
      <c r="TRR9" s="21"/>
      <c r="TRS9" s="21"/>
      <c r="TRT9" s="21"/>
      <c r="TRU9" s="21"/>
      <c r="TRV9" s="21"/>
      <c r="TRW9" s="21"/>
      <c r="TRX9" s="21"/>
      <c r="TRY9" s="21"/>
      <c r="TRZ9" s="21"/>
      <c r="TSA9" s="21"/>
      <c r="TSB9" s="21"/>
      <c r="TSC9" s="21"/>
      <c r="TSD9" s="21"/>
      <c r="TSE9" s="21"/>
      <c r="TSF9" s="21"/>
      <c r="TSG9" s="21"/>
      <c r="TSH9" s="21"/>
      <c r="TSI9" s="21"/>
      <c r="TSJ9" s="21"/>
      <c r="TSK9" s="21"/>
      <c r="TSL9" s="21"/>
      <c r="TSM9" s="21"/>
      <c r="TSN9" s="21"/>
      <c r="TSO9" s="21"/>
      <c r="TSP9" s="21"/>
      <c r="TSQ9" s="21"/>
      <c r="TSR9" s="21"/>
      <c r="TSS9" s="21"/>
      <c r="TST9" s="21"/>
      <c r="TSU9" s="21"/>
      <c r="TSV9" s="21"/>
      <c r="TSW9" s="21"/>
      <c r="TSX9" s="21"/>
      <c r="TSY9" s="21"/>
      <c r="TSZ9" s="21"/>
      <c r="TTA9" s="21"/>
      <c r="TTB9" s="21"/>
      <c r="TTC9" s="21"/>
      <c r="TTD9" s="21"/>
      <c r="TTE9" s="21"/>
      <c r="TTF9" s="21"/>
      <c r="TTG9" s="21"/>
      <c r="TTH9" s="21"/>
      <c r="TTI9" s="21"/>
      <c r="TTJ9" s="21"/>
      <c r="TTK9" s="21"/>
      <c r="TTL9" s="21"/>
      <c r="TTM9" s="21"/>
      <c r="TTN9" s="21"/>
      <c r="TTO9" s="21"/>
      <c r="TTP9" s="21"/>
      <c r="TTQ9" s="21"/>
      <c r="TTR9" s="21"/>
      <c r="TTS9" s="21"/>
      <c r="TTT9" s="21"/>
      <c r="TTU9" s="21"/>
      <c r="TTV9" s="21"/>
      <c r="TTW9" s="21"/>
      <c r="TTX9" s="21"/>
      <c r="TTY9" s="21"/>
      <c r="TTZ9" s="21"/>
      <c r="TUA9" s="21"/>
      <c r="TUB9" s="21"/>
      <c r="TUC9" s="21"/>
      <c r="TUD9" s="21"/>
      <c r="TUE9" s="21"/>
      <c r="TUF9" s="21"/>
      <c r="TUG9" s="21"/>
      <c r="TUH9" s="21"/>
      <c r="TUI9" s="21"/>
      <c r="TUJ9" s="21"/>
      <c r="TUK9" s="21"/>
      <c r="TUL9" s="21"/>
      <c r="TUM9" s="21"/>
      <c r="TUN9" s="21"/>
      <c r="TUO9" s="21"/>
      <c r="TUP9" s="21"/>
      <c r="TUQ9" s="21"/>
      <c r="TUR9" s="21"/>
      <c r="TUS9" s="21"/>
      <c r="TUT9" s="21"/>
      <c r="TUU9" s="21"/>
      <c r="TUV9" s="21"/>
      <c r="TUW9" s="21"/>
      <c r="TUX9" s="21"/>
      <c r="TUY9" s="21"/>
      <c r="TUZ9" s="21"/>
      <c r="TVA9" s="21"/>
      <c r="TVB9" s="21"/>
      <c r="TVC9" s="21"/>
      <c r="TVD9" s="21"/>
      <c r="TVE9" s="21"/>
      <c r="TVF9" s="21"/>
      <c r="TVG9" s="21"/>
      <c r="TVH9" s="21"/>
      <c r="TVI9" s="21"/>
      <c r="TVJ9" s="21"/>
      <c r="TVK9" s="21"/>
      <c r="TVL9" s="21"/>
      <c r="TVM9" s="21"/>
      <c r="TVN9" s="21"/>
      <c r="TVO9" s="21"/>
      <c r="TVP9" s="21"/>
      <c r="TVQ9" s="21"/>
      <c r="TVR9" s="21"/>
      <c r="TVS9" s="21"/>
      <c r="TVT9" s="21"/>
      <c r="TVU9" s="21"/>
      <c r="TVV9" s="21"/>
      <c r="TVW9" s="21"/>
      <c r="TVX9" s="21"/>
      <c r="TVY9" s="21"/>
      <c r="TVZ9" s="21"/>
      <c r="TWA9" s="21"/>
      <c r="TWB9" s="21"/>
      <c r="TWC9" s="21"/>
      <c r="TWD9" s="21"/>
      <c r="TWE9" s="21"/>
      <c r="TWF9" s="21"/>
      <c r="TWG9" s="21"/>
      <c r="TWH9" s="21"/>
      <c r="TWI9" s="21"/>
      <c r="TWJ9" s="21"/>
      <c r="TWK9" s="21"/>
      <c r="TWL9" s="21"/>
      <c r="TWM9" s="21"/>
      <c r="TWN9" s="21"/>
      <c r="TWO9" s="21"/>
      <c r="TWP9" s="21"/>
      <c r="TWQ9" s="21"/>
      <c r="TWR9" s="21"/>
      <c r="TWS9" s="21"/>
      <c r="TWT9" s="21"/>
      <c r="TWU9" s="21"/>
      <c r="TWV9" s="21"/>
      <c r="TWW9" s="21"/>
      <c r="TWX9" s="21"/>
      <c r="TWY9" s="21"/>
      <c r="TWZ9" s="21"/>
      <c r="TXA9" s="21"/>
      <c r="TXB9" s="21"/>
      <c r="TXC9" s="21"/>
      <c r="TXD9" s="21"/>
      <c r="TXE9" s="21"/>
      <c r="TXF9" s="21"/>
      <c r="TXG9" s="21"/>
      <c r="TXH9" s="21"/>
      <c r="TXI9" s="21"/>
      <c r="TXJ9" s="21"/>
      <c r="TXK9" s="21"/>
      <c r="TXL9" s="21"/>
      <c r="TXM9" s="21"/>
      <c r="TXN9" s="21"/>
      <c r="TXO9" s="21"/>
      <c r="TXP9" s="21"/>
      <c r="TXQ9" s="21"/>
      <c r="TXR9" s="21"/>
      <c r="TXS9" s="21"/>
      <c r="TXT9" s="21"/>
      <c r="TXU9" s="21"/>
      <c r="TXV9" s="21"/>
      <c r="TXW9" s="21"/>
      <c r="TXX9" s="21"/>
      <c r="TXY9" s="21"/>
      <c r="TXZ9" s="21"/>
      <c r="TYA9" s="21"/>
      <c r="TYB9" s="21"/>
      <c r="TYC9" s="21"/>
      <c r="TYD9" s="21"/>
      <c r="TYE9" s="21"/>
      <c r="TYF9" s="21"/>
      <c r="TYG9" s="21"/>
      <c r="TYH9" s="21"/>
      <c r="TYI9" s="21"/>
      <c r="TYJ9" s="21"/>
      <c r="TYK9" s="21"/>
      <c r="TYL9" s="21"/>
      <c r="TYM9" s="21"/>
      <c r="TYN9" s="21"/>
      <c r="TYO9" s="21"/>
      <c r="TYP9" s="21"/>
      <c r="TYQ9" s="21"/>
      <c r="TYR9" s="21"/>
      <c r="TYS9" s="21"/>
      <c r="TYT9" s="21"/>
      <c r="TYU9" s="21"/>
      <c r="TYV9" s="21"/>
      <c r="TYW9" s="21"/>
      <c r="TYX9" s="21"/>
      <c r="TYY9" s="21"/>
      <c r="TYZ9" s="21"/>
      <c r="TZA9" s="21"/>
      <c r="TZB9" s="21"/>
      <c r="TZC9" s="21"/>
      <c r="TZD9" s="21"/>
      <c r="TZE9" s="21"/>
      <c r="TZF9" s="21"/>
      <c r="TZG9" s="21"/>
      <c r="TZH9" s="21"/>
      <c r="TZI9" s="21"/>
      <c r="TZJ9" s="21"/>
      <c r="TZK9" s="21"/>
      <c r="TZL9" s="21"/>
      <c r="TZM9" s="21"/>
      <c r="TZN9" s="21"/>
      <c r="TZO9" s="21"/>
      <c r="TZP9" s="21"/>
      <c r="TZQ9" s="21"/>
      <c r="TZR9" s="21"/>
      <c r="TZS9" s="21"/>
      <c r="TZT9" s="21"/>
      <c r="TZU9" s="21"/>
      <c r="TZV9" s="21"/>
      <c r="TZW9" s="21"/>
      <c r="TZX9" s="21"/>
      <c r="TZY9" s="21"/>
      <c r="TZZ9" s="21"/>
      <c r="UAA9" s="21"/>
      <c r="UAB9" s="21"/>
      <c r="UAC9" s="21"/>
      <c r="UAD9" s="21"/>
      <c r="UAE9" s="21"/>
      <c r="UAF9" s="21"/>
      <c r="UAG9" s="21"/>
      <c r="UAH9" s="21"/>
      <c r="UAI9" s="21"/>
      <c r="UAJ9" s="21"/>
      <c r="UAK9" s="21"/>
      <c r="UAL9" s="21"/>
      <c r="UAM9" s="21"/>
      <c r="UAN9" s="21"/>
      <c r="UAO9" s="21"/>
      <c r="UAP9" s="21"/>
      <c r="UAQ9" s="21"/>
      <c r="UAR9" s="21"/>
      <c r="UAS9" s="21"/>
      <c r="UAT9" s="21"/>
      <c r="UAU9" s="21"/>
      <c r="UAV9" s="21"/>
      <c r="UAW9" s="21"/>
      <c r="UAX9" s="21"/>
      <c r="UAY9" s="21"/>
      <c r="UAZ9" s="21"/>
      <c r="UBA9" s="21"/>
      <c r="UBB9" s="21"/>
      <c r="UBC9" s="21"/>
      <c r="UBD9" s="21"/>
      <c r="UBE9" s="21"/>
      <c r="UBF9" s="21"/>
      <c r="UBG9" s="21"/>
      <c r="UBH9" s="21"/>
      <c r="UBI9" s="21"/>
      <c r="UBJ9" s="21"/>
      <c r="UBK9" s="21"/>
      <c r="UBL9" s="21"/>
      <c r="UBM9" s="21"/>
      <c r="UBN9" s="21"/>
      <c r="UBO9" s="21"/>
      <c r="UBP9" s="21"/>
      <c r="UBQ9" s="21"/>
      <c r="UBR9" s="21"/>
      <c r="UBS9" s="21"/>
      <c r="UBT9" s="21"/>
      <c r="UBU9" s="21"/>
      <c r="UBV9" s="21"/>
      <c r="UBW9" s="21"/>
      <c r="UBX9" s="21"/>
      <c r="UBY9" s="21"/>
      <c r="UBZ9" s="21"/>
      <c r="UCA9" s="21"/>
      <c r="UCB9" s="21"/>
      <c r="UCC9" s="21"/>
      <c r="UCD9" s="21"/>
      <c r="UCE9" s="21"/>
      <c r="UCF9" s="21"/>
      <c r="UCG9" s="21"/>
      <c r="UCH9" s="21"/>
      <c r="UCI9" s="21"/>
      <c r="UCJ9" s="21"/>
      <c r="UCK9" s="21"/>
      <c r="UCL9" s="21"/>
      <c r="UCM9" s="21"/>
      <c r="UCN9" s="21"/>
      <c r="UCO9" s="21"/>
      <c r="UCP9" s="21"/>
      <c r="UCQ9" s="21"/>
      <c r="UCR9" s="21"/>
      <c r="UCS9" s="21"/>
      <c r="UCT9" s="21"/>
      <c r="UCU9" s="21"/>
      <c r="UCV9" s="21"/>
      <c r="UCW9" s="21"/>
      <c r="UCX9" s="21"/>
      <c r="UCY9" s="21"/>
      <c r="UCZ9" s="21"/>
      <c r="UDA9" s="21"/>
      <c r="UDB9" s="21"/>
      <c r="UDC9" s="21"/>
      <c r="UDD9" s="21"/>
      <c r="UDE9" s="21"/>
      <c r="UDF9" s="21"/>
      <c r="UDG9" s="21"/>
      <c r="UDH9" s="21"/>
      <c r="UDI9" s="21"/>
      <c r="UDJ9" s="21"/>
      <c r="UDK9" s="21"/>
      <c r="UDL9" s="21"/>
      <c r="UDM9" s="21"/>
      <c r="UDN9" s="21"/>
      <c r="UDO9" s="21"/>
      <c r="UDP9" s="21"/>
      <c r="UDQ9" s="21"/>
      <c r="UDR9" s="21"/>
      <c r="UDS9" s="21"/>
      <c r="UDT9" s="21"/>
      <c r="UDU9" s="21"/>
      <c r="UDV9" s="21"/>
      <c r="UDW9" s="21"/>
      <c r="UDX9" s="21"/>
      <c r="UDY9" s="21"/>
      <c r="UDZ9" s="21"/>
      <c r="UEA9" s="21"/>
      <c r="UEB9" s="21"/>
      <c r="UEC9" s="21"/>
      <c r="UED9" s="21"/>
      <c r="UEE9" s="21"/>
      <c r="UEF9" s="21"/>
      <c r="UEG9" s="21"/>
      <c r="UEH9" s="21"/>
      <c r="UEI9" s="21"/>
      <c r="UEJ9" s="21"/>
      <c r="UEK9" s="21"/>
      <c r="UEL9" s="21"/>
      <c r="UEM9" s="21"/>
      <c r="UEN9" s="21"/>
      <c r="UEO9" s="21"/>
      <c r="UEP9" s="21"/>
      <c r="UEQ9" s="21"/>
      <c r="UER9" s="21"/>
      <c r="UES9" s="21"/>
      <c r="UET9" s="21"/>
      <c r="UEU9" s="21"/>
      <c r="UEV9" s="21"/>
      <c r="UEW9" s="21"/>
      <c r="UEX9" s="21"/>
      <c r="UEY9" s="21"/>
      <c r="UEZ9" s="21"/>
      <c r="UFA9" s="21"/>
      <c r="UFB9" s="21"/>
      <c r="UFC9" s="21"/>
      <c r="UFD9" s="21"/>
      <c r="UFE9" s="21"/>
      <c r="UFF9" s="21"/>
      <c r="UFG9" s="21"/>
      <c r="UFH9" s="21"/>
      <c r="UFI9" s="21"/>
      <c r="UFJ9" s="21"/>
      <c r="UFK9" s="21"/>
      <c r="UFL9" s="21"/>
      <c r="UFM9" s="21"/>
      <c r="UFN9" s="21"/>
      <c r="UFO9" s="21"/>
      <c r="UFP9" s="21"/>
      <c r="UFQ9" s="21"/>
      <c r="UFR9" s="21"/>
      <c r="UFS9" s="21"/>
      <c r="UFT9" s="21"/>
      <c r="UFU9" s="21"/>
      <c r="UFV9" s="21"/>
      <c r="UFW9" s="21"/>
      <c r="UFX9" s="21"/>
      <c r="UFY9" s="21"/>
      <c r="UFZ9" s="21"/>
      <c r="UGA9" s="21"/>
      <c r="UGB9" s="21"/>
      <c r="UGC9" s="21"/>
      <c r="UGD9" s="21"/>
      <c r="UGE9" s="21"/>
      <c r="UGF9" s="21"/>
      <c r="UGG9" s="21"/>
      <c r="UGH9" s="21"/>
      <c r="UGI9" s="21"/>
      <c r="UGJ9" s="21"/>
      <c r="UGK9" s="21"/>
      <c r="UGL9" s="21"/>
      <c r="UGM9" s="21"/>
      <c r="UGN9" s="21"/>
      <c r="UGO9" s="21"/>
      <c r="UGP9" s="21"/>
      <c r="UGQ9" s="21"/>
      <c r="UGR9" s="21"/>
      <c r="UGS9" s="21"/>
      <c r="UGT9" s="21"/>
      <c r="UGU9" s="21"/>
      <c r="UGV9" s="21"/>
      <c r="UGW9" s="21"/>
      <c r="UGX9" s="21"/>
      <c r="UGY9" s="21"/>
      <c r="UGZ9" s="21"/>
      <c r="UHA9" s="21"/>
      <c r="UHB9" s="21"/>
      <c r="UHC9" s="21"/>
      <c r="UHD9" s="21"/>
      <c r="UHE9" s="21"/>
      <c r="UHF9" s="21"/>
      <c r="UHG9" s="21"/>
      <c r="UHH9" s="21"/>
      <c r="UHI9" s="21"/>
      <c r="UHJ9" s="21"/>
      <c r="UHK9" s="21"/>
      <c r="UHL9" s="21"/>
      <c r="UHM9" s="21"/>
      <c r="UHN9" s="21"/>
      <c r="UHO9" s="21"/>
      <c r="UHP9" s="21"/>
      <c r="UHQ9" s="21"/>
      <c r="UHR9" s="21"/>
      <c r="UHS9" s="21"/>
      <c r="UHT9" s="21"/>
      <c r="UHU9" s="21"/>
      <c r="UHV9" s="21"/>
      <c r="UHW9" s="21"/>
      <c r="UHX9" s="21"/>
      <c r="UHY9" s="21"/>
      <c r="UHZ9" s="21"/>
      <c r="UIA9" s="21"/>
      <c r="UIB9" s="21"/>
      <c r="UIC9" s="21"/>
      <c r="UID9" s="21"/>
      <c r="UIE9" s="21"/>
      <c r="UIF9" s="21"/>
      <c r="UIG9" s="21"/>
      <c r="UIH9" s="21"/>
      <c r="UII9" s="21"/>
      <c r="UIJ9" s="21"/>
      <c r="UIK9" s="21"/>
      <c r="UIL9" s="21"/>
      <c r="UIM9" s="21"/>
      <c r="UIN9" s="21"/>
      <c r="UIO9" s="21"/>
      <c r="UIP9" s="21"/>
      <c r="UIQ9" s="21"/>
      <c r="UIR9" s="21"/>
      <c r="UIS9" s="21"/>
      <c r="UIT9" s="21"/>
      <c r="UIU9" s="21"/>
      <c r="UIV9" s="21"/>
      <c r="UIW9" s="21"/>
      <c r="UIX9" s="21"/>
      <c r="UIY9" s="21"/>
      <c r="UIZ9" s="21"/>
      <c r="UJA9" s="21"/>
      <c r="UJB9" s="21"/>
      <c r="UJC9" s="21"/>
      <c r="UJD9" s="21"/>
      <c r="UJE9" s="21"/>
      <c r="UJF9" s="21"/>
      <c r="UJG9" s="21"/>
      <c r="UJH9" s="21"/>
      <c r="UJI9" s="21"/>
      <c r="UJJ9" s="21"/>
      <c r="UJK9" s="21"/>
      <c r="UJL9" s="21"/>
      <c r="UJM9" s="21"/>
      <c r="UJN9" s="21"/>
      <c r="UJO9" s="21"/>
      <c r="UJP9" s="21"/>
      <c r="UJQ9" s="21"/>
      <c r="UJR9" s="21"/>
      <c r="UJS9" s="21"/>
      <c r="UJT9" s="21"/>
      <c r="UJU9" s="21"/>
      <c r="UJV9" s="21"/>
      <c r="UJW9" s="21"/>
      <c r="UJX9" s="21"/>
      <c r="UJY9" s="21"/>
      <c r="UJZ9" s="21"/>
      <c r="UKA9" s="21"/>
      <c r="UKB9" s="21"/>
      <c r="UKC9" s="21"/>
      <c r="UKD9" s="21"/>
      <c r="UKE9" s="21"/>
      <c r="UKF9" s="21"/>
      <c r="UKG9" s="21"/>
      <c r="UKH9" s="21"/>
      <c r="UKI9" s="21"/>
      <c r="UKJ9" s="21"/>
      <c r="UKK9" s="21"/>
      <c r="UKL9" s="21"/>
      <c r="UKM9" s="21"/>
      <c r="UKN9" s="21"/>
      <c r="UKO9" s="21"/>
      <c r="UKP9" s="21"/>
      <c r="UKQ9" s="21"/>
      <c r="UKR9" s="21"/>
      <c r="UKS9" s="21"/>
      <c r="UKT9" s="21"/>
      <c r="UKU9" s="21"/>
      <c r="UKV9" s="21"/>
      <c r="UKW9" s="21"/>
      <c r="UKX9" s="21"/>
      <c r="UKY9" s="21"/>
      <c r="UKZ9" s="21"/>
      <c r="ULA9" s="21"/>
      <c r="ULB9" s="21"/>
      <c r="ULC9" s="21"/>
      <c r="ULD9" s="21"/>
      <c r="ULE9" s="21"/>
      <c r="ULF9" s="21"/>
      <c r="ULG9" s="21"/>
      <c r="ULH9" s="21"/>
      <c r="ULI9" s="21"/>
      <c r="ULJ9" s="21"/>
      <c r="ULK9" s="21"/>
      <c r="ULL9" s="21"/>
      <c r="ULM9" s="21"/>
      <c r="ULN9" s="21"/>
      <c r="ULO9" s="21"/>
      <c r="ULP9" s="21"/>
      <c r="ULQ9" s="21"/>
      <c r="ULR9" s="21"/>
      <c r="ULS9" s="21"/>
      <c r="ULT9" s="21"/>
      <c r="ULU9" s="21"/>
      <c r="ULV9" s="21"/>
      <c r="ULW9" s="21"/>
      <c r="ULX9" s="21"/>
      <c r="ULY9" s="21"/>
      <c r="ULZ9" s="21"/>
      <c r="UMA9" s="21"/>
      <c r="UMB9" s="21"/>
      <c r="UMC9" s="21"/>
      <c r="UMD9" s="21"/>
      <c r="UME9" s="21"/>
      <c r="UMF9" s="21"/>
      <c r="UMG9" s="21"/>
      <c r="UMH9" s="21"/>
      <c r="UMI9" s="21"/>
      <c r="UMJ9" s="21"/>
      <c r="UMK9" s="21"/>
      <c r="UML9" s="21"/>
      <c r="UMM9" s="21"/>
      <c r="UMN9" s="21"/>
      <c r="UMO9" s="21"/>
      <c r="UMP9" s="21"/>
      <c r="UMQ9" s="21"/>
      <c r="UMR9" s="21"/>
      <c r="UMS9" s="21"/>
      <c r="UMT9" s="21"/>
      <c r="UMU9" s="21"/>
      <c r="UMV9" s="21"/>
      <c r="UMW9" s="21"/>
      <c r="UMX9" s="21"/>
      <c r="UMY9" s="21"/>
      <c r="UMZ9" s="21"/>
      <c r="UNA9" s="21"/>
      <c r="UNB9" s="21"/>
      <c r="UNC9" s="21"/>
      <c r="UND9" s="21"/>
      <c r="UNE9" s="21"/>
      <c r="UNF9" s="21"/>
      <c r="UNG9" s="21"/>
      <c r="UNH9" s="21"/>
      <c r="UNI9" s="21"/>
      <c r="UNJ9" s="21"/>
      <c r="UNK9" s="21"/>
      <c r="UNL9" s="21"/>
      <c r="UNM9" s="21"/>
      <c r="UNN9" s="21"/>
      <c r="UNO9" s="21"/>
      <c r="UNP9" s="21"/>
      <c r="UNQ9" s="21"/>
      <c r="UNR9" s="21"/>
      <c r="UNS9" s="21"/>
      <c r="UNT9" s="21"/>
      <c r="UNU9" s="21"/>
      <c r="UNV9" s="21"/>
      <c r="UNW9" s="21"/>
      <c r="UNX9" s="21"/>
      <c r="UNY9" s="21"/>
      <c r="UNZ9" s="21"/>
      <c r="UOA9" s="21"/>
      <c r="UOB9" s="21"/>
      <c r="UOC9" s="21"/>
      <c r="UOD9" s="21"/>
      <c r="UOE9" s="21"/>
      <c r="UOF9" s="21"/>
      <c r="UOG9" s="21"/>
      <c r="UOH9" s="21"/>
      <c r="UOI9" s="21"/>
      <c r="UOJ9" s="21"/>
      <c r="UOK9" s="21"/>
      <c r="UOL9" s="21"/>
      <c r="UOM9" s="21"/>
      <c r="UON9" s="21"/>
      <c r="UOO9" s="21"/>
      <c r="UOP9" s="21"/>
      <c r="UOQ9" s="21"/>
      <c r="UOR9" s="21"/>
      <c r="UOS9" s="21"/>
      <c r="UOT9" s="21"/>
      <c r="UOU9" s="21"/>
      <c r="UOV9" s="21"/>
      <c r="UOW9" s="21"/>
      <c r="UOX9" s="21"/>
      <c r="UOY9" s="21"/>
      <c r="UOZ9" s="21"/>
      <c r="UPA9" s="21"/>
      <c r="UPB9" s="21"/>
      <c r="UPC9" s="21"/>
      <c r="UPD9" s="21"/>
      <c r="UPE9" s="21"/>
      <c r="UPF9" s="21"/>
      <c r="UPG9" s="21"/>
      <c r="UPH9" s="21"/>
      <c r="UPI9" s="21"/>
      <c r="UPJ9" s="21"/>
      <c r="UPK9" s="21"/>
      <c r="UPL9" s="21"/>
      <c r="UPM9" s="21"/>
      <c r="UPN9" s="21"/>
      <c r="UPO9" s="21"/>
      <c r="UPP9" s="21"/>
      <c r="UPQ9" s="21"/>
      <c r="UPR9" s="21"/>
      <c r="UPS9" s="21"/>
      <c r="UPT9" s="21"/>
      <c r="UPU9" s="21"/>
      <c r="UPV9" s="21"/>
      <c r="UPW9" s="21"/>
      <c r="UPX9" s="21"/>
      <c r="UPY9" s="21"/>
      <c r="UPZ9" s="21"/>
      <c r="UQA9" s="21"/>
      <c r="UQB9" s="21"/>
      <c r="UQC9" s="21"/>
      <c r="UQD9" s="21"/>
      <c r="UQE9" s="21"/>
      <c r="UQF9" s="21"/>
      <c r="UQG9" s="21"/>
      <c r="UQH9" s="21"/>
      <c r="UQI9" s="21"/>
      <c r="UQJ9" s="21"/>
      <c r="UQK9" s="21"/>
      <c r="UQL9" s="21"/>
      <c r="UQM9" s="21"/>
      <c r="UQN9" s="21"/>
      <c r="UQO9" s="21"/>
      <c r="UQP9" s="21"/>
      <c r="UQQ9" s="21"/>
      <c r="UQR9" s="21"/>
      <c r="UQS9" s="21"/>
      <c r="UQT9" s="21"/>
      <c r="UQU9" s="21"/>
      <c r="UQV9" s="21"/>
      <c r="UQW9" s="21"/>
      <c r="UQX9" s="21"/>
      <c r="UQY9" s="21"/>
      <c r="UQZ9" s="21"/>
      <c r="URA9" s="21"/>
      <c r="URB9" s="21"/>
      <c r="URC9" s="21"/>
      <c r="URD9" s="21"/>
      <c r="URE9" s="21"/>
      <c r="URF9" s="21"/>
      <c r="URG9" s="21"/>
      <c r="URH9" s="21"/>
      <c r="URI9" s="21"/>
      <c r="URJ9" s="21"/>
      <c r="URK9" s="21"/>
      <c r="URL9" s="21"/>
      <c r="URM9" s="21"/>
      <c r="URN9" s="21"/>
      <c r="URO9" s="21"/>
      <c r="URP9" s="21"/>
      <c r="URQ9" s="21"/>
      <c r="URR9" s="21"/>
      <c r="URS9" s="21"/>
      <c r="URT9" s="21"/>
      <c r="URU9" s="21"/>
      <c r="URV9" s="21"/>
      <c r="URW9" s="21"/>
      <c r="URX9" s="21"/>
      <c r="URY9" s="21"/>
      <c r="URZ9" s="21"/>
      <c r="USA9" s="21"/>
      <c r="USB9" s="21"/>
      <c r="USC9" s="21"/>
      <c r="USD9" s="21"/>
      <c r="USE9" s="21"/>
      <c r="USF9" s="21"/>
      <c r="USG9" s="21"/>
      <c r="USH9" s="21"/>
      <c r="USI9" s="21"/>
      <c r="USJ9" s="21"/>
      <c r="USK9" s="21"/>
      <c r="USL9" s="21"/>
      <c r="USM9" s="21"/>
      <c r="USN9" s="21"/>
      <c r="USO9" s="21"/>
      <c r="USP9" s="21"/>
      <c r="USQ9" s="21"/>
      <c r="USR9" s="21"/>
      <c r="USS9" s="21"/>
      <c r="UST9" s="21"/>
      <c r="USU9" s="21"/>
      <c r="USV9" s="21"/>
      <c r="USW9" s="21"/>
      <c r="USX9" s="21"/>
      <c r="USY9" s="21"/>
      <c r="USZ9" s="21"/>
      <c r="UTA9" s="21"/>
      <c r="UTB9" s="21"/>
      <c r="UTC9" s="21"/>
      <c r="UTD9" s="21"/>
      <c r="UTE9" s="21"/>
      <c r="UTF9" s="21"/>
      <c r="UTG9" s="21"/>
      <c r="UTH9" s="21"/>
      <c r="UTI9" s="21"/>
      <c r="UTJ9" s="21"/>
      <c r="UTK9" s="21"/>
      <c r="UTL9" s="21"/>
      <c r="UTM9" s="21"/>
      <c r="UTN9" s="21"/>
      <c r="UTO9" s="21"/>
      <c r="UTP9" s="21"/>
      <c r="UTQ9" s="21"/>
      <c r="UTR9" s="21"/>
      <c r="UTS9" s="21"/>
      <c r="UTT9" s="21"/>
      <c r="UTU9" s="21"/>
      <c r="UTV9" s="21"/>
      <c r="UTW9" s="21"/>
      <c r="UTX9" s="21"/>
      <c r="UTY9" s="21"/>
      <c r="UTZ9" s="21"/>
      <c r="UUA9" s="21"/>
      <c r="UUB9" s="21"/>
      <c r="UUC9" s="21"/>
      <c r="UUD9" s="21"/>
      <c r="UUE9" s="21"/>
      <c r="UUF9" s="21"/>
      <c r="UUG9" s="21"/>
      <c r="UUH9" s="21"/>
      <c r="UUI9" s="21"/>
      <c r="UUJ9" s="21"/>
      <c r="UUK9" s="21"/>
      <c r="UUL9" s="21"/>
      <c r="UUM9" s="21"/>
      <c r="UUN9" s="21"/>
      <c r="UUO9" s="21"/>
      <c r="UUP9" s="21"/>
      <c r="UUQ9" s="21"/>
      <c r="UUR9" s="21"/>
      <c r="UUS9" s="21"/>
      <c r="UUT9" s="21"/>
      <c r="UUU9" s="21"/>
      <c r="UUV9" s="21"/>
      <c r="UUW9" s="21"/>
      <c r="UUX9" s="21"/>
      <c r="UUY9" s="21"/>
      <c r="UUZ9" s="21"/>
      <c r="UVA9" s="21"/>
      <c r="UVB9" s="21"/>
      <c r="UVC9" s="21"/>
      <c r="UVD9" s="21"/>
      <c r="UVE9" s="21"/>
      <c r="UVF9" s="21"/>
      <c r="UVG9" s="21"/>
      <c r="UVH9" s="21"/>
      <c r="UVI9" s="21"/>
      <c r="UVJ9" s="21"/>
      <c r="UVK9" s="21"/>
      <c r="UVL9" s="21"/>
      <c r="UVM9" s="21"/>
      <c r="UVN9" s="21"/>
      <c r="UVO9" s="21"/>
      <c r="UVP9" s="21"/>
      <c r="UVQ9" s="21"/>
      <c r="UVR9" s="21"/>
      <c r="UVS9" s="21"/>
      <c r="UVT9" s="21"/>
      <c r="UVU9" s="21"/>
      <c r="UVV9" s="21"/>
      <c r="UVW9" s="21"/>
      <c r="UVX9" s="21"/>
      <c r="UVY9" s="21"/>
      <c r="UVZ9" s="21"/>
      <c r="UWA9" s="21"/>
      <c r="UWB9" s="21"/>
      <c r="UWC9" s="21"/>
      <c r="UWD9" s="21"/>
      <c r="UWE9" s="21"/>
      <c r="UWF9" s="21"/>
      <c r="UWG9" s="21"/>
      <c r="UWH9" s="21"/>
      <c r="UWI9" s="21"/>
      <c r="UWJ9" s="21"/>
      <c r="UWK9" s="21"/>
      <c r="UWL9" s="21"/>
      <c r="UWM9" s="21"/>
      <c r="UWN9" s="21"/>
      <c r="UWO9" s="21"/>
      <c r="UWP9" s="21"/>
      <c r="UWQ9" s="21"/>
      <c r="UWR9" s="21"/>
      <c r="UWS9" s="21"/>
      <c r="UWT9" s="21"/>
      <c r="UWU9" s="21"/>
      <c r="UWV9" s="21"/>
      <c r="UWW9" s="21"/>
      <c r="UWX9" s="21"/>
      <c r="UWY9" s="21"/>
      <c r="UWZ9" s="21"/>
      <c r="UXA9" s="21"/>
      <c r="UXB9" s="21"/>
      <c r="UXC9" s="21"/>
      <c r="UXD9" s="21"/>
      <c r="UXE9" s="21"/>
      <c r="UXF9" s="21"/>
      <c r="UXG9" s="21"/>
      <c r="UXH9" s="21"/>
      <c r="UXI9" s="21"/>
      <c r="UXJ9" s="21"/>
      <c r="UXK9" s="21"/>
      <c r="UXL9" s="21"/>
      <c r="UXM9" s="21"/>
      <c r="UXN9" s="21"/>
      <c r="UXO9" s="21"/>
      <c r="UXP9" s="21"/>
      <c r="UXQ9" s="21"/>
      <c r="UXR9" s="21"/>
      <c r="UXS9" s="21"/>
      <c r="UXT9" s="21"/>
      <c r="UXU9" s="21"/>
      <c r="UXV9" s="21"/>
      <c r="UXW9" s="21"/>
      <c r="UXX9" s="21"/>
      <c r="UXY9" s="21"/>
      <c r="UXZ9" s="21"/>
      <c r="UYA9" s="21"/>
      <c r="UYB9" s="21"/>
      <c r="UYC9" s="21"/>
      <c r="UYD9" s="21"/>
      <c r="UYE9" s="21"/>
      <c r="UYF9" s="21"/>
      <c r="UYG9" s="21"/>
      <c r="UYH9" s="21"/>
      <c r="UYI9" s="21"/>
      <c r="UYJ9" s="21"/>
      <c r="UYK9" s="21"/>
      <c r="UYL9" s="21"/>
      <c r="UYM9" s="21"/>
      <c r="UYN9" s="21"/>
      <c r="UYO9" s="21"/>
      <c r="UYP9" s="21"/>
      <c r="UYQ9" s="21"/>
      <c r="UYR9" s="21"/>
      <c r="UYS9" s="21"/>
      <c r="UYT9" s="21"/>
      <c r="UYU9" s="21"/>
      <c r="UYV9" s="21"/>
      <c r="UYW9" s="21"/>
      <c r="UYX9" s="21"/>
      <c r="UYY9" s="21"/>
      <c r="UYZ9" s="21"/>
      <c r="UZA9" s="21"/>
      <c r="UZB9" s="21"/>
      <c r="UZC9" s="21"/>
      <c r="UZD9" s="21"/>
      <c r="UZE9" s="21"/>
      <c r="UZF9" s="21"/>
      <c r="UZG9" s="21"/>
      <c r="UZH9" s="21"/>
      <c r="UZI9" s="21"/>
      <c r="UZJ9" s="21"/>
      <c r="UZK9" s="21"/>
      <c r="UZL9" s="21"/>
      <c r="UZM9" s="21"/>
      <c r="UZN9" s="21"/>
      <c r="UZO9" s="21"/>
      <c r="UZP9" s="21"/>
      <c r="UZQ9" s="21"/>
      <c r="UZR9" s="21"/>
      <c r="UZS9" s="21"/>
      <c r="UZT9" s="21"/>
      <c r="UZU9" s="21"/>
      <c r="UZV9" s="21"/>
      <c r="UZW9" s="21"/>
      <c r="UZX9" s="21"/>
      <c r="UZY9" s="21"/>
      <c r="UZZ9" s="21"/>
      <c r="VAA9" s="21"/>
      <c r="VAB9" s="21"/>
      <c r="VAC9" s="21"/>
      <c r="VAD9" s="21"/>
      <c r="VAE9" s="21"/>
      <c r="VAF9" s="21"/>
      <c r="VAG9" s="21"/>
      <c r="VAH9" s="21"/>
      <c r="VAI9" s="21"/>
      <c r="VAJ9" s="21"/>
      <c r="VAK9" s="21"/>
      <c r="VAL9" s="21"/>
      <c r="VAM9" s="21"/>
      <c r="VAN9" s="21"/>
      <c r="VAO9" s="21"/>
      <c r="VAP9" s="21"/>
      <c r="VAQ9" s="21"/>
      <c r="VAR9" s="21"/>
      <c r="VAS9" s="21"/>
      <c r="VAT9" s="21"/>
      <c r="VAU9" s="21"/>
      <c r="VAV9" s="21"/>
      <c r="VAW9" s="21"/>
      <c r="VAX9" s="21"/>
      <c r="VAY9" s="21"/>
      <c r="VAZ9" s="21"/>
      <c r="VBA9" s="21"/>
      <c r="VBB9" s="21"/>
      <c r="VBC9" s="21"/>
      <c r="VBD9" s="21"/>
      <c r="VBE9" s="21"/>
      <c r="VBF9" s="21"/>
      <c r="VBG9" s="21"/>
      <c r="VBH9" s="21"/>
      <c r="VBI9" s="21"/>
      <c r="VBJ9" s="21"/>
      <c r="VBK9" s="21"/>
      <c r="VBL9" s="21"/>
      <c r="VBM9" s="21"/>
      <c r="VBN9" s="21"/>
      <c r="VBO9" s="21"/>
      <c r="VBP9" s="21"/>
      <c r="VBQ9" s="21"/>
      <c r="VBR9" s="21"/>
      <c r="VBS9" s="21"/>
      <c r="VBT9" s="21"/>
      <c r="VBU9" s="21"/>
      <c r="VBV9" s="21"/>
      <c r="VBW9" s="21"/>
      <c r="VBX9" s="21"/>
      <c r="VBY9" s="21"/>
      <c r="VBZ9" s="21"/>
      <c r="VCA9" s="21"/>
      <c r="VCB9" s="21"/>
      <c r="VCC9" s="21"/>
      <c r="VCD9" s="21"/>
      <c r="VCE9" s="21"/>
      <c r="VCF9" s="21"/>
      <c r="VCG9" s="21"/>
      <c r="VCH9" s="21"/>
      <c r="VCI9" s="21"/>
      <c r="VCJ9" s="21"/>
      <c r="VCK9" s="21"/>
      <c r="VCL9" s="21"/>
      <c r="VCM9" s="21"/>
      <c r="VCN9" s="21"/>
      <c r="VCO9" s="21"/>
      <c r="VCP9" s="21"/>
      <c r="VCQ9" s="21"/>
      <c r="VCR9" s="21"/>
      <c r="VCS9" s="21"/>
      <c r="VCT9" s="21"/>
      <c r="VCU9" s="21"/>
      <c r="VCV9" s="21"/>
      <c r="VCW9" s="21"/>
      <c r="VCX9" s="21"/>
      <c r="VCY9" s="21"/>
      <c r="VCZ9" s="21"/>
      <c r="VDA9" s="21"/>
      <c r="VDB9" s="21"/>
      <c r="VDC9" s="21"/>
      <c r="VDD9" s="21"/>
      <c r="VDE9" s="21"/>
      <c r="VDF9" s="21"/>
      <c r="VDG9" s="21"/>
      <c r="VDH9" s="21"/>
      <c r="VDI9" s="21"/>
      <c r="VDJ9" s="21"/>
      <c r="VDK9" s="21"/>
      <c r="VDL9" s="21"/>
      <c r="VDM9" s="21"/>
      <c r="VDN9" s="21"/>
      <c r="VDO9" s="21"/>
      <c r="VDP9" s="21"/>
      <c r="VDQ9" s="21"/>
      <c r="VDR9" s="21"/>
      <c r="VDS9" s="21"/>
      <c r="VDT9" s="21"/>
      <c r="VDU9" s="21"/>
      <c r="VDV9" s="21"/>
      <c r="VDW9" s="21"/>
      <c r="VDX9" s="21"/>
      <c r="VDY9" s="21"/>
      <c r="VDZ9" s="21"/>
      <c r="VEA9" s="21"/>
      <c r="VEB9" s="21"/>
      <c r="VEC9" s="21"/>
      <c r="VED9" s="21"/>
      <c r="VEE9" s="21"/>
      <c r="VEF9" s="21"/>
      <c r="VEG9" s="21"/>
      <c r="VEH9" s="21"/>
      <c r="VEI9" s="21"/>
      <c r="VEJ9" s="21"/>
      <c r="VEK9" s="21"/>
      <c r="VEL9" s="21"/>
      <c r="VEM9" s="21"/>
      <c r="VEN9" s="21"/>
      <c r="VEO9" s="21"/>
      <c r="VEP9" s="21"/>
      <c r="VEQ9" s="21"/>
      <c r="VER9" s="21"/>
      <c r="VES9" s="21"/>
      <c r="VET9" s="21"/>
      <c r="VEU9" s="21"/>
      <c r="VEV9" s="21"/>
      <c r="VEW9" s="21"/>
      <c r="VEX9" s="21"/>
      <c r="VEY9" s="21"/>
      <c r="VEZ9" s="21"/>
      <c r="VFA9" s="21"/>
      <c r="VFB9" s="21"/>
      <c r="VFC9" s="21"/>
      <c r="VFD9" s="21"/>
      <c r="VFE9" s="21"/>
      <c r="VFF9" s="21"/>
      <c r="VFG9" s="21"/>
      <c r="VFH9" s="21"/>
      <c r="VFI9" s="21"/>
      <c r="VFJ9" s="21"/>
      <c r="VFK9" s="21"/>
      <c r="VFL9" s="21"/>
      <c r="VFM9" s="21"/>
      <c r="VFN9" s="21"/>
      <c r="VFO9" s="21"/>
      <c r="VFP9" s="21"/>
      <c r="VFQ9" s="21"/>
      <c r="VFR9" s="21"/>
      <c r="VFS9" s="21"/>
      <c r="VFT9" s="21"/>
      <c r="VFU9" s="21"/>
      <c r="VFV9" s="21"/>
      <c r="VFW9" s="21"/>
      <c r="VFX9" s="21"/>
      <c r="VFY9" s="21"/>
      <c r="VFZ9" s="21"/>
      <c r="VGA9" s="21"/>
      <c r="VGB9" s="21"/>
      <c r="VGC9" s="21"/>
      <c r="VGD9" s="21"/>
      <c r="VGE9" s="21"/>
      <c r="VGF9" s="21"/>
      <c r="VGG9" s="21"/>
      <c r="VGH9" s="21"/>
      <c r="VGI9" s="21"/>
      <c r="VGJ9" s="21"/>
      <c r="VGK9" s="21"/>
      <c r="VGL9" s="21"/>
      <c r="VGM9" s="21"/>
      <c r="VGN9" s="21"/>
      <c r="VGO9" s="21"/>
      <c r="VGP9" s="21"/>
      <c r="VGQ9" s="21"/>
      <c r="VGR9" s="21"/>
      <c r="VGS9" s="21"/>
      <c r="VGT9" s="21"/>
      <c r="VGU9" s="21"/>
      <c r="VGV9" s="21"/>
      <c r="VGW9" s="21"/>
      <c r="VGX9" s="21"/>
      <c r="VGY9" s="21"/>
      <c r="VGZ9" s="21"/>
      <c r="VHA9" s="21"/>
      <c r="VHB9" s="21"/>
      <c r="VHC9" s="21"/>
      <c r="VHD9" s="21"/>
      <c r="VHE9" s="21"/>
      <c r="VHF9" s="21"/>
      <c r="VHG9" s="21"/>
      <c r="VHH9" s="21"/>
      <c r="VHI9" s="21"/>
      <c r="VHJ9" s="21"/>
      <c r="VHK9" s="21"/>
      <c r="VHL9" s="21"/>
      <c r="VHM9" s="21"/>
      <c r="VHN9" s="21"/>
      <c r="VHO9" s="21"/>
      <c r="VHP9" s="21"/>
      <c r="VHQ9" s="21"/>
      <c r="VHR9" s="21"/>
      <c r="VHS9" s="21"/>
      <c r="VHT9" s="21"/>
      <c r="VHU9" s="21"/>
      <c r="VHV9" s="21"/>
      <c r="VHW9" s="21"/>
      <c r="VHX9" s="21"/>
      <c r="VHY9" s="21"/>
      <c r="VHZ9" s="21"/>
      <c r="VIA9" s="21"/>
      <c r="VIB9" s="21"/>
      <c r="VIC9" s="21"/>
      <c r="VID9" s="21"/>
      <c r="VIE9" s="21"/>
      <c r="VIF9" s="21"/>
      <c r="VIG9" s="21"/>
      <c r="VIH9" s="21"/>
      <c r="VII9" s="21"/>
      <c r="VIJ9" s="21"/>
      <c r="VIK9" s="21"/>
      <c r="VIL9" s="21"/>
      <c r="VIM9" s="21"/>
      <c r="VIN9" s="21"/>
      <c r="VIO9" s="21"/>
      <c r="VIP9" s="21"/>
      <c r="VIQ9" s="21"/>
      <c r="VIR9" s="21"/>
      <c r="VIS9" s="21"/>
      <c r="VIT9" s="21"/>
      <c r="VIU9" s="21"/>
      <c r="VIV9" s="21"/>
      <c r="VIW9" s="21"/>
      <c r="VIX9" s="21"/>
      <c r="VIY9" s="21"/>
      <c r="VIZ9" s="21"/>
      <c r="VJA9" s="21"/>
      <c r="VJB9" s="21"/>
      <c r="VJC9" s="21"/>
      <c r="VJD9" s="21"/>
      <c r="VJE9" s="21"/>
      <c r="VJF9" s="21"/>
      <c r="VJG9" s="21"/>
      <c r="VJH9" s="21"/>
      <c r="VJI9" s="21"/>
      <c r="VJJ9" s="21"/>
      <c r="VJK9" s="21"/>
      <c r="VJL9" s="21"/>
      <c r="VJM9" s="21"/>
      <c r="VJN9" s="21"/>
      <c r="VJO9" s="21"/>
      <c r="VJP9" s="21"/>
      <c r="VJQ9" s="21"/>
      <c r="VJR9" s="21"/>
      <c r="VJS9" s="21"/>
      <c r="VJT9" s="21"/>
      <c r="VJU9" s="21"/>
      <c r="VJV9" s="21"/>
      <c r="VJW9" s="21"/>
      <c r="VJX9" s="21"/>
      <c r="VJY9" s="21"/>
      <c r="VJZ9" s="21"/>
      <c r="VKA9" s="21"/>
      <c r="VKB9" s="21"/>
      <c r="VKC9" s="21"/>
      <c r="VKD9" s="21"/>
      <c r="VKE9" s="21"/>
      <c r="VKF9" s="21"/>
      <c r="VKG9" s="21"/>
      <c r="VKH9" s="21"/>
      <c r="VKI9" s="21"/>
      <c r="VKJ9" s="21"/>
      <c r="VKK9" s="21"/>
      <c r="VKL9" s="21"/>
      <c r="VKM9" s="21"/>
      <c r="VKN9" s="21"/>
      <c r="VKO9" s="21"/>
      <c r="VKP9" s="21"/>
      <c r="VKQ9" s="21"/>
      <c r="VKR9" s="21"/>
      <c r="VKS9" s="21"/>
      <c r="VKT9" s="21"/>
      <c r="VKU9" s="21"/>
      <c r="VKV9" s="21"/>
      <c r="VKW9" s="21"/>
      <c r="VKX9" s="21"/>
      <c r="VKY9" s="21"/>
      <c r="VKZ9" s="21"/>
      <c r="VLA9" s="21"/>
      <c r="VLB9" s="21"/>
      <c r="VLC9" s="21"/>
      <c r="VLD9" s="21"/>
      <c r="VLE9" s="21"/>
      <c r="VLF9" s="21"/>
      <c r="VLG9" s="21"/>
      <c r="VLH9" s="21"/>
      <c r="VLI9" s="21"/>
      <c r="VLJ9" s="21"/>
      <c r="VLK9" s="21"/>
      <c r="VLL9" s="21"/>
      <c r="VLM9" s="21"/>
      <c r="VLN9" s="21"/>
      <c r="VLO9" s="21"/>
      <c r="VLP9" s="21"/>
      <c r="VLQ9" s="21"/>
      <c r="VLR9" s="21"/>
      <c r="VLS9" s="21"/>
      <c r="VLT9" s="21"/>
      <c r="VLU9" s="21"/>
      <c r="VLV9" s="21"/>
      <c r="VLW9" s="21"/>
      <c r="VLX9" s="21"/>
      <c r="VLY9" s="21"/>
      <c r="VLZ9" s="21"/>
      <c r="VMA9" s="21"/>
      <c r="VMB9" s="21"/>
      <c r="VMC9" s="21"/>
      <c r="VMD9" s="21"/>
      <c r="VME9" s="21"/>
      <c r="VMF9" s="21"/>
      <c r="VMG9" s="21"/>
      <c r="VMH9" s="21"/>
      <c r="VMI9" s="21"/>
      <c r="VMJ9" s="21"/>
      <c r="VMK9" s="21"/>
      <c r="VML9" s="21"/>
      <c r="VMM9" s="21"/>
      <c r="VMN9" s="21"/>
      <c r="VMO9" s="21"/>
      <c r="VMP9" s="21"/>
      <c r="VMQ9" s="21"/>
      <c r="VMR9" s="21"/>
      <c r="VMS9" s="21"/>
      <c r="VMT9" s="21"/>
      <c r="VMU9" s="21"/>
      <c r="VMV9" s="21"/>
      <c r="VMW9" s="21"/>
      <c r="VMX9" s="21"/>
      <c r="VMY9" s="21"/>
      <c r="VMZ9" s="21"/>
      <c r="VNA9" s="21"/>
      <c r="VNB9" s="21"/>
      <c r="VNC9" s="21"/>
      <c r="VND9" s="21"/>
      <c r="VNE9" s="21"/>
      <c r="VNF9" s="21"/>
      <c r="VNG9" s="21"/>
      <c r="VNH9" s="21"/>
      <c r="VNI9" s="21"/>
      <c r="VNJ9" s="21"/>
      <c r="VNK9" s="21"/>
      <c r="VNL9" s="21"/>
      <c r="VNM9" s="21"/>
      <c r="VNN9" s="21"/>
      <c r="VNO9" s="21"/>
      <c r="VNP9" s="21"/>
      <c r="VNQ9" s="21"/>
      <c r="VNR9" s="21"/>
      <c r="VNS9" s="21"/>
      <c r="VNT9" s="21"/>
      <c r="VNU9" s="21"/>
      <c r="VNV9" s="21"/>
      <c r="VNW9" s="21"/>
      <c r="VNX9" s="21"/>
      <c r="VNY9" s="21"/>
      <c r="VNZ9" s="21"/>
      <c r="VOA9" s="21"/>
      <c r="VOB9" s="21"/>
      <c r="VOC9" s="21"/>
      <c r="VOD9" s="21"/>
      <c r="VOE9" s="21"/>
      <c r="VOF9" s="21"/>
      <c r="VOG9" s="21"/>
      <c r="VOH9" s="21"/>
      <c r="VOI9" s="21"/>
      <c r="VOJ9" s="21"/>
      <c r="VOK9" s="21"/>
      <c r="VOL9" s="21"/>
      <c r="VOM9" s="21"/>
      <c r="VON9" s="21"/>
      <c r="VOO9" s="21"/>
      <c r="VOP9" s="21"/>
      <c r="VOQ9" s="21"/>
      <c r="VOR9" s="21"/>
      <c r="VOS9" s="21"/>
      <c r="VOT9" s="21"/>
      <c r="VOU9" s="21"/>
      <c r="VOV9" s="21"/>
      <c r="VOW9" s="21"/>
      <c r="VOX9" s="21"/>
      <c r="VOY9" s="21"/>
      <c r="VOZ9" s="21"/>
      <c r="VPA9" s="21"/>
      <c r="VPB9" s="21"/>
      <c r="VPC9" s="21"/>
      <c r="VPD9" s="21"/>
      <c r="VPE9" s="21"/>
      <c r="VPF9" s="21"/>
      <c r="VPG9" s="21"/>
      <c r="VPH9" s="21"/>
      <c r="VPI9" s="21"/>
      <c r="VPJ9" s="21"/>
      <c r="VPK9" s="21"/>
      <c r="VPL9" s="21"/>
      <c r="VPM9" s="21"/>
      <c r="VPN9" s="21"/>
      <c r="VPO9" s="21"/>
      <c r="VPP9" s="21"/>
      <c r="VPQ9" s="21"/>
      <c r="VPR9" s="21"/>
      <c r="VPS9" s="21"/>
      <c r="VPT9" s="21"/>
      <c r="VPU9" s="21"/>
      <c r="VPV9" s="21"/>
      <c r="VPW9" s="21"/>
      <c r="VPX9" s="21"/>
      <c r="VPY9" s="21"/>
      <c r="VPZ9" s="21"/>
      <c r="VQA9" s="21"/>
      <c r="VQB9" s="21"/>
      <c r="VQC9" s="21"/>
      <c r="VQD9" s="21"/>
      <c r="VQE9" s="21"/>
      <c r="VQF9" s="21"/>
      <c r="VQG9" s="21"/>
      <c r="VQH9" s="21"/>
      <c r="VQI9" s="21"/>
      <c r="VQJ9" s="21"/>
      <c r="VQK9" s="21"/>
      <c r="VQL9" s="21"/>
      <c r="VQM9" s="21"/>
      <c r="VQN9" s="21"/>
      <c r="VQO9" s="21"/>
      <c r="VQP9" s="21"/>
      <c r="VQQ9" s="21"/>
      <c r="VQR9" s="21"/>
      <c r="VQS9" s="21"/>
      <c r="VQT9" s="21"/>
      <c r="VQU9" s="21"/>
      <c r="VQV9" s="21"/>
      <c r="VQW9" s="21"/>
      <c r="VQX9" s="21"/>
      <c r="VQY9" s="21"/>
      <c r="VQZ9" s="21"/>
      <c r="VRA9" s="21"/>
      <c r="VRB9" s="21"/>
      <c r="VRC9" s="21"/>
      <c r="VRD9" s="21"/>
      <c r="VRE9" s="21"/>
      <c r="VRF9" s="21"/>
      <c r="VRG9" s="21"/>
      <c r="VRH9" s="21"/>
      <c r="VRI9" s="21"/>
      <c r="VRJ9" s="21"/>
      <c r="VRK9" s="21"/>
      <c r="VRL9" s="21"/>
      <c r="VRM9" s="21"/>
      <c r="VRN9" s="21"/>
      <c r="VRO9" s="21"/>
      <c r="VRP9" s="21"/>
      <c r="VRQ9" s="21"/>
      <c r="VRR9" s="21"/>
      <c r="VRS9" s="21"/>
      <c r="VRT9" s="21"/>
      <c r="VRU9" s="21"/>
      <c r="VRV9" s="21"/>
      <c r="VRW9" s="21"/>
      <c r="VRX9" s="21"/>
      <c r="VRY9" s="21"/>
      <c r="VRZ9" s="21"/>
      <c r="VSA9" s="21"/>
      <c r="VSB9" s="21"/>
      <c r="VSC9" s="21"/>
      <c r="VSD9" s="21"/>
      <c r="VSE9" s="21"/>
      <c r="VSF9" s="21"/>
      <c r="VSG9" s="21"/>
      <c r="VSH9" s="21"/>
      <c r="VSI9" s="21"/>
      <c r="VSJ9" s="21"/>
      <c r="VSK9" s="21"/>
      <c r="VSL9" s="21"/>
      <c r="VSM9" s="21"/>
      <c r="VSN9" s="21"/>
      <c r="VSO9" s="21"/>
      <c r="VSP9" s="21"/>
      <c r="VSQ9" s="21"/>
      <c r="VSR9" s="21"/>
      <c r="VSS9" s="21"/>
      <c r="VST9" s="21"/>
      <c r="VSU9" s="21"/>
      <c r="VSV9" s="21"/>
      <c r="VSW9" s="21"/>
      <c r="VSX9" s="21"/>
      <c r="VSY9" s="21"/>
      <c r="VSZ9" s="21"/>
      <c r="VTA9" s="21"/>
      <c r="VTB9" s="21"/>
      <c r="VTC9" s="21"/>
      <c r="VTD9" s="21"/>
      <c r="VTE9" s="21"/>
      <c r="VTF9" s="21"/>
      <c r="VTG9" s="21"/>
      <c r="VTH9" s="21"/>
      <c r="VTI9" s="21"/>
      <c r="VTJ9" s="21"/>
      <c r="VTK9" s="21"/>
      <c r="VTL9" s="21"/>
      <c r="VTM9" s="21"/>
      <c r="VTN9" s="21"/>
      <c r="VTO9" s="21"/>
      <c r="VTP9" s="21"/>
      <c r="VTQ9" s="21"/>
      <c r="VTR9" s="21"/>
      <c r="VTS9" s="21"/>
      <c r="VTT9" s="21"/>
      <c r="VTU9" s="21"/>
      <c r="VTV9" s="21"/>
      <c r="VTW9" s="21"/>
      <c r="VTX9" s="21"/>
      <c r="VTY9" s="21"/>
      <c r="VTZ9" s="21"/>
      <c r="VUA9" s="21"/>
      <c r="VUB9" s="21"/>
      <c r="VUC9" s="21"/>
      <c r="VUD9" s="21"/>
      <c r="VUE9" s="21"/>
      <c r="VUF9" s="21"/>
      <c r="VUG9" s="21"/>
      <c r="VUH9" s="21"/>
      <c r="VUI9" s="21"/>
      <c r="VUJ9" s="21"/>
      <c r="VUK9" s="21"/>
      <c r="VUL9" s="21"/>
      <c r="VUM9" s="21"/>
      <c r="VUN9" s="21"/>
      <c r="VUO9" s="21"/>
      <c r="VUP9" s="21"/>
      <c r="VUQ9" s="21"/>
      <c r="VUR9" s="21"/>
      <c r="VUS9" s="21"/>
      <c r="VUT9" s="21"/>
      <c r="VUU9" s="21"/>
      <c r="VUV9" s="21"/>
      <c r="VUW9" s="21"/>
      <c r="VUX9" s="21"/>
      <c r="VUY9" s="21"/>
      <c r="VUZ9" s="21"/>
      <c r="VVA9" s="21"/>
      <c r="VVB9" s="21"/>
      <c r="VVC9" s="21"/>
      <c r="VVD9" s="21"/>
      <c r="VVE9" s="21"/>
      <c r="VVF9" s="21"/>
      <c r="VVG9" s="21"/>
      <c r="VVH9" s="21"/>
      <c r="VVI9" s="21"/>
      <c r="VVJ9" s="21"/>
      <c r="VVK9" s="21"/>
      <c r="VVL9" s="21"/>
      <c r="VVM9" s="21"/>
      <c r="VVN9" s="21"/>
      <c r="VVO9" s="21"/>
      <c r="VVP9" s="21"/>
      <c r="VVQ9" s="21"/>
      <c r="VVR9" s="21"/>
      <c r="VVS9" s="21"/>
      <c r="VVT9" s="21"/>
      <c r="VVU9" s="21"/>
      <c r="VVV9" s="21"/>
      <c r="VVW9" s="21"/>
      <c r="VVX9" s="21"/>
      <c r="VVY9" s="21"/>
      <c r="VVZ9" s="21"/>
      <c r="VWA9" s="21"/>
      <c r="VWB9" s="21"/>
      <c r="VWC9" s="21"/>
      <c r="VWD9" s="21"/>
      <c r="VWE9" s="21"/>
      <c r="VWF9" s="21"/>
      <c r="VWG9" s="21"/>
      <c r="VWH9" s="21"/>
      <c r="VWI9" s="21"/>
      <c r="VWJ9" s="21"/>
      <c r="VWK9" s="21"/>
      <c r="VWL9" s="21"/>
      <c r="VWM9" s="21"/>
      <c r="VWN9" s="21"/>
      <c r="VWO9" s="21"/>
      <c r="VWP9" s="21"/>
      <c r="VWQ9" s="21"/>
      <c r="VWR9" s="21"/>
      <c r="VWS9" s="21"/>
      <c r="VWT9" s="21"/>
      <c r="VWU9" s="21"/>
      <c r="VWV9" s="21"/>
      <c r="VWW9" s="21"/>
      <c r="VWX9" s="21"/>
      <c r="VWY9" s="21"/>
      <c r="VWZ9" s="21"/>
      <c r="VXA9" s="21"/>
      <c r="VXB9" s="21"/>
      <c r="VXC9" s="21"/>
      <c r="VXD9" s="21"/>
      <c r="VXE9" s="21"/>
      <c r="VXF9" s="21"/>
      <c r="VXG9" s="21"/>
      <c r="VXH9" s="21"/>
      <c r="VXI9" s="21"/>
      <c r="VXJ9" s="21"/>
      <c r="VXK9" s="21"/>
      <c r="VXL9" s="21"/>
      <c r="VXM9" s="21"/>
      <c r="VXN9" s="21"/>
      <c r="VXO9" s="21"/>
      <c r="VXP9" s="21"/>
      <c r="VXQ9" s="21"/>
      <c r="VXR9" s="21"/>
      <c r="VXS9" s="21"/>
      <c r="VXT9" s="21"/>
      <c r="VXU9" s="21"/>
      <c r="VXV9" s="21"/>
      <c r="VXW9" s="21"/>
      <c r="VXX9" s="21"/>
      <c r="VXY9" s="21"/>
      <c r="VXZ9" s="21"/>
      <c r="VYA9" s="21"/>
      <c r="VYB9" s="21"/>
      <c r="VYC9" s="21"/>
      <c r="VYD9" s="21"/>
      <c r="VYE9" s="21"/>
      <c r="VYF9" s="21"/>
      <c r="VYG9" s="21"/>
      <c r="VYH9" s="21"/>
      <c r="VYI9" s="21"/>
      <c r="VYJ9" s="21"/>
      <c r="VYK9" s="21"/>
      <c r="VYL9" s="21"/>
      <c r="VYM9" s="21"/>
      <c r="VYN9" s="21"/>
      <c r="VYO9" s="21"/>
      <c r="VYP9" s="21"/>
      <c r="VYQ9" s="21"/>
      <c r="VYR9" s="21"/>
      <c r="VYS9" s="21"/>
      <c r="VYT9" s="21"/>
      <c r="VYU9" s="21"/>
      <c r="VYV9" s="21"/>
      <c r="VYW9" s="21"/>
      <c r="VYX9" s="21"/>
      <c r="VYY9" s="21"/>
      <c r="VYZ9" s="21"/>
      <c r="VZA9" s="21"/>
      <c r="VZB9" s="21"/>
      <c r="VZC9" s="21"/>
      <c r="VZD9" s="21"/>
      <c r="VZE9" s="21"/>
      <c r="VZF9" s="21"/>
      <c r="VZG9" s="21"/>
      <c r="VZH9" s="21"/>
      <c r="VZI9" s="21"/>
      <c r="VZJ9" s="21"/>
      <c r="VZK9" s="21"/>
      <c r="VZL9" s="21"/>
      <c r="VZM9" s="21"/>
      <c r="VZN9" s="21"/>
      <c r="VZO9" s="21"/>
      <c r="VZP9" s="21"/>
      <c r="VZQ9" s="21"/>
      <c r="VZR9" s="21"/>
      <c r="VZS9" s="21"/>
      <c r="VZT9" s="21"/>
      <c r="VZU9" s="21"/>
      <c r="VZV9" s="21"/>
      <c r="VZW9" s="21"/>
      <c r="VZX9" s="21"/>
      <c r="VZY9" s="21"/>
      <c r="VZZ9" s="21"/>
      <c r="WAA9" s="21"/>
      <c r="WAB9" s="21"/>
      <c r="WAC9" s="21"/>
      <c r="WAD9" s="21"/>
      <c r="WAE9" s="21"/>
      <c r="WAF9" s="21"/>
      <c r="WAG9" s="21"/>
      <c r="WAH9" s="21"/>
      <c r="WAI9" s="21"/>
      <c r="WAJ9" s="21"/>
      <c r="WAK9" s="21"/>
      <c r="WAL9" s="21"/>
      <c r="WAM9" s="21"/>
      <c r="WAN9" s="21"/>
      <c r="WAO9" s="21"/>
      <c r="WAP9" s="21"/>
      <c r="WAQ9" s="21"/>
      <c r="WAR9" s="21"/>
      <c r="WAS9" s="21"/>
      <c r="WAT9" s="21"/>
      <c r="WAU9" s="21"/>
      <c r="WAV9" s="21"/>
      <c r="WAW9" s="21"/>
      <c r="WAX9" s="21"/>
      <c r="WAY9" s="21"/>
      <c r="WAZ9" s="21"/>
      <c r="WBA9" s="21"/>
      <c r="WBB9" s="21"/>
      <c r="WBC9" s="21"/>
      <c r="WBD9" s="21"/>
      <c r="WBE9" s="21"/>
      <c r="WBF9" s="21"/>
      <c r="WBG9" s="21"/>
      <c r="WBH9" s="21"/>
      <c r="WBI9" s="21"/>
      <c r="WBJ9" s="21"/>
      <c r="WBK9" s="21"/>
      <c r="WBL9" s="21"/>
      <c r="WBM9" s="21"/>
      <c r="WBN9" s="21"/>
      <c r="WBO9" s="21"/>
      <c r="WBP9" s="21"/>
      <c r="WBQ9" s="21"/>
      <c r="WBR9" s="21"/>
      <c r="WBS9" s="21"/>
      <c r="WBT9" s="21"/>
      <c r="WBU9" s="21"/>
      <c r="WBV9" s="21"/>
      <c r="WBW9" s="21"/>
      <c r="WBX9" s="21"/>
      <c r="WBY9" s="21"/>
      <c r="WBZ9" s="21"/>
      <c r="WCA9" s="21"/>
      <c r="WCB9" s="21"/>
      <c r="WCC9" s="21"/>
      <c r="WCD9" s="21"/>
      <c r="WCE9" s="21"/>
      <c r="WCF9" s="21"/>
      <c r="WCG9" s="21"/>
      <c r="WCH9" s="21"/>
      <c r="WCI9" s="21"/>
      <c r="WCJ9" s="21"/>
      <c r="WCK9" s="21"/>
      <c r="WCL9" s="21"/>
      <c r="WCM9" s="21"/>
      <c r="WCN9" s="21"/>
      <c r="WCO9" s="21"/>
      <c r="WCP9" s="21"/>
      <c r="WCQ9" s="21"/>
      <c r="WCR9" s="21"/>
      <c r="WCS9" s="21"/>
      <c r="WCT9" s="21"/>
      <c r="WCU9" s="21"/>
      <c r="WCV9" s="21"/>
      <c r="WCW9" s="21"/>
      <c r="WCX9" s="21"/>
      <c r="WCY9" s="21"/>
      <c r="WCZ9" s="21"/>
      <c r="WDA9" s="21"/>
      <c r="WDB9" s="21"/>
      <c r="WDC9" s="21"/>
      <c r="WDD9" s="21"/>
      <c r="WDE9" s="21"/>
      <c r="WDF9" s="21"/>
      <c r="WDG9" s="21"/>
      <c r="WDH9" s="21"/>
      <c r="WDI9" s="21"/>
      <c r="WDJ9" s="21"/>
      <c r="WDK9" s="21"/>
      <c r="WDL9" s="21"/>
      <c r="WDM9" s="21"/>
      <c r="WDN9" s="21"/>
      <c r="WDO9" s="21"/>
      <c r="WDP9" s="21"/>
      <c r="WDQ9" s="21"/>
      <c r="WDR9" s="21"/>
      <c r="WDS9" s="21"/>
      <c r="WDT9" s="21"/>
      <c r="WDU9" s="21"/>
      <c r="WDV9" s="21"/>
      <c r="WDW9" s="21"/>
      <c r="WDX9" s="21"/>
      <c r="WDY9" s="21"/>
      <c r="WDZ9" s="21"/>
      <c r="WEA9" s="21"/>
      <c r="WEB9" s="21"/>
      <c r="WEC9" s="21"/>
      <c r="WED9" s="21"/>
      <c r="WEE9" s="21"/>
      <c r="WEF9" s="21"/>
      <c r="WEG9" s="21"/>
      <c r="WEH9" s="21"/>
      <c r="WEI9" s="21"/>
      <c r="WEJ9" s="21"/>
      <c r="WEK9" s="21"/>
      <c r="WEL9" s="21"/>
      <c r="WEM9" s="21"/>
      <c r="WEN9" s="21"/>
      <c r="WEO9" s="21"/>
      <c r="WEP9" s="21"/>
      <c r="WEQ9" s="21"/>
      <c r="WER9" s="21"/>
      <c r="WES9" s="21"/>
      <c r="WET9" s="21"/>
      <c r="WEU9" s="21"/>
      <c r="WEV9" s="21"/>
      <c r="WEW9" s="21"/>
      <c r="WEX9" s="21"/>
      <c r="WEY9" s="21"/>
      <c r="WEZ9" s="21"/>
      <c r="WFA9" s="21"/>
      <c r="WFB9" s="21"/>
      <c r="WFC9" s="21"/>
      <c r="WFD9" s="21"/>
      <c r="WFE9" s="21"/>
      <c r="WFF9" s="21"/>
      <c r="WFG9" s="21"/>
      <c r="WFH9" s="21"/>
      <c r="WFI9" s="21"/>
      <c r="WFJ9" s="21"/>
      <c r="WFK9" s="21"/>
      <c r="WFL9" s="21"/>
      <c r="WFM9" s="21"/>
      <c r="WFN9" s="21"/>
      <c r="WFO9" s="21"/>
      <c r="WFP9" s="21"/>
      <c r="WFQ9" s="21"/>
      <c r="WFR9" s="21"/>
      <c r="WFS9" s="21"/>
      <c r="WFT9" s="21"/>
      <c r="WFU9" s="21"/>
      <c r="WFV9" s="21"/>
      <c r="WFW9" s="21"/>
      <c r="WFX9" s="21"/>
      <c r="WFY9" s="21"/>
      <c r="WFZ9" s="21"/>
      <c r="WGA9" s="21"/>
      <c r="WGB9" s="21"/>
      <c r="WGC9" s="21"/>
      <c r="WGD9" s="21"/>
      <c r="WGE9" s="21"/>
      <c r="WGF9" s="21"/>
      <c r="WGG9" s="21"/>
      <c r="WGH9" s="21"/>
      <c r="WGI9" s="21"/>
      <c r="WGJ9" s="21"/>
      <c r="WGK9" s="21"/>
      <c r="WGL9" s="21"/>
      <c r="WGM9" s="21"/>
      <c r="WGN9" s="21"/>
      <c r="WGO9" s="21"/>
      <c r="WGP9" s="21"/>
      <c r="WGQ9" s="21"/>
      <c r="WGR9" s="21"/>
      <c r="WGS9" s="21"/>
      <c r="WGT9" s="21"/>
      <c r="WGU9" s="21"/>
      <c r="WGV9" s="21"/>
      <c r="WGW9" s="21"/>
      <c r="WGX9" s="21"/>
      <c r="WGY9" s="21"/>
      <c r="WGZ9" s="21"/>
      <c r="WHA9" s="21"/>
      <c r="WHB9" s="21"/>
      <c r="WHC9" s="21"/>
      <c r="WHD9" s="21"/>
      <c r="WHE9" s="21"/>
      <c r="WHF9" s="21"/>
      <c r="WHG9" s="21"/>
      <c r="WHH9" s="21"/>
      <c r="WHI9" s="21"/>
      <c r="WHJ9" s="21"/>
      <c r="WHK9" s="21"/>
      <c r="WHL9" s="21"/>
      <c r="WHM9" s="21"/>
      <c r="WHN9" s="21"/>
      <c r="WHO9" s="21"/>
      <c r="WHP9" s="21"/>
      <c r="WHQ9" s="21"/>
      <c r="WHR9" s="21"/>
      <c r="WHS9" s="21"/>
      <c r="WHT9" s="21"/>
      <c r="WHU9" s="21"/>
      <c r="WHV9" s="21"/>
      <c r="WHW9" s="21"/>
      <c r="WHX9" s="21"/>
      <c r="WHY9" s="21"/>
      <c r="WHZ9" s="21"/>
      <c r="WIA9" s="21"/>
      <c r="WIB9" s="21"/>
      <c r="WIC9" s="21"/>
      <c r="WID9" s="21"/>
      <c r="WIE9" s="21"/>
      <c r="WIF9" s="21"/>
      <c r="WIG9" s="21"/>
      <c r="WIH9" s="21"/>
      <c r="WII9" s="21"/>
      <c r="WIJ9" s="21"/>
      <c r="WIK9" s="21"/>
      <c r="WIL9" s="21"/>
      <c r="WIM9" s="21"/>
      <c r="WIN9" s="21"/>
      <c r="WIO9" s="21"/>
      <c r="WIP9" s="21"/>
      <c r="WIQ9" s="21"/>
      <c r="WIR9" s="21"/>
      <c r="WIS9" s="21"/>
      <c r="WIT9" s="21"/>
      <c r="WIU9" s="21"/>
      <c r="WIV9" s="21"/>
      <c r="WIW9" s="21"/>
      <c r="WIX9" s="21"/>
      <c r="WIY9" s="21"/>
      <c r="WIZ9" s="21"/>
      <c r="WJA9" s="21"/>
      <c r="WJB9" s="21"/>
      <c r="WJC9" s="21"/>
      <c r="WJD9" s="21"/>
      <c r="WJE9" s="21"/>
      <c r="WJF9" s="21"/>
      <c r="WJG9" s="21"/>
      <c r="WJH9" s="21"/>
      <c r="WJI9" s="21"/>
      <c r="WJJ9" s="21"/>
      <c r="WJK9" s="21"/>
      <c r="WJL9" s="21"/>
      <c r="WJM9" s="21"/>
      <c r="WJN9" s="21"/>
      <c r="WJO9" s="21"/>
      <c r="WJP9" s="21"/>
      <c r="WJQ9" s="21"/>
      <c r="WJR9" s="21"/>
      <c r="WJS9" s="21"/>
      <c r="WJT9" s="21"/>
      <c r="WJU9" s="21"/>
      <c r="WJV9" s="21"/>
      <c r="WJW9" s="21"/>
      <c r="WJX9" s="21"/>
      <c r="WJY9" s="21"/>
      <c r="WJZ9" s="21"/>
      <c r="WKA9" s="21"/>
      <c r="WKB9" s="21"/>
      <c r="WKC9" s="21"/>
      <c r="WKD9" s="21"/>
      <c r="WKE9" s="21"/>
      <c r="WKF9" s="21"/>
      <c r="WKG9" s="21"/>
      <c r="WKH9" s="21"/>
      <c r="WKI9" s="21"/>
      <c r="WKJ9" s="21"/>
      <c r="WKK9" s="21"/>
      <c r="WKL9" s="21"/>
      <c r="WKM9" s="21"/>
      <c r="WKN9" s="21"/>
      <c r="WKO9" s="21"/>
      <c r="WKP9" s="21"/>
      <c r="WKQ9" s="21"/>
      <c r="WKR9" s="21"/>
      <c r="WKS9" s="21"/>
      <c r="WKT9" s="21"/>
      <c r="WKU9" s="21"/>
      <c r="WKV9" s="21"/>
      <c r="WKW9" s="21"/>
      <c r="WKX9" s="21"/>
      <c r="WKY9" s="21"/>
      <c r="WKZ9" s="21"/>
      <c r="WLA9" s="21"/>
      <c r="WLB9" s="21"/>
      <c r="WLC9" s="21"/>
      <c r="WLD9" s="21"/>
      <c r="WLE9" s="21"/>
      <c r="WLF9" s="21"/>
      <c r="WLG9" s="21"/>
      <c r="WLH9" s="21"/>
      <c r="WLI9" s="21"/>
      <c r="WLJ9" s="21"/>
      <c r="WLK9" s="21"/>
      <c r="WLL9" s="21"/>
      <c r="WLM9" s="21"/>
      <c r="WLN9" s="21"/>
      <c r="WLO9" s="21"/>
      <c r="WLP9" s="21"/>
      <c r="WLQ9" s="21"/>
      <c r="WLR9" s="21"/>
      <c r="WLS9" s="21"/>
      <c r="WLT9" s="21"/>
      <c r="WLU9" s="21"/>
      <c r="WLV9" s="21"/>
      <c r="WLW9" s="21"/>
      <c r="WLX9" s="21"/>
      <c r="WLY9" s="21"/>
      <c r="WLZ9" s="21"/>
      <c r="WMA9" s="21"/>
      <c r="WMB9" s="21"/>
      <c r="WMC9" s="21"/>
      <c r="WMD9" s="21"/>
      <c r="WME9" s="21"/>
      <c r="WMF9" s="21"/>
      <c r="WMG9" s="21"/>
      <c r="WMH9" s="21"/>
      <c r="WMI9" s="21"/>
      <c r="WMJ9" s="21"/>
      <c r="WMK9" s="21"/>
      <c r="WML9" s="21"/>
      <c r="WMM9" s="21"/>
      <c r="WMN9" s="21"/>
      <c r="WMO9" s="21"/>
      <c r="WMP9" s="21"/>
      <c r="WMQ9" s="21"/>
      <c r="WMR9" s="21"/>
      <c r="WMS9" s="21"/>
      <c r="WMT9" s="21"/>
      <c r="WMU9" s="21"/>
      <c r="WMV9" s="21"/>
      <c r="WMW9" s="21"/>
      <c r="WMX9" s="21"/>
      <c r="WMY9" s="21"/>
      <c r="WMZ9" s="21"/>
      <c r="WNA9" s="21"/>
      <c r="WNB9" s="21"/>
      <c r="WNC9" s="21"/>
      <c r="WND9" s="21"/>
      <c r="WNE9" s="21"/>
      <c r="WNF9" s="21"/>
      <c r="WNG9" s="21"/>
      <c r="WNH9" s="21"/>
      <c r="WNI9" s="21"/>
      <c r="WNJ9" s="21"/>
      <c r="WNK9" s="21"/>
      <c r="WNL9" s="21"/>
      <c r="WNM9" s="21"/>
      <c r="WNN9" s="21"/>
      <c r="WNO9" s="21"/>
      <c r="WNP9" s="21"/>
      <c r="WNQ9" s="21"/>
      <c r="WNR9" s="21"/>
      <c r="WNS9" s="21"/>
      <c r="WNT9" s="21"/>
      <c r="WNU9" s="21"/>
      <c r="WNV9" s="21"/>
      <c r="WNW9" s="21"/>
      <c r="WNX9" s="21"/>
      <c r="WNY9" s="21"/>
      <c r="WNZ9" s="21"/>
      <c r="WOA9" s="21"/>
      <c r="WOB9" s="21"/>
      <c r="WOC9" s="21"/>
      <c r="WOD9" s="21"/>
      <c r="WOE9" s="21"/>
      <c r="WOF9" s="21"/>
      <c r="WOG9" s="21"/>
      <c r="WOH9" s="21"/>
      <c r="WOI9" s="21"/>
      <c r="WOJ9" s="21"/>
      <c r="WOK9" s="21"/>
      <c r="WOL9" s="21"/>
      <c r="WOM9" s="21"/>
      <c r="WON9" s="21"/>
      <c r="WOO9" s="21"/>
      <c r="WOP9" s="21"/>
      <c r="WOQ9" s="21"/>
      <c r="WOR9" s="21"/>
      <c r="WOS9" s="21"/>
      <c r="WOT9" s="21"/>
      <c r="WOU9" s="21"/>
      <c r="WOV9" s="21"/>
      <c r="WOW9" s="21"/>
      <c r="WOX9" s="21"/>
      <c r="WOY9" s="21"/>
      <c r="WOZ9" s="21"/>
      <c r="WPA9" s="21"/>
      <c r="WPB9" s="21"/>
      <c r="WPC9" s="21"/>
      <c r="WPD9" s="21"/>
      <c r="WPE9" s="21"/>
      <c r="WPF9" s="21"/>
      <c r="WPG9" s="21"/>
      <c r="WPH9" s="21"/>
      <c r="WPI9" s="21"/>
      <c r="WPJ9" s="21"/>
      <c r="WPK9" s="21"/>
      <c r="WPL9" s="21"/>
      <c r="WPM9" s="21"/>
      <c r="WPN9" s="21"/>
      <c r="WPO9" s="21"/>
      <c r="WPP9" s="21"/>
      <c r="WPQ9" s="21"/>
      <c r="WPR9" s="21"/>
      <c r="WPS9" s="21"/>
      <c r="WPT9" s="21"/>
      <c r="WPU9" s="21"/>
      <c r="WPV9" s="21"/>
      <c r="WPW9" s="21"/>
      <c r="WPX9" s="21"/>
      <c r="WPY9" s="21"/>
      <c r="WPZ9" s="21"/>
      <c r="WQA9" s="21"/>
      <c r="WQB9" s="21"/>
      <c r="WQC9" s="21"/>
      <c r="WQD9" s="21"/>
      <c r="WQE9" s="21"/>
      <c r="WQF9" s="21"/>
      <c r="WQG9" s="21"/>
      <c r="WQH9" s="21"/>
      <c r="WQI9" s="21"/>
      <c r="WQJ9" s="21"/>
      <c r="WQK9" s="21"/>
      <c r="WQL9" s="21"/>
      <c r="WQM9" s="21"/>
      <c r="WQN9" s="21"/>
      <c r="WQO9" s="21"/>
      <c r="WQP9" s="21"/>
      <c r="WQQ9" s="21"/>
      <c r="WQR9" s="21"/>
      <c r="WQS9" s="21"/>
      <c r="WQT9" s="21"/>
      <c r="WQU9" s="21"/>
      <c r="WQV9" s="21"/>
      <c r="WQW9" s="21"/>
      <c r="WQX9" s="21"/>
      <c r="WQY9" s="21"/>
      <c r="WQZ9" s="21"/>
      <c r="WRA9" s="21"/>
      <c r="WRB9" s="21"/>
      <c r="WRC9" s="21"/>
      <c r="WRD9" s="21"/>
      <c r="WRE9" s="21"/>
      <c r="WRF9" s="21"/>
      <c r="WRG9" s="21"/>
      <c r="WRH9" s="21"/>
      <c r="WRI9" s="21"/>
      <c r="WRJ9" s="21"/>
      <c r="WRK9" s="21"/>
      <c r="WRL9" s="21"/>
      <c r="WRM9" s="21"/>
      <c r="WRN9" s="21"/>
      <c r="WRO9" s="21"/>
      <c r="WRP9" s="21"/>
      <c r="WRQ9" s="21"/>
      <c r="WRR9" s="21"/>
      <c r="WRS9" s="21"/>
      <c r="WRT9" s="21"/>
      <c r="WRU9" s="21"/>
      <c r="WRV9" s="21"/>
      <c r="WRW9" s="21"/>
      <c r="WRX9" s="21"/>
      <c r="WRY9" s="21"/>
      <c r="WRZ9" s="21"/>
      <c r="WSA9" s="21"/>
      <c r="WSB9" s="21"/>
      <c r="WSC9" s="21"/>
      <c r="WSD9" s="21"/>
      <c r="WSE9" s="21"/>
      <c r="WSF9" s="21"/>
      <c r="WSG9" s="21"/>
      <c r="WSH9" s="21"/>
      <c r="WSI9" s="21"/>
      <c r="WSJ9" s="21"/>
      <c r="WSK9" s="21"/>
      <c r="WSL9" s="21"/>
      <c r="WSM9" s="21"/>
      <c r="WSN9" s="21"/>
      <c r="WSO9" s="21"/>
      <c r="WSP9" s="21"/>
      <c r="WSQ9" s="21"/>
      <c r="WSR9" s="21"/>
      <c r="WSS9" s="21"/>
      <c r="WST9" s="21"/>
      <c r="WSU9" s="21"/>
      <c r="WSV9" s="21"/>
      <c r="WSW9" s="21"/>
      <c r="WSX9" s="21"/>
      <c r="WSY9" s="21"/>
      <c r="WSZ9" s="21"/>
      <c r="WTA9" s="21"/>
      <c r="WTB9" s="21"/>
      <c r="WTC9" s="21"/>
      <c r="WTD9" s="21"/>
      <c r="WTE9" s="21"/>
      <c r="WTF9" s="21"/>
      <c r="WTG9" s="21"/>
      <c r="WTH9" s="21"/>
      <c r="WTI9" s="21"/>
      <c r="WTJ9" s="21"/>
      <c r="WTK9" s="21"/>
      <c r="WTL9" s="21"/>
      <c r="WTM9" s="21"/>
      <c r="WTN9" s="21"/>
      <c r="WTO9" s="21"/>
      <c r="WTP9" s="21"/>
      <c r="WTQ9" s="21"/>
      <c r="WTR9" s="21"/>
      <c r="WTS9" s="21"/>
      <c r="WTT9" s="21"/>
      <c r="WTU9" s="21"/>
      <c r="WTV9" s="21"/>
      <c r="WTW9" s="21"/>
      <c r="WTX9" s="21"/>
      <c r="WTY9" s="21"/>
      <c r="WTZ9" s="21"/>
      <c r="WUA9" s="21"/>
      <c r="WUB9" s="21"/>
      <c r="WUC9" s="21"/>
      <c r="WUD9" s="21"/>
      <c r="WUE9" s="21"/>
      <c r="WUF9" s="21"/>
      <c r="WUG9" s="21"/>
      <c r="WUH9" s="21"/>
      <c r="WUI9" s="21"/>
      <c r="WUJ9" s="21"/>
      <c r="WUK9" s="21"/>
      <c r="WUL9" s="21"/>
      <c r="WUM9" s="21"/>
      <c r="WUN9" s="21"/>
      <c r="WUO9" s="21"/>
      <c r="WUP9" s="21"/>
      <c r="WUQ9" s="21"/>
      <c r="WUR9" s="21"/>
      <c r="WUS9" s="21"/>
      <c r="WUT9" s="21"/>
      <c r="WUU9" s="21"/>
      <c r="WUV9" s="21"/>
      <c r="WUW9" s="21"/>
      <c r="WUX9" s="21"/>
      <c r="WUY9" s="21"/>
      <c r="WUZ9" s="21"/>
      <c r="WVA9" s="21"/>
      <c r="WVB9" s="21"/>
      <c r="WVC9" s="21"/>
      <c r="WVD9" s="21"/>
      <c r="WVE9" s="21"/>
      <c r="WVF9" s="21"/>
      <c r="WVG9" s="21"/>
      <c r="WVH9" s="21"/>
      <c r="WVI9" s="21"/>
      <c r="WVJ9" s="21"/>
      <c r="WVK9" s="21"/>
      <c r="WVL9" s="21"/>
      <c r="WVM9" s="21"/>
      <c r="WVN9" s="21"/>
      <c r="WVO9" s="21"/>
      <c r="WVP9" s="21"/>
      <c r="WVQ9" s="21"/>
      <c r="WVR9" s="21"/>
      <c r="WVS9" s="21"/>
      <c r="WVT9" s="21"/>
      <c r="WVU9" s="21"/>
      <c r="WVV9" s="21"/>
      <c r="WVW9" s="21"/>
      <c r="WVX9" s="21"/>
      <c r="WVY9" s="21"/>
      <c r="WVZ9" s="21"/>
      <c r="WWA9" s="21"/>
      <c r="WWB9" s="21"/>
      <c r="WWC9" s="21"/>
      <c r="WWD9" s="21"/>
      <c r="WWE9" s="21"/>
      <c r="WWF9" s="21"/>
      <c r="WWG9" s="21"/>
      <c r="WWH9" s="21"/>
      <c r="WWI9" s="21"/>
      <c r="WWJ9" s="21"/>
      <c r="WWK9" s="21"/>
      <c r="WWL9" s="21"/>
      <c r="WWM9" s="21"/>
      <c r="WWN9" s="21"/>
      <c r="WWO9" s="21"/>
      <c r="WWP9" s="21"/>
      <c r="WWQ9" s="21"/>
      <c r="WWR9" s="21"/>
      <c r="WWS9" s="21"/>
      <c r="WWT9" s="21"/>
      <c r="WWU9" s="21"/>
      <c r="WWV9" s="21"/>
      <c r="WWW9" s="21"/>
      <c r="WWX9" s="21"/>
      <c r="WWY9" s="21"/>
      <c r="WWZ9" s="21"/>
      <c r="WXA9" s="21"/>
      <c r="WXB9" s="21"/>
      <c r="WXC9" s="21"/>
      <c r="WXD9" s="21"/>
      <c r="WXE9" s="21"/>
      <c r="WXF9" s="21"/>
      <c r="WXG9" s="21"/>
      <c r="WXH9" s="21"/>
      <c r="WXI9" s="21"/>
      <c r="WXJ9" s="21"/>
      <c r="WXK9" s="21"/>
      <c r="WXL9" s="21"/>
      <c r="WXM9" s="21"/>
      <c r="WXN9" s="21"/>
      <c r="WXO9" s="21"/>
      <c r="WXP9" s="21"/>
      <c r="WXQ9" s="21"/>
      <c r="WXR9" s="21"/>
      <c r="WXS9" s="21"/>
      <c r="WXT9" s="21"/>
      <c r="WXU9" s="21"/>
      <c r="WXV9" s="21"/>
      <c r="WXW9" s="21"/>
      <c r="WXX9" s="21"/>
      <c r="WXY9" s="21"/>
      <c r="WXZ9" s="21"/>
      <c r="WYA9" s="21"/>
      <c r="WYB9" s="21"/>
      <c r="WYC9" s="21"/>
      <c r="WYD9" s="21"/>
      <c r="WYE9" s="21"/>
      <c r="WYF9" s="21"/>
      <c r="WYG9" s="21"/>
      <c r="WYH9" s="21"/>
      <c r="WYI9" s="21"/>
      <c r="WYJ9" s="21"/>
      <c r="WYK9" s="21"/>
      <c r="WYL9" s="21"/>
      <c r="WYM9" s="21"/>
      <c r="WYN9" s="21"/>
      <c r="WYO9" s="21"/>
      <c r="WYP9" s="21"/>
      <c r="WYQ9" s="21"/>
      <c r="WYR9" s="21"/>
      <c r="WYS9" s="21"/>
      <c r="WYT9" s="21"/>
      <c r="WYU9" s="21"/>
      <c r="WYV9" s="21"/>
      <c r="WYW9" s="21"/>
      <c r="WYX9" s="21"/>
      <c r="WYY9" s="21"/>
      <c r="WYZ9" s="21"/>
      <c r="WZA9" s="21"/>
      <c r="WZB9" s="21"/>
      <c r="WZC9" s="21"/>
      <c r="WZD9" s="21"/>
      <c r="WZE9" s="21"/>
      <c r="WZF9" s="21"/>
      <c r="WZG9" s="21"/>
      <c r="WZH9" s="21"/>
      <c r="WZI9" s="21"/>
      <c r="WZJ9" s="21"/>
      <c r="WZK9" s="21"/>
      <c r="WZL9" s="21"/>
      <c r="WZM9" s="21"/>
      <c r="WZN9" s="21"/>
      <c r="WZO9" s="21"/>
      <c r="WZP9" s="21"/>
      <c r="WZQ9" s="21"/>
      <c r="WZR9" s="21"/>
      <c r="WZS9" s="21"/>
      <c r="WZT9" s="21"/>
      <c r="WZU9" s="21"/>
      <c r="WZV9" s="21"/>
      <c r="WZW9" s="21"/>
      <c r="WZX9" s="21"/>
      <c r="WZY9" s="21"/>
      <c r="WZZ9" s="21"/>
      <c r="XAA9" s="21"/>
      <c r="XAB9" s="21"/>
      <c r="XAC9" s="21"/>
      <c r="XAD9" s="21"/>
      <c r="XAE9" s="21"/>
      <c r="XAF9" s="21"/>
      <c r="XAG9" s="21"/>
      <c r="XAH9" s="21"/>
      <c r="XAI9" s="21"/>
      <c r="XAJ9" s="21"/>
      <c r="XAK9" s="21"/>
      <c r="XAL9" s="21"/>
      <c r="XAM9" s="21"/>
      <c r="XAN9" s="21"/>
      <c r="XAO9" s="21"/>
      <c r="XAP9" s="21"/>
      <c r="XAQ9" s="21"/>
      <c r="XAR9" s="21"/>
      <c r="XAS9" s="21"/>
      <c r="XAT9" s="21"/>
      <c r="XAU9" s="21"/>
      <c r="XAV9" s="21"/>
      <c r="XAW9" s="21"/>
      <c r="XAX9" s="21"/>
      <c r="XAY9" s="21"/>
      <c r="XAZ9" s="21"/>
      <c r="XBA9" s="21"/>
      <c r="XBB9" s="21"/>
      <c r="XBC9" s="21"/>
      <c r="XBD9" s="21"/>
      <c r="XBE9" s="21"/>
      <c r="XBF9" s="21"/>
      <c r="XBG9" s="21"/>
      <c r="XBH9" s="21"/>
      <c r="XBI9" s="21"/>
      <c r="XBJ9" s="21"/>
      <c r="XBK9" s="21"/>
      <c r="XBL9" s="21"/>
      <c r="XBM9" s="21"/>
      <c r="XBN9" s="21"/>
      <c r="XBO9" s="21"/>
      <c r="XBP9" s="21"/>
      <c r="XBQ9" s="21"/>
      <c r="XBR9" s="21"/>
      <c r="XBS9" s="21"/>
      <c r="XBT9" s="21"/>
      <c r="XBU9" s="21"/>
      <c r="XBV9" s="21"/>
      <c r="XBW9" s="21"/>
      <c r="XBX9" s="21"/>
      <c r="XBY9" s="21"/>
      <c r="XBZ9" s="21"/>
      <c r="XCA9" s="21"/>
      <c r="XCB9" s="21"/>
      <c r="XCC9" s="21"/>
      <c r="XCD9" s="21"/>
      <c r="XCE9" s="21"/>
      <c r="XCF9" s="21"/>
      <c r="XCG9" s="21"/>
      <c r="XCH9" s="21"/>
      <c r="XCI9" s="21"/>
      <c r="XCJ9" s="21"/>
      <c r="XCK9" s="21"/>
      <c r="XCL9" s="21"/>
      <c r="XCM9" s="21"/>
      <c r="XCN9" s="21"/>
      <c r="XCO9" s="21"/>
      <c r="XCP9" s="21"/>
      <c r="XCQ9" s="21"/>
      <c r="XCR9" s="21"/>
      <c r="XCS9" s="21"/>
      <c r="XCT9" s="21"/>
      <c r="XCU9" s="21"/>
      <c r="XCV9" s="21"/>
      <c r="XCW9" s="21"/>
      <c r="XCX9" s="21"/>
      <c r="XCY9" s="21"/>
      <c r="XCZ9" s="21"/>
      <c r="XDA9" s="21"/>
    </row>
    <row r="10" spans="2:16384" ht="14.4" thickBot="1" x14ac:dyDescent="0.3">
      <c r="B10" s="461" t="s">
        <v>150</v>
      </c>
      <c r="C10" s="462" t="s">
        <v>151</v>
      </c>
      <c r="D10" s="463" t="s">
        <v>79</v>
      </c>
      <c r="E10" s="464" t="s">
        <v>146</v>
      </c>
      <c r="F10" s="465">
        <v>2</v>
      </c>
      <c r="G10" s="1493">
        <v>58.6</v>
      </c>
      <c r="H10" s="271">
        <v>60.45</v>
      </c>
      <c r="I10" s="271">
        <v>57.508380664160839</v>
      </c>
      <c r="J10" s="271">
        <v>57.679339247338142</v>
      </c>
      <c r="K10" s="271">
        <v>57.962641199667033</v>
      </c>
      <c r="L10" s="272">
        <v>58.135175213317723</v>
      </c>
      <c r="M10" s="272">
        <v>58.138949368882749</v>
      </c>
      <c r="N10" s="272">
        <v>57.910734912165374</v>
      </c>
      <c r="O10" s="272">
        <v>57.55939257500642</v>
      </c>
      <c r="P10" s="272">
        <v>57.105789071637595</v>
      </c>
      <c r="Q10" s="272">
        <v>56.54523754454592</v>
      </c>
      <c r="R10" s="272">
        <v>51.790725547938152</v>
      </c>
      <c r="S10" s="272">
        <v>44.687514020283068</v>
      </c>
      <c r="T10" s="272">
        <v>39.79510045914779</v>
      </c>
      <c r="U10" s="272">
        <v>40.868361953490989</v>
      </c>
      <c r="V10" s="272">
        <v>47.817717610331108</v>
      </c>
      <c r="W10" s="272">
        <v>56.157273461251343</v>
      </c>
      <c r="X10" s="272">
        <v>61.59681746666088</v>
      </c>
      <c r="Y10" s="272">
        <v>64.205773292886221</v>
      </c>
      <c r="Z10" s="272">
        <v>65.446153487448626</v>
      </c>
      <c r="AA10" s="272">
        <v>66.737247700535747</v>
      </c>
      <c r="AB10" s="272"/>
      <c r="AC10" s="272"/>
      <c r="AD10" s="272"/>
      <c r="AE10" s="272"/>
      <c r="AF10" s="272"/>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c r="BHB10" s="21"/>
      <c r="BHC10" s="21"/>
      <c r="BHD10" s="21"/>
      <c r="BHE10" s="21"/>
      <c r="BHF10" s="21"/>
      <c r="BHG10" s="21"/>
      <c r="BHH10" s="21"/>
      <c r="BHI10" s="21"/>
      <c r="BHJ10" s="21"/>
      <c r="BHK10" s="21"/>
      <c r="BHL10" s="21"/>
      <c r="BHM10" s="21"/>
      <c r="BHN10" s="21"/>
      <c r="BHO10" s="21"/>
      <c r="BHP10" s="21"/>
      <c r="BHQ10" s="21"/>
      <c r="BHR10" s="21"/>
      <c r="BHS10" s="21"/>
      <c r="BHT10" s="21"/>
      <c r="BHU10" s="21"/>
      <c r="BHV10" s="21"/>
      <c r="BHW10" s="21"/>
      <c r="BHX10" s="21"/>
      <c r="BHY10" s="21"/>
      <c r="BHZ10" s="21"/>
      <c r="BIA10" s="21"/>
      <c r="BIB10" s="21"/>
      <c r="BIC10" s="21"/>
      <c r="BID10" s="21"/>
      <c r="BIE10" s="21"/>
      <c r="BIF10" s="21"/>
      <c r="BIG10" s="21"/>
      <c r="BIH10" s="21"/>
      <c r="BII10" s="21"/>
      <c r="BIJ10" s="21"/>
      <c r="BIK10" s="21"/>
      <c r="BIL10" s="21"/>
      <c r="BIM10" s="21"/>
      <c r="BIN10" s="21"/>
      <c r="BIO10" s="21"/>
      <c r="BIP10" s="21"/>
      <c r="BIQ10" s="21"/>
      <c r="BIR10" s="21"/>
      <c r="BIS10" s="21"/>
      <c r="BIT10" s="21"/>
      <c r="BIU10" s="21"/>
      <c r="BIV10" s="21"/>
      <c r="BIW10" s="21"/>
      <c r="BIX10" s="21"/>
      <c r="BIY10" s="21"/>
      <c r="BIZ10" s="21"/>
      <c r="BJA10" s="21"/>
      <c r="BJB10" s="21"/>
      <c r="BJC10" s="21"/>
      <c r="BJD10" s="21"/>
      <c r="BJE10" s="21"/>
      <c r="BJF10" s="21"/>
      <c r="BJG10" s="21"/>
      <c r="BJH10" s="21"/>
      <c r="BJI10" s="21"/>
      <c r="BJJ10" s="21"/>
      <c r="BJK10" s="21"/>
      <c r="BJL10" s="21"/>
      <c r="BJM10" s="21"/>
      <c r="BJN10" s="21"/>
      <c r="BJO10" s="21"/>
      <c r="BJP10" s="21"/>
      <c r="BJQ10" s="21"/>
      <c r="BJR10" s="21"/>
      <c r="BJS10" s="21"/>
      <c r="BJT10" s="21"/>
      <c r="BJU10" s="21"/>
      <c r="BJV10" s="21"/>
      <c r="BJW10" s="21"/>
      <c r="BJX10" s="21"/>
      <c r="BJY10" s="21"/>
      <c r="BJZ10" s="21"/>
      <c r="BKA10" s="21"/>
      <c r="BKB10" s="21"/>
      <c r="BKC10" s="21"/>
      <c r="BKD10" s="21"/>
      <c r="BKE10" s="21"/>
      <c r="BKF10" s="21"/>
      <c r="BKG10" s="21"/>
      <c r="BKH10" s="21"/>
      <c r="BKI10" s="21"/>
      <c r="BKJ10" s="21"/>
      <c r="BKK10" s="21"/>
      <c r="BKL10" s="21"/>
      <c r="BKM10" s="21"/>
      <c r="BKN10" s="21"/>
      <c r="BKO10" s="21"/>
      <c r="BKP10" s="21"/>
      <c r="BKQ10" s="21"/>
      <c r="BKR10" s="21"/>
      <c r="BKS10" s="21"/>
      <c r="BKT10" s="21"/>
      <c r="BKU10" s="21"/>
      <c r="BKV10" s="21"/>
      <c r="BKW10" s="21"/>
      <c r="BKX10" s="21"/>
      <c r="BKY10" s="21"/>
      <c r="BKZ10" s="21"/>
      <c r="BLA10" s="21"/>
      <c r="BLB10" s="21"/>
      <c r="BLC10" s="21"/>
      <c r="BLD10" s="21"/>
      <c r="BLE10" s="21"/>
      <c r="BLF10" s="21"/>
      <c r="BLG10" s="21"/>
      <c r="BLH10" s="21"/>
      <c r="BLI10" s="21"/>
      <c r="BLJ10" s="21"/>
      <c r="BLK10" s="21"/>
      <c r="BLL10" s="21"/>
      <c r="BLM10" s="21"/>
      <c r="BLN10" s="21"/>
      <c r="BLO10" s="21"/>
      <c r="BLP10" s="21"/>
      <c r="BLQ10" s="21"/>
      <c r="BLR10" s="21"/>
      <c r="BLS10" s="21"/>
      <c r="BLT10" s="21"/>
      <c r="BLU10" s="21"/>
      <c r="BLV10" s="21"/>
      <c r="BLW10" s="21"/>
      <c r="BLX10" s="21"/>
      <c r="BLY10" s="21"/>
      <c r="BLZ10" s="21"/>
      <c r="BMA10" s="21"/>
      <c r="BMB10" s="21"/>
      <c r="BMC10" s="21"/>
      <c r="BMD10" s="21"/>
      <c r="BME10" s="21"/>
      <c r="BMF10" s="21"/>
      <c r="BMG10" s="21"/>
      <c r="BMH10" s="21"/>
      <c r="BMI10" s="21"/>
      <c r="BMJ10" s="21"/>
      <c r="BMK10" s="21"/>
      <c r="BML10" s="21"/>
      <c r="BMM10" s="21"/>
      <c r="BMN10" s="21"/>
      <c r="BMO10" s="21"/>
      <c r="BMP10" s="21"/>
      <c r="BMQ10" s="21"/>
      <c r="BMR10" s="21"/>
      <c r="BMS10" s="21"/>
      <c r="BMT10" s="21"/>
      <c r="BMU10" s="21"/>
      <c r="BMV10" s="21"/>
      <c r="BMW10" s="21"/>
      <c r="BMX10" s="21"/>
      <c r="BMY10" s="21"/>
      <c r="BMZ10" s="21"/>
      <c r="BNA10" s="21"/>
      <c r="BNB10" s="21"/>
      <c r="BNC10" s="21"/>
      <c r="BND10" s="21"/>
      <c r="BNE10" s="21"/>
      <c r="BNF10" s="21"/>
      <c r="BNG10" s="21"/>
      <c r="BNH10" s="21"/>
      <c r="BNI10" s="21"/>
      <c r="BNJ10" s="21"/>
      <c r="BNK10" s="21"/>
      <c r="BNL10" s="21"/>
      <c r="BNM10" s="21"/>
      <c r="BNN10" s="21"/>
      <c r="BNO10" s="21"/>
      <c r="BNP10" s="21"/>
      <c r="BNQ10" s="21"/>
      <c r="BNR10" s="21"/>
      <c r="BNS10" s="21"/>
      <c r="BNT10" s="21"/>
      <c r="BNU10" s="21"/>
      <c r="BNV10" s="21"/>
      <c r="BNW10" s="21"/>
      <c r="BNX10" s="21"/>
      <c r="BNY10" s="21"/>
      <c r="BNZ10" s="21"/>
      <c r="BOA10" s="21"/>
      <c r="BOB10" s="21"/>
      <c r="BOC10" s="21"/>
      <c r="BOD10" s="21"/>
      <c r="BOE10" s="21"/>
      <c r="BOF10" s="21"/>
      <c r="BOG10" s="21"/>
      <c r="BOH10" s="21"/>
      <c r="BOI10" s="21"/>
      <c r="BOJ10" s="21"/>
      <c r="BOK10" s="21"/>
      <c r="BOL10" s="21"/>
      <c r="BOM10" s="21"/>
      <c r="BON10" s="21"/>
      <c r="BOO10" s="21"/>
      <c r="BOP10" s="21"/>
      <c r="BOQ10" s="21"/>
      <c r="BOR10" s="21"/>
      <c r="BOS10" s="21"/>
      <c r="BOT10" s="21"/>
      <c r="BOU10" s="21"/>
      <c r="BOV10" s="21"/>
      <c r="BOW10" s="21"/>
      <c r="BOX10" s="21"/>
      <c r="BOY10" s="21"/>
      <c r="BOZ10" s="21"/>
      <c r="BPA10" s="21"/>
      <c r="BPB10" s="21"/>
      <c r="BPC10" s="21"/>
      <c r="BPD10" s="21"/>
      <c r="BPE10" s="21"/>
      <c r="BPF10" s="21"/>
      <c r="BPG10" s="21"/>
      <c r="BPH10" s="21"/>
      <c r="BPI10" s="21"/>
      <c r="BPJ10" s="21"/>
      <c r="BPK10" s="21"/>
      <c r="BPL10" s="21"/>
      <c r="BPM10" s="21"/>
      <c r="BPN10" s="21"/>
      <c r="BPO10" s="21"/>
      <c r="BPP10" s="21"/>
      <c r="BPQ10" s="21"/>
      <c r="BPR10" s="21"/>
      <c r="BPS10" s="21"/>
      <c r="BPT10" s="21"/>
      <c r="BPU10" s="21"/>
      <c r="BPV10" s="21"/>
      <c r="BPW10" s="21"/>
      <c r="BPX10" s="21"/>
      <c r="BPY10" s="21"/>
      <c r="BPZ10" s="21"/>
      <c r="BQA10" s="21"/>
      <c r="BQB10" s="21"/>
      <c r="BQC10" s="21"/>
      <c r="BQD10" s="21"/>
      <c r="BQE10" s="21"/>
      <c r="BQF10" s="21"/>
      <c r="BQG10" s="21"/>
      <c r="BQH10" s="21"/>
      <c r="BQI10" s="21"/>
      <c r="BQJ10" s="21"/>
      <c r="BQK10" s="21"/>
      <c r="BQL10" s="21"/>
      <c r="BQM10" s="21"/>
      <c r="BQN10" s="21"/>
      <c r="BQO10" s="21"/>
      <c r="BQP10" s="21"/>
      <c r="BQQ10" s="21"/>
      <c r="BQR10" s="21"/>
      <c r="BQS10" s="21"/>
      <c r="BQT10" s="21"/>
      <c r="BQU10" s="21"/>
      <c r="BQV10" s="21"/>
      <c r="BQW10" s="21"/>
      <c r="BQX10" s="21"/>
      <c r="BQY10" s="21"/>
      <c r="BQZ10" s="21"/>
      <c r="BRA10" s="21"/>
      <c r="BRB10" s="21"/>
      <c r="BRC10" s="21"/>
      <c r="BRD10" s="21"/>
      <c r="BRE10" s="21"/>
      <c r="BRF10" s="21"/>
      <c r="BRG10" s="21"/>
      <c r="BRH10" s="21"/>
      <c r="BRI10" s="21"/>
      <c r="BRJ10" s="21"/>
      <c r="BRK10" s="21"/>
      <c r="BRL10" s="21"/>
      <c r="BRM10" s="21"/>
      <c r="BRN10" s="21"/>
      <c r="BRO10" s="21"/>
      <c r="BRP10" s="21"/>
      <c r="BRQ10" s="21"/>
      <c r="BRR10" s="21"/>
      <c r="BRS10" s="21"/>
      <c r="BRT10" s="21"/>
      <c r="BRU10" s="21"/>
      <c r="BRV10" s="21"/>
      <c r="BRW10" s="21"/>
      <c r="BRX10" s="21"/>
      <c r="BRY10" s="21"/>
      <c r="BRZ10" s="21"/>
      <c r="BSA10" s="21"/>
      <c r="BSB10" s="21"/>
      <c r="BSC10" s="21"/>
      <c r="BSD10" s="21"/>
      <c r="BSE10" s="21"/>
      <c r="BSF10" s="21"/>
      <c r="BSG10" s="21"/>
      <c r="BSH10" s="21"/>
      <c r="BSI10" s="21"/>
      <c r="BSJ10" s="21"/>
      <c r="BSK10" s="21"/>
      <c r="BSL10" s="21"/>
      <c r="BSM10" s="21"/>
      <c r="BSN10" s="21"/>
      <c r="BSO10" s="21"/>
      <c r="BSP10" s="21"/>
      <c r="BSQ10" s="21"/>
      <c r="BSR10" s="21"/>
      <c r="BSS10" s="21"/>
      <c r="BST10" s="21"/>
      <c r="BSU10" s="21"/>
      <c r="BSV10" s="21"/>
      <c r="BSW10" s="21"/>
      <c r="BSX10" s="21"/>
      <c r="BSY10" s="21"/>
      <c r="BSZ10" s="21"/>
      <c r="BTA10" s="21"/>
      <c r="BTB10" s="21"/>
      <c r="BTC10" s="21"/>
      <c r="BTD10" s="21"/>
      <c r="BTE10" s="21"/>
      <c r="BTF10" s="21"/>
      <c r="BTG10" s="21"/>
      <c r="BTH10" s="21"/>
      <c r="BTI10" s="21"/>
      <c r="BTJ10" s="21"/>
      <c r="BTK10" s="21"/>
      <c r="BTL10" s="21"/>
      <c r="BTM10" s="21"/>
      <c r="BTN10" s="21"/>
      <c r="BTO10" s="21"/>
      <c r="BTP10" s="21"/>
      <c r="BTQ10" s="21"/>
      <c r="BTR10" s="21"/>
      <c r="BTS10" s="21"/>
      <c r="BTT10" s="21"/>
      <c r="BTU10" s="21"/>
      <c r="BTV10" s="21"/>
      <c r="BTW10" s="21"/>
      <c r="BTX10" s="21"/>
      <c r="BTY10" s="21"/>
      <c r="BTZ10" s="21"/>
      <c r="BUA10" s="21"/>
      <c r="BUB10" s="21"/>
      <c r="BUC10" s="21"/>
      <c r="BUD10" s="21"/>
      <c r="BUE10" s="21"/>
      <c r="BUF10" s="21"/>
      <c r="BUG10" s="21"/>
      <c r="BUH10" s="21"/>
      <c r="BUI10" s="21"/>
      <c r="BUJ10" s="21"/>
      <c r="BUK10" s="21"/>
      <c r="BUL10" s="21"/>
      <c r="BUM10" s="21"/>
      <c r="BUN10" s="21"/>
      <c r="BUO10" s="21"/>
      <c r="BUP10" s="21"/>
      <c r="BUQ10" s="21"/>
      <c r="BUR10" s="21"/>
      <c r="BUS10" s="21"/>
      <c r="BUT10" s="21"/>
      <c r="BUU10" s="21"/>
      <c r="BUV10" s="21"/>
      <c r="BUW10" s="21"/>
      <c r="BUX10" s="21"/>
      <c r="BUY10" s="21"/>
      <c r="BUZ10" s="21"/>
      <c r="BVA10" s="21"/>
      <c r="BVB10" s="21"/>
      <c r="BVC10" s="21"/>
      <c r="BVD10" s="21"/>
      <c r="BVE10" s="21"/>
      <c r="BVF10" s="21"/>
      <c r="BVG10" s="21"/>
      <c r="BVH10" s="21"/>
      <c r="BVI10" s="21"/>
      <c r="BVJ10" s="21"/>
      <c r="BVK10" s="21"/>
      <c r="BVL10" s="21"/>
      <c r="BVM10" s="21"/>
      <c r="BVN10" s="21"/>
      <c r="BVO10" s="21"/>
      <c r="BVP10" s="21"/>
      <c r="BVQ10" s="21"/>
      <c r="BVR10" s="21"/>
      <c r="BVS10" s="21"/>
      <c r="BVT10" s="21"/>
      <c r="BVU10" s="21"/>
      <c r="BVV10" s="21"/>
      <c r="BVW10" s="21"/>
      <c r="BVX10" s="21"/>
      <c r="BVY10" s="21"/>
      <c r="BVZ10" s="21"/>
      <c r="BWA10" s="21"/>
      <c r="BWB10" s="21"/>
      <c r="BWC10" s="21"/>
      <c r="BWD10" s="21"/>
      <c r="BWE10" s="21"/>
      <c r="BWF10" s="21"/>
      <c r="BWG10" s="21"/>
      <c r="BWH10" s="21"/>
      <c r="BWI10" s="21"/>
      <c r="BWJ10" s="21"/>
      <c r="BWK10" s="21"/>
      <c r="BWL10" s="21"/>
      <c r="BWM10" s="21"/>
      <c r="BWN10" s="21"/>
      <c r="BWO10" s="21"/>
      <c r="BWP10" s="21"/>
      <c r="BWQ10" s="21"/>
      <c r="BWR10" s="21"/>
      <c r="BWS10" s="21"/>
      <c r="BWT10" s="21"/>
      <c r="BWU10" s="21"/>
      <c r="BWV10" s="21"/>
      <c r="BWW10" s="21"/>
      <c r="BWX10" s="21"/>
      <c r="BWY10" s="21"/>
      <c r="BWZ10" s="21"/>
      <c r="BXA10" s="21"/>
      <c r="BXB10" s="21"/>
      <c r="BXC10" s="21"/>
      <c r="BXD10" s="21"/>
      <c r="BXE10" s="21"/>
      <c r="BXF10" s="21"/>
      <c r="BXG10" s="21"/>
      <c r="BXH10" s="21"/>
      <c r="BXI10" s="21"/>
      <c r="BXJ10" s="21"/>
      <c r="BXK10" s="21"/>
      <c r="BXL10" s="21"/>
      <c r="BXM10" s="21"/>
      <c r="BXN10" s="21"/>
      <c r="BXO10" s="21"/>
      <c r="BXP10" s="21"/>
      <c r="BXQ10" s="21"/>
      <c r="BXR10" s="21"/>
      <c r="BXS10" s="21"/>
      <c r="BXT10" s="21"/>
      <c r="BXU10" s="21"/>
      <c r="BXV10" s="21"/>
      <c r="BXW10" s="21"/>
      <c r="BXX10" s="21"/>
      <c r="BXY10" s="21"/>
      <c r="BXZ10" s="21"/>
      <c r="BYA10" s="21"/>
      <c r="BYB10" s="21"/>
      <c r="BYC10" s="21"/>
      <c r="BYD10" s="21"/>
      <c r="BYE10" s="21"/>
      <c r="BYF10" s="21"/>
      <c r="BYG10" s="21"/>
      <c r="BYH10" s="21"/>
      <c r="BYI10" s="21"/>
      <c r="BYJ10" s="21"/>
      <c r="BYK10" s="21"/>
      <c r="BYL10" s="21"/>
      <c r="BYM10" s="21"/>
      <c r="BYN10" s="21"/>
      <c r="BYO10" s="21"/>
      <c r="BYP10" s="21"/>
      <c r="BYQ10" s="21"/>
      <c r="BYR10" s="21"/>
      <c r="BYS10" s="21"/>
      <c r="BYT10" s="21"/>
      <c r="BYU10" s="21"/>
      <c r="BYV10" s="21"/>
      <c r="BYW10" s="21"/>
      <c r="BYX10" s="21"/>
      <c r="BYY10" s="21"/>
      <c r="BYZ10" s="21"/>
      <c r="BZA10" s="21"/>
      <c r="BZB10" s="21"/>
      <c r="BZC10" s="21"/>
      <c r="BZD10" s="21"/>
      <c r="BZE10" s="21"/>
      <c r="BZF10" s="21"/>
      <c r="BZG10" s="21"/>
      <c r="BZH10" s="21"/>
      <c r="BZI10" s="21"/>
      <c r="BZJ10" s="21"/>
      <c r="BZK10" s="21"/>
      <c r="BZL10" s="21"/>
      <c r="BZM10" s="21"/>
      <c r="BZN10" s="21"/>
      <c r="BZO10" s="21"/>
      <c r="BZP10" s="21"/>
      <c r="BZQ10" s="21"/>
      <c r="BZR10" s="21"/>
      <c r="BZS10" s="21"/>
      <c r="BZT10" s="21"/>
      <c r="BZU10" s="21"/>
      <c r="BZV10" s="21"/>
      <c r="BZW10" s="21"/>
      <c r="BZX10" s="21"/>
      <c r="BZY10" s="21"/>
      <c r="BZZ10" s="21"/>
      <c r="CAA10" s="21"/>
      <c r="CAB10" s="21"/>
      <c r="CAC10" s="21"/>
      <c r="CAD10" s="21"/>
      <c r="CAE10" s="21"/>
      <c r="CAF10" s="21"/>
      <c r="CAG10" s="21"/>
      <c r="CAH10" s="21"/>
      <c r="CAI10" s="21"/>
      <c r="CAJ10" s="21"/>
      <c r="CAK10" s="21"/>
      <c r="CAL10" s="21"/>
      <c r="CAM10" s="21"/>
      <c r="CAN10" s="21"/>
      <c r="CAO10" s="21"/>
      <c r="CAP10" s="21"/>
      <c r="CAQ10" s="21"/>
      <c r="CAR10" s="21"/>
      <c r="CAS10" s="21"/>
      <c r="CAT10" s="21"/>
      <c r="CAU10" s="21"/>
      <c r="CAV10" s="21"/>
      <c r="CAW10" s="21"/>
      <c r="CAX10" s="21"/>
      <c r="CAY10" s="21"/>
      <c r="CAZ10" s="21"/>
      <c r="CBA10" s="21"/>
      <c r="CBB10" s="21"/>
      <c r="CBC10" s="21"/>
      <c r="CBD10" s="21"/>
      <c r="CBE10" s="21"/>
      <c r="CBF10" s="21"/>
      <c r="CBG10" s="21"/>
      <c r="CBH10" s="21"/>
      <c r="CBI10" s="21"/>
      <c r="CBJ10" s="21"/>
      <c r="CBK10" s="21"/>
      <c r="CBL10" s="21"/>
      <c r="CBM10" s="21"/>
      <c r="CBN10" s="21"/>
      <c r="CBO10" s="21"/>
      <c r="CBP10" s="21"/>
      <c r="CBQ10" s="21"/>
      <c r="CBR10" s="21"/>
      <c r="CBS10" s="21"/>
      <c r="CBT10" s="21"/>
      <c r="CBU10" s="21"/>
      <c r="CBV10" s="21"/>
      <c r="CBW10" s="21"/>
      <c r="CBX10" s="21"/>
      <c r="CBY10" s="21"/>
      <c r="CBZ10" s="21"/>
      <c r="CCA10" s="21"/>
      <c r="CCB10" s="21"/>
      <c r="CCC10" s="21"/>
      <c r="CCD10" s="21"/>
      <c r="CCE10" s="21"/>
      <c r="CCF10" s="21"/>
      <c r="CCG10" s="21"/>
      <c r="CCH10" s="21"/>
      <c r="CCI10" s="21"/>
      <c r="CCJ10" s="21"/>
      <c r="CCK10" s="21"/>
      <c r="CCL10" s="21"/>
      <c r="CCM10" s="21"/>
      <c r="CCN10" s="21"/>
      <c r="CCO10" s="21"/>
      <c r="CCP10" s="21"/>
      <c r="CCQ10" s="21"/>
      <c r="CCR10" s="21"/>
      <c r="CCS10" s="21"/>
      <c r="CCT10" s="21"/>
      <c r="CCU10" s="21"/>
      <c r="CCV10" s="21"/>
      <c r="CCW10" s="21"/>
      <c r="CCX10" s="21"/>
      <c r="CCY10" s="21"/>
      <c r="CCZ10" s="21"/>
      <c r="CDA10" s="21"/>
      <c r="CDB10" s="21"/>
      <c r="CDC10" s="21"/>
      <c r="CDD10" s="21"/>
      <c r="CDE10" s="21"/>
      <c r="CDF10" s="21"/>
      <c r="CDG10" s="21"/>
      <c r="CDH10" s="21"/>
      <c r="CDI10" s="21"/>
      <c r="CDJ10" s="21"/>
      <c r="CDK10" s="21"/>
      <c r="CDL10" s="21"/>
      <c r="CDM10" s="21"/>
      <c r="CDN10" s="21"/>
      <c r="CDO10" s="21"/>
      <c r="CDP10" s="21"/>
      <c r="CDQ10" s="21"/>
      <c r="CDR10" s="21"/>
      <c r="CDS10" s="21"/>
      <c r="CDT10" s="21"/>
      <c r="CDU10" s="21"/>
      <c r="CDV10" s="21"/>
      <c r="CDW10" s="21"/>
      <c r="CDX10" s="21"/>
      <c r="CDY10" s="21"/>
      <c r="CDZ10" s="21"/>
      <c r="CEA10" s="21"/>
      <c r="CEB10" s="21"/>
      <c r="CEC10" s="21"/>
      <c r="CED10" s="21"/>
      <c r="CEE10" s="21"/>
      <c r="CEF10" s="21"/>
      <c r="CEG10" s="21"/>
      <c r="CEH10" s="21"/>
      <c r="CEI10" s="21"/>
      <c r="CEJ10" s="21"/>
      <c r="CEK10" s="21"/>
      <c r="CEL10" s="21"/>
      <c r="CEM10" s="21"/>
      <c r="CEN10" s="21"/>
      <c r="CEO10" s="21"/>
      <c r="CEP10" s="21"/>
      <c r="CEQ10" s="21"/>
      <c r="CER10" s="21"/>
      <c r="CES10" s="21"/>
      <c r="CET10" s="21"/>
      <c r="CEU10" s="21"/>
      <c r="CEV10" s="21"/>
      <c r="CEW10" s="21"/>
      <c r="CEX10" s="21"/>
      <c r="CEY10" s="21"/>
      <c r="CEZ10" s="21"/>
      <c r="CFA10" s="21"/>
      <c r="CFB10" s="21"/>
      <c r="CFC10" s="21"/>
      <c r="CFD10" s="21"/>
      <c r="CFE10" s="21"/>
      <c r="CFF10" s="21"/>
      <c r="CFG10" s="21"/>
      <c r="CFH10" s="21"/>
      <c r="CFI10" s="21"/>
      <c r="CFJ10" s="21"/>
      <c r="CFK10" s="21"/>
      <c r="CFL10" s="21"/>
      <c r="CFM10" s="21"/>
      <c r="CFN10" s="21"/>
      <c r="CFO10" s="21"/>
      <c r="CFP10" s="21"/>
      <c r="CFQ10" s="21"/>
      <c r="CFR10" s="21"/>
      <c r="CFS10" s="21"/>
      <c r="CFT10" s="21"/>
      <c r="CFU10" s="21"/>
      <c r="CFV10" s="21"/>
      <c r="CFW10" s="21"/>
      <c r="CFX10" s="21"/>
      <c r="CFY10" s="21"/>
      <c r="CFZ10" s="21"/>
      <c r="CGA10" s="21"/>
      <c r="CGB10" s="21"/>
      <c r="CGC10" s="21"/>
      <c r="CGD10" s="21"/>
      <c r="CGE10" s="21"/>
      <c r="CGF10" s="21"/>
      <c r="CGG10" s="21"/>
      <c r="CGH10" s="21"/>
      <c r="CGI10" s="21"/>
      <c r="CGJ10" s="21"/>
      <c r="CGK10" s="21"/>
      <c r="CGL10" s="21"/>
      <c r="CGM10" s="21"/>
      <c r="CGN10" s="21"/>
      <c r="CGO10" s="21"/>
      <c r="CGP10" s="21"/>
      <c r="CGQ10" s="21"/>
      <c r="CGR10" s="21"/>
      <c r="CGS10" s="21"/>
      <c r="CGT10" s="21"/>
      <c r="CGU10" s="21"/>
      <c r="CGV10" s="21"/>
      <c r="CGW10" s="21"/>
      <c r="CGX10" s="21"/>
      <c r="CGY10" s="21"/>
      <c r="CGZ10" s="21"/>
      <c r="CHA10" s="21"/>
      <c r="CHB10" s="21"/>
      <c r="CHC10" s="21"/>
      <c r="CHD10" s="21"/>
      <c r="CHE10" s="21"/>
      <c r="CHF10" s="21"/>
      <c r="CHG10" s="21"/>
      <c r="CHH10" s="21"/>
      <c r="CHI10" s="21"/>
      <c r="CHJ10" s="21"/>
      <c r="CHK10" s="21"/>
      <c r="CHL10" s="21"/>
      <c r="CHM10" s="21"/>
      <c r="CHN10" s="21"/>
      <c r="CHO10" s="21"/>
      <c r="CHP10" s="21"/>
      <c r="CHQ10" s="21"/>
      <c r="CHR10" s="21"/>
      <c r="CHS10" s="21"/>
      <c r="CHT10" s="21"/>
      <c r="CHU10" s="21"/>
      <c r="CHV10" s="21"/>
      <c r="CHW10" s="21"/>
      <c r="CHX10" s="21"/>
      <c r="CHY10" s="21"/>
      <c r="CHZ10" s="21"/>
      <c r="CIA10" s="21"/>
      <c r="CIB10" s="21"/>
      <c r="CIC10" s="21"/>
      <c r="CID10" s="21"/>
      <c r="CIE10" s="21"/>
      <c r="CIF10" s="21"/>
      <c r="CIG10" s="21"/>
      <c r="CIH10" s="21"/>
      <c r="CII10" s="21"/>
      <c r="CIJ10" s="21"/>
      <c r="CIK10" s="21"/>
      <c r="CIL10" s="21"/>
      <c r="CIM10" s="21"/>
      <c r="CIN10" s="21"/>
      <c r="CIO10" s="21"/>
      <c r="CIP10" s="21"/>
      <c r="CIQ10" s="21"/>
      <c r="CIR10" s="21"/>
      <c r="CIS10" s="21"/>
      <c r="CIT10" s="21"/>
      <c r="CIU10" s="21"/>
      <c r="CIV10" s="21"/>
      <c r="CIW10" s="21"/>
      <c r="CIX10" s="21"/>
      <c r="CIY10" s="21"/>
      <c r="CIZ10" s="21"/>
      <c r="CJA10" s="21"/>
      <c r="CJB10" s="21"/>
      <c r="CJC10" s="21"/>
      <c r="CJD10" s="21"/>
      <c r="CJE10" s="21"/>
      <c r="CJF10" s="21"/>
      <c r="CJG10" s="21"/>
      <c r="CJH10" s="21"/>
      <c r="CJI10" s="21"/>
      <c r="CJJ10" s="21"/>
      <c r="CJK10" s="21"/>
      <c r="CJL10" s="21"/>
      <c r="CJM10" s="21"/>
      <c r="CJN10" s="21"/>
      <c r="CJO10" s="21"/>
      <c r="CJP10" s="21"/>
      <c r="CJQ10" s="21"/>
      <c r="CJR10" s="21"/>
      <c r="CJS10" s="21"/>
      <c r="CJT10" s="21"/>
      <c r="CJU10" s="21"/>
      <c r="CJV10" s="21"/>
      <c r="CJW10" s="21"/>
      <c r="CJX10" s="21"/>
      <c r="CJY10" s="21"/>
      <c r="CJZ10" s="21"/>
      <c r="CKA10" s="21"/>
      <c r="CKB10" s="21"/>
      <c r="CKC10" s="21"/>
      <c r="CKD10" s="21"/>
      <c r="CKE10" s="21"/>
      <c r="CKF10" s="21"/>
      <c r="CKG10" s="21"/>
      <c r="CKH10" s="21"/>
      <c r="CKI10" s="21"/>
      <c r="CKJ10" s="21"/>
      <c r="CKK10" s="21"/>
      <c r="CKL10" s="21"/>
      <c r="CKM10" s="21"/>
      <c r="CKN10" s="21"/>
      <c r="CKO10" s="21"/>
      <c r="CKP10" s="21"/>
      <c r="CKQ10" s="21"/>
      <c r="CKR10" s="21"/>
      <c r="CKS10" s="21"/>
      <c r="CKT10" s="21"/>
      <c r="CKU10" s="21"/>
      <c r="CKV10" s="21"/>
      <c r="CKW10" s="21"/>
      <c r="CKX10" s="21"/>
      <c r="CKY10" s="21"/>
      <c r="CKZ10" s="21"/>
      <c r="CLA10" s="21"/>
      <c r="CLB10" s="21"/>
      <c r="CLC10" s="21"/>
      <c r="CLD10" s="21"/>
      <c r="CLE10" s="21"/>
      <c r="CLF10" s="21"/>
      <c r="CLG10" s="21"/>
      <c r="CLH10" s="21"/>
      <c r="CLI10" s="21"/>
      <c r="CLJ10" s="21"/>
      <c r="CLK10" s="21"/>
      <c r="CLL10" s="21"/>
      <c r="CLM10" s="21"/>
      <c r="CLN10" s="21"/>
      <c r="CLO10" s="21"/>
      <c r="CLP10" s="21"/>
      <c r="CLQ10" s="21"/>
      <c r="CLR10" s="21"/>
      <c r="CLS10" s="21"/>
      <c r="CLT10" s="21"/>
      <c r="CLU10" s="21"/>
      <c r="CLV10" s="21"/>
      <c r="CLW10" s="21"/>
      <c r="CLX10" s="21"/>
      <c r="CLY10" s="21"/>
      <c r="CLZ10" s="21"/>
      <c r="CMA10" s="21"/>
      <c r="CMB10" s="21"/>
      <c r="CMC10" s="21"/>
      <c r="CMD10" s="21"/>
      <c r="CME10" s="21"/>
      <c r="CMF10" s="21"/>
      <c r="CMG10" s="21"/>
      <c r="CMH10" s="21"/>
      <c r="CMI10" s="21"/>
      <c r="CMJ10" s="21"/>
      <c r="CMK10" s="21"/>
      <c r="CML10" s="21"/>
      <c r="CMM10" s="21"/>
      <c r="CMN10" s="21"/>
      <c r="CMO10" s="21"/>
      <c r="CMP10" s="21"/>
      <c r="CMQ10" s="21"/>
      <c r="CMR10" s="21"/>
      <c r="CMS10" s="21"/>
      <c r="CMT10" s="21"/>
      <c r="CMU10" s="21"/>
      <c r="CMV10" s="21"/>
      <c r="CMW10" s="21"/>
      <c r="CMX10" s="21"/>
      <c r="CMY10" s="21"/>
      <c r="CMZ10" s="21"/>
      <c r="CNA10" s="21"/>
      <c r="CNB10" s="21"/>
      <c r="CNC10" s="21"/>
      <c r="CND10" s="21"/>
      <c r="CNE10" s="21"/>
      <c r="CNF10" s="21"/>
      <c r="CNG10" s="21"/>
      <c r="CNH10" s="21"/>
      <c r="CNI10" s="21"/>
      <c r="CNJ10" s="21"/>
      <c r="CNK10" s="21"/>
      <c r="CNL10" s="21"/>
      <c r="CNM10" s="21"/>
      <c r="CNN10" s="21"/>
      <c r="CNO10" s="21"/>
      <c r="CNP10" s="21"/>
      <c r="CNQ10" s="21"/>
      <c r="CNR10" s="21"/>
      <c r="CNS10" s="21"/>
      <c r="CNT10" s="21"/>
      <c r="CNU10" s="21"/>
      <c r="CNV10" s="21"/>
      <c r="CNW10" s="21"/>
      <c r="CNX10" s="21"/>
      <c r="CNY10" s="21"/>
      <c r="CNZ10" s="21"/>
      <c r="COA10" s="21"/>
      <c r="COB10" s="21"/>
      <c r="COC10" s="21"/>
      <c r="COD10" s="21"/>
      <c r="COE10" s="21"/>
      <c r="COF10" s="21"/>
      <c r="COG10" s="21"/>
      <c r="COH10" s="21"/>
      <c r="COI10" s="21"/>
      <c r="COJ10" s="21"/>
      <c r="COK10" s="21"/>
      <c r="COL10" s="21"/>
      <c r="COM10" s="21"/>
      <c r="CON10" s="21"/>
      <c r="COO10" s="21"/>
      <c r="COP10" s="21"/>
      <c r="COQ10" s="21"/>
      <c r="COR10" s="21"/>
      <c r="COS10" s="21"/>
      <c r="COT10" s="21"/>
      <c r="COU10" s="21"/>
      <c r="COV10" s="21"/>
      <c r="COW10" s="21"/>
      <c r="COX10" s="21"/>
      <c r="COY10" s="21"/>
      <c r="COZ10" s="21"/>
      <c r="CPA10" s="21"/>
      <c r="CPB10" s="21"/>
      <c r="CPC10" s="21"/>
      <c r="CPD10" s="21"/>
      <c r="CPE10" s="21"/>
      <c r="CPF10" s="21"/>
      <c r="CPG10" s="21"/>
      <c r="CPH10" s="21"/>
      <c r="CPI10" s="21"/>
      <c r="CPJ10" s="21"/>
      <c r="CPK10" s="21"/>
      <c r="CPL10" s="21"/>
      <c r="CPM10" s="21"/>
      <c r="CPN10" s="21"/>
      <c r="CPO10" s="21"/>
      <c r="CPP10" s="21"/>
      <c r="CPQ10" s="21"/>
      <c r="CPR10" s="21"/>
      <c r="CPS10" s="21"/>
      <c r="CPT10" s="21"/>
      <c r="CPU10" s="21"/>
      <c r="CPV10" s="21"/>
      <c r="CPW10" s="21"/>
      <c r="CPX10" s="21"/>
      <c r="CPY10" s="21"/>
      <c r="CPZ10" s="21"/>
      <c r="CQA10" s="21"/>
      <c r="CQB10" s="21"/>
      <c r="CQC10" s="21"/>
      <c r="CQD10" s="21"/>
      <c r="CQE10" s="21"/>
      <c r="CQF10" s="21"/>
      <c r="CQG10" s="21"/>
      <c r="CQH10" s="21"/>
      <c r="CQI10" s="21"/>
      <c r="CQJ10" s="21"/>
      <c r="CQK10" s="21"/>
      <c r="CQL10" s="21"/>
      <c r="CQM10" s="21"/>
      <c r="CQN10" s="21"/>
      <c r="CQO10" s="21"/>
      <c r="CQP10" s="21"/>
      <c r="CQQ10" s="21"/>
      <c r="CQR10" s="21"/>
      <c r="CQS10" s="21"/>
      <c r="CQT10" s="21"/>
      <c r="CQU10" s="21"/>
      <c r="CQV10" s="21"/>
      <c r="CQW10" s="21"/>
      <c r="CQX10" s="21"/>
      <c r="CQY10" s="21"/>
      <c r="CQZ10" s="21"/>
      <c r="CRA10" s="21"/>
      <c r="CRB10" s="21"/>
      <c r="CRC10" s="21"/>
      <c r="CRD10" s="21"/>
      <c r="CRE10" s="21"/>
      <c r="CRF10" s="21"/>
      <c r="CRG10" s="21"/>
      <c r="CRH10" s="21"/>
      <c r="CRI10" s="21"/>
      <c r="CRJ10" s="21"/>
      <c r="CRK10" s="21"/>
      <c r="CRL10" s="21"/>
      <c r="CRM10" s="21"/>
      <c r="CRN10" s="21"/>
      <c r="CRO10" s="21"/>
      <c r="CRP10" s="21"/>
      <c r="CRQ10" s="21"/>
      <c r="CRR10" s="21"/>
      <c r="CRS10" s="21"/>
      <c r="CRT10" s="21"/>
      <c r="CRU10" s="21"/>
      <c r="CRV10" s="21"/>
      <c r="CRW10" s="21"/>
      <c r="CRX10" s="21"/>
      <c r="CRY10" s="21"/>
      <c r="CRZ10" s="21"/>
      <c r="CSA10" s="21"/>
      <c r="CSB10" s="21"/>
      <c r="CSC10" s="21"/>
      <c r="CSD10" s="21"/>
      <c r="CSE10" s="21"/>
      <c r="CSF10" s="21"/>
      <c r="CSG10" s="21"/>
      <c r="CSH10" s="21"/>
      <c r="CSI10" s="21"/>
      <c r="CSJ10" s="21"/>
      <c r="CSK10" s="21"/>
      <c r="CSL10" s="21"/>
      <c r="CSM10" s="21"/>
      <c r="CSN10" s="21"/>
      <c r="CSO10" s="21"/>
      <c r="CSP10" s="21"/>
      <c r="CSQ10" s="21"/>
      <c r="CSR10" s="21"/>
      <c r="CSS10" s="21"/>
      <c r="CST10" s="21"/>
      <c r="CSU10" s="21"/>
      <c r="CSV10" s="21"/>
      <c r="CSW10" s="21"/>
      <c r="CSX10" s="21"/>
      <c r="CSY10" s="21"/>
      <c r="CSZ10" s="21"/>
      <c r="CTA10" s="21"/>
      <c r="CTB10" s="21"/>
      <c r="CTC10" s="21"/>
      <c r="CTD10" s="21"/>
      <c r="CTE10" s="21"/>
      <c r="CTF10" s="21"/>
      <c r="CTG10" s="21"/>
      <c r="CTH10" s="21"/>
      <c r="CTI10" s="21"/>
      <c r="CTJ10" s="21"/>
      <c r="CTK10" s="21"/>
      <c r="CTL10" s="21"/>
      <c r="CTM10" s="21"/>
      <c r="CTN10" s="21"/>
      <c r="CTO10" s="21"/>
      <c r="CTP10" s="21"/>
      <c r="CTQ10" s="21"/>
      <c r="CTR10" s="21"/>
      <c r="CTS10" s="21"/>
      <c r="CTT10" s="21"/>
      <c r="CTU10" s="21"/>
      <c r="CTV10" s="21"/>
      <c r="CTW10" s="21"/>
      <c r="CTX10" s="21"/>
      <c r="CTY10" s="21"/>
      <c r="CTZ10" s="21"/>
      <c r="CUA10" s="21"/>
      <c r="CUB10" s="21"/>
      <c r="CUC10" s="21"/>
      <c r="CUD10" s="21"/>
      <c r="CUE10" s="21"/>
      <c r="CUF10" s="21"/>
      <c r="CUG10" s="21"/>
      <c r="CUH10" s="21"/>
      <c r="CUI10" s="21"/>
      <c r="CUJ10" s="21"/>
      <c r="CUK10" s="21"/>
      <c r="CUL10" s="21"/>
      <c r="CUM10" s="21"/>
      <c r="CUN10" s="21"/>
      <c r="CUO10" s="21"/>
      <c r="CUP10" s="21"/>
      <c r="CUQ10" s="21"/>
      <c r="CUR10" s="21"/>
      <c r="CUS10" s="21"/>
      <c r="CUT10" s="21"/>
      <c r="CUU10" s="21"/>
      <c r="CUV10" s="21"/>
      <c r="CUW10" s="21"/>
      <c r="CUX10" s="21"/>
      <c r="CUY10" s="21"/>
      <c r="CUZ10" s="21"/>
      <c r="CVA10" s="21"/>
      <c r="CVB10" s="21"/>
      <c r="CVC10" s="21"/>
      <c r="CVD10" s="21"/>
      <c r="CVE10" s="21"/>
      <c r="CVF10" s="21"/>
      <c r="CVG10" s="21"/>
      <c r="CVH10" s="21"/>
      <c r="CVI10" s="21"/>
      <c r="CVJ10" s="21"/>
      <c r="CVK10" s="21"/>
      <c r="CVL10" s="21"/>
      <c r="CVM10" s="21"/>
      <c r="CVN10" s="21"/>
      <c r="CVO10" s="21"/>
      <c r="CVP10" s="21"/>
      <c r="CVQ10" s="21"/>
      <c r="CVR10" s="21"/>
      <c r="CVS10" s="21"/>
      <c r="CVT10" s="21"/>
      <c r="CVU10" s="21"/>
      <c r="CVV10" s="21"/>
      <c r="CVW10" s="21"/>
      <c r="CVX10" s="21"/>
      <c r="CVY10" s="21"/>
      <c r="CVZ10" s="21"/>
      <c r="CWA10" s="21"/>
      <c r="CWB10" s="21"/>
      <c r="CWC10" s="21"/>
      <c r="CWD10" s="21"/>
      <c r="CWE10" s="21"/>
      <c r="CWF10" s="21"/>
      <c r="CWG10" s="21"/>
      <c r="CWH10" s="21"/>
      <c r="CWI10" s="21"/>
      <c r="CWJ10" s="21"/>
      <c r="CWK10" s="21"/>
      <c r="CWL10" s="21"/>
      <c r="CWM10" s="21"/>
      <c r="CWN10" s="21"/>
      <c r="CWO10" s="21"/>
      <c r="CWP10" s="21"/>
      <c r="CWQ10" s="21"/>
      <c r="CWR10" s="21"/>
      <c r="CWS10" s="21"/>
      <c r="CWT10" s="21"/>
      <c r="CWU10" s="21"/>
      <c r="CWV10" s="21"/>
      <c r="CWW10" s="21"/>
      <c r="CWX10" s="21"/>
      <c r="CWY10" s="21"/>
      <c r="CWZ10" s="21"/>
      <c r="CXA10" s="21"/>
      <c r="CXB10" s="21"/>
      <c r="CXC10" s="21"/>
      <c r="CXD10" s="21"/>
      <c r="CXE10" s="21"/>
      <c r="CXF10" s="21"/>
      <c r="CXG10" s="21"/>
      <c r="CXH10" s="21"/>
      <c r="CXI10" s="21"/>
      <c r="CXJ10" s="21"/>
      <c r="CXK10" s="21"/>
      <c r="CXL10" s="21"/>
      <c r="CXM10" s="21"/>
      <c r="CXN10" s="21"/>
      <c r="CXO10" s="21"/>
      <c r="CXP10" s="21"/>
      <c r="CXQ10" s="21"/>
      <c r="CXR10" s="21"/>
      <c r="CXS10" s="21"/>
      <c r="CXT10" s="21"/>
      <c r="CXU10" s="21"/>
      <c r="CXV10" s="21"/>
      <c r="CXW10" s="21"/>
      <c r="CXX10" s="21"/>
      <c r="CXY10" s="21"/>
      <c r="CXZ10" s="21"/>
      <c r="CYA10" s="21"/>
      <c r="CYB10" s="21"/>
      <c r="CYC10" s="21"/>
      <c r="CYD10" s="21"/>
      <c r="CYE10" s="21"/>
      <c r="CYF10" s="21"/>
      <c r="CYG10" s="21"/>
      <c r="CYH10" s="21"/>
      <c r="CYI10" s="21"/>
      <c r="CYJ10" s="21"/>
      <c r="CYK10" s="21"/>
      <c r="CYL10" s="21"/>
      <c r="CYM10" s="21"/>
      <c r="CYN10" s="21"/>
      <c r="CYO10" s="21"/>
      <c r="CYP10" s="21"/>
      <c r="CYQ10" s="21"/>
      <c r="CYR10" s="21"/>
      <c r="CYS10" s="21"/>
      <c r="CYT10" s="21"/>
      <c r="CYU10" s="21"/>
      <c r="CYV10" s="21"/>
      <c r="CYW10" s="21"/>
      <c r="CYX10" s="21"/>
      <c r="CYY10" s="21"/>
      <c r="CYZ10" s="21"/>
      <c r="CZA10" s="21"/>
      <c r="CZB10" s="21"/>
      <c r="CZC10" s="21"/>
      <c r="CZD10" s="21"/>
      <c r="CZE10" s="21"/>
      <c r="CZF10" s="21"/>
      <c r="CZG10" s="21"/>
      <c r="CZH10" s="21"/>
      <c r="CZI10" s="21"/>
      <c r="CZJ10" s="21"/>
      <c r="CZK10" s="21"/>
      <c r="CZL10" s="21"/>
      <c r="CZM10" s="21"/>
      <c r="CZN10" s="21"/>
      <c r="CZO10" s="21"/>
      <c r="CZP10" s="21"/>
      <c r="CZQ10" s="21"/>
      <c r="CZR10" s="21"/>
      <c r="CZS10" s="21"/>
      <c r="CZT10" s="21"/>
      <c r="CZU10" s="21"/>
      <c r="CZV10" s="21"/>
      <c r="CZW10" s="21"/>
      <c r="CZX10" s="21"/>
      <c r="CZY10" s="21"/>
      <c r="CZZ10" s="21"/>
      <c r="DAA10" s="21"/>
      <c r="DAB10" s="21"/>
      <c r="DAC10" s="21"/>
      <c r="DAD10" s="21"/>
      <c r="DAE10" s="21"/>
      <c r="DAF10" s="21"/>
      <c r="DAG10" s="21"/>
      <c r="DAH10" s="21"/>
      <c r="DAI10" s="21"/>
      <c r="DAJ10" s="21"/>
      <c r="DAK10" s="21"/>
      <c r="DAL10" s="21"/>
      <c r="DAM10" s="21"/>
      <c r="DAN10" s="21"/>
      <c r="DAO10" s="21"/>
      <c r="DAP10" s="21"/>
      <c r="DAQ10" s="21"/>
      <c r="DAR10" s="21"/>
      <c r="DAS10" s="21"/>
      <c r="DAT10" s="21"/>
      <c r="DAU10" s="21"/>
      <c r="DAV10" s="21"/>
      <c r="DAW10" s="21"/>
      <c r="DAX10" s="21"/>
      <c r="DAY10" s="21"/>
      <c r="DAZ10" s="21"/>
      <c r="DBA10" s="21"/>
      <c r="DBB10" s="21"/>
      <c r="DBC10" s="21"/>
      <c r="DBD10" s="21"/>
      <c r="DBE10" s="21"/>
      <c r="DBF10" s="21"/>
      <c r="DBG10" s="21"/>
      <c r="DBH10" s="21"/>
      <c r="DBI10" s="21"/>
      <c r="DBJ10" s="21"/>
      <c r="DBK10" s="21"/>
      <c r="DBL10" s="21"/>
      <c r="DBM10" s="21"/>
      <c r="DBN10" s="21"/>
      <c r="DBO10" s="21"/>
      <c r="DBP10" s="21"/>
      <c r="DBQ10" s="21"/>
      <c r="DBR10" s="21"/>
      <c r="DBS10" s="21"/>
      <c r="DBT10" s="21"/>
      <c r="DBU10" s="21"/>
      <c r="DBV10" s="21"/>
      <c r="DBW10" s="21"/>
      <c r="DBX10" s="21"/>
      <c r="DBY10" s="21"/>
      <c r="DBZ10" s="21"/>
      <c r="DCA10" s="21"/>
      <c r="DCB10" s="21"/>
      <c r="DCC10" s="21"/>
      <c r="DCD10" s="21"/>
      <c r="DCE10" s="21"/>
      <c r="DCF10" s="21"/>
      <c r="DCG10" s="21"/>
      <c r="DCH10" s="21"/>
      <c r="DCI10" s="21"/>
      <c r="DCJ10" s="21"/>
      <c r="DCK10" s="21"/>
      <c r="DCL10" s="21"/>
      <c r="DCM10" s="21"/>
      <c r="DCN10" s="21"/>
      <c r="DCO10" s="21"/>
      <c r="DCP10" s="21"/>
      <c r="DCQ10" s="21"/>
      <c r="DCR10" s="21"/>
      <c r="DCS10" s="21"/>
      <c r="DCT10" s="21"/>
      <c r="DCU10" s="21"/>
      <c r="DCV10" s="21"/>
      <c r="DCW10" s="21"/>
      <c r="DCX10" s="21"/>
      <c r="DCY10" s="21"/>
      <c r="DCZ10" s="21"/>
      <c r="DDA10" s="21"/>
      <c r="DDB10" s="21"/>
      <c r="DDC10" s="21"/>
      <c r="DDD10" s="21"/>
      <c r="DDE10" s="21"/>
      <c r="DDF10" s="21"/>
      <c r="DDG10" s="21"/>
      <c r="DDH10" s="21"/>
      <c r="DDI10" s="21"/>
      <c r="DDJ10" s="21"/>
      <c r="DDK10" s="21"/>
      <c r="DDL10" s="21"/>
      <c r="DDM10" s="21"/>
      <c r="DDN10" s="21"/>
      <c r="DDO10" s="21"/>
      <c r="DDP10" s="21"/>
      <c r="DDQ10" s="21"/>
      <c r="DDR10" s="21"/>
      <c r="DDS10" s="21"/>
      <c r="DDT10" s="21"/>
      <c r="DDU10" s="21"/>
      <c r="DDV10" s="21"/>
      <c r="DDW10" s="21"/>
      <c r="DDX10" s="21"/>
      <c r="DDY10" s="21"/>
      <c r="DDZ10" s="21"/>
      <c r="DEA10" s="21"/>
      <c r="DEB10" s="21"/>
      <c r="DEC10" s="21"/>
      <c r="DED10" s="21"/>
      <c r="DEE10" s="21"/>
      <c r="DEF10" s="21"/>
      <c r="DEG10" s="21"/>
      <c r="DEH10" s="21"/>
      <c r="DEI10" s="21"/>
      <c r="DEJ10" s="21"/>
      <c r="DEK10" s="21"/>
      <c r="DEL10" s="21"/>
      <c r="DEM10" s="21"/>
      <c r="DEN10" s="21"/>
      <c r="DEO10" s="21"/>
      <c r="DEP10" s="21"/>
      <c r="DEQ10" s="21"/>
      <c r="DER10" s="21"/>
      <c r="DES10" s="21"/>
      <c r="DET10" s="21"/>
      <c r="DEU10" s="21"/>
      <c r="DEV10" s="21"/>
      <c r="DEW10" s="21"/>
      <c r="DEX10" s="21"/>
      <c r="DEY10" s="21"/>
      <c r="DEZ10" s="21"/>
      <c r="DFA10" s="21"/>
      <c r="DFB10" s="21"/>
      <c r="DFC10" s="21"/>
      <c r="DFD10" s="21"/>
      <c r="DFE10" s="21"/>
      <c r="DFF10" s="21"/>
      <c r="DFG10" s="21"/>
      <c r="DFH10" s="21"/>
      <c r="DFI10" s="21"/>
      <c r="DFJ10" s="21"/>
      <c r="DFK10" s="21"/>
      <c r="DFL10" s="21"/>
      <c r="DFM10" s="21"/>
      <c r="DFN10" s="21"/>
      <c r="DFO10" s="21"/>
      <c r="DFP10" s="21"/>
      <c r="DFQ10" s="21"/>
      <c r="DFR10" s="21"/>
      <c r="DFS10" s="21"/>
      <c r="DFT10" s="21"/>
      <c r="DFU10" s="21"/>
      <c r="DFV10" s="21"/>
      <c r="DFW10" s="21"/>
      <c r="DFX10" s="21"/>
      <c r="DFY10" s="21"/>
      <c r="DFZ10" s="21"/>
      <c r="DGA10" s="21"/>
      <c r="DGB10" s="21"/>
      <c r="DGC10" s="21"/>
      <c r="DGD10" s="21"/>
      <c r="DGE10" s="21"/>
      <c r="DGF10" s="21"/>
      <c r="DGG10" s="21"/>
      <c r="DGH10" s="21"/>
      <c r="DGI10" s="21"/>
      <c r="DGJ10" s="21"/>
      <c r="DGK10" s="21"/>
      <c r="DGL10" s="21"/>
      <c r="DGM10" s="21"/>
      <c r="DGN10" s="21"/>
      <c r="DGO10" s="21"/>
      <c r="DGP10" s="21"/>
      <c r="DGQ10" s="21"/>
      <c r="DGR10" s="21"/>
      <c r="DGS10" s="21"/>
      <c r="DGT10" s="21"/>
      <c r="DGU10" s="21"/>
      <c r="DGV10" s="21"/>
      <c r="DGW10" s="21"/>
      <c r="DGX10" s="21"/>
      <c r="DGY10" s="21"/>
      <c r="DGZ10" s="21"/>
      <c r="DHA10" s="21"/>
      <c r="DHB10" s="21"/>
      <c r="DHC10" s="21"/>
      <c r="DHD10" s="21"/>
      <c r="DHE10" s="21"/>
      <c r="DHF10" s="21"/>
      <c r="DHG10" s="21"/>
      <c r="DHH10" s="21"/>
      <c r="DHI10" s="21"/>
      <c r="DHJ10" s="21"/>
      <c r="DHK10" s="21"/>
      <c r="DHL10" s="21"/>
      <c r="DHM10" s="21"/>
      <c r="DHN10" s="21"/>
      <c r="DHO10" s="21"/>
      <c r="DHP10" s="21"/>
      <c r="DHQ10" s="21"/>
      <c r="DHR10" s="21"/>
      <c r="DHS10" s="21"/>
      <c r="DHT10" s="21"/>
      <c r="DHU10" s="21"/>
      <c r="DHV10" s="21"/>
      <c r="DHW10" s="21"/>
      <c r="DHX10" s="21"/>
      <c r="DHY10" s="21"/>
      <c r="DHZ10" s="21"/>
      <c r="DIA10" s="21"/>
      <c r="DIB10" s="21"/>
      <c r="DIC10" s="21"/>
      <c r="DID10" s="21"/>
      <c r="DIE10" s="21"/>
      <c r="DIF10" s="21"/>
      <c r="DIG10" s="21"/>
      <c r="DIH10" s="21"/>
      <c r="DII10" s="21"/>
      <c r="DIJ10" s="21"/>
      <c r="DIK10" s="21"/>
      <c r="DIL10" s="21"/>
      <c r="DIM10" s="21"/>
      <c r="DIN10" s="21"/>
      <c r="DIO10" s="21"/>
      <c r="DIP10" s="21"/>
      <c r="DIQ10" s="21"/>
      <c r="DIR10" s="21"/>
      <c r="DIS10" s="21"/>
      <c r="DIT10" s="21"/>
      <c r="DIU10" s="21"/>
      <c r="DIV10" s="21"/>
      <c r="DIW10" s="21"/>
      <c r="DIX10" s="21"/>
      <c r="DIY10" s="21"/>
      <c r="DIZ10" s="21"/>
      <c r="DJA10" s="21"/>
      <c r="DJB10" s="21"/>
      <c r="DJC10" s="21"/>
      <c r="DJD10" s="21"/>
      <c r="DJE10" s="21"/>
      <c r="DJF10" s="21"/>
      <c r="DJG10" s="21"/>
      <c r="DJH10" s="21"/>
      <c r="DJI10" s="21"/>
      <c r="DJJ10" s="21"/>
      <c r="DJK10" s="21"/>
      <c r="DJL10" s="21"/>
      <c r="DJM10" s="21"/>
      <c r="DJN10" s="21"/>
      <c r="DJO10" s="21"/>
      <c r="DJP10" s="21"/>
      <c r="DJQ10" s="21"/>
      <c r="DJR10" s="21"/>
      <c r="DJS10" s="21"/>
      <c r="DJT10" s="21"/>
      <c r="DJU10" s="21"/>
      <c r="DJV10" s="21"/>
      <c r="DJW10" s="21"/>
      <c r="DJX10" s="21"/>
      <c r="DJY10" s="21"/>
      <c r="DJZ10" s="21"/>
      <c r="DKA10" s="21"/>
      <c r="DKB10" s="21"/>
      <c r="DKC10" s="21"/>
      <c r="DKD10" s="21"/>
      <c r="DKE10" s="21"/>
      <c r="DKF10" s="21"/>
      <c r="DKG10" s="21"/>
      <c r="DKH10" s="21"/>
      <c r="DKI10" s="21"/>
      <c r="DKJ10" s="21"/>
      <c r="DKK10" s="21"/>
      <c r="DKL10" s="21"/>
      <c r="DKM10" s="21"/>
      <c r="DKN10" s="21"/>
      <c r="DKO10" s="21"/>
      <c r="DKP10" s="21"/>
      <c r="DKQ10" s="21"/>
      <c r="DKR10" s="21"/>
      <c r="DKS10" s="21"/>
      <c r="DKT10" s="21"/>
      <c r="DKU10" s="21"/>
      <c r="DKV10" s="21"/>
      <c r="DKW10" s="21"/>
      <c r="DKX10" s="21"/>
      <c r="DKY10" s="21"/>
      <c r="DKZ10" s="21"/>
      <c r="DLA10" s="21"/>
      <c r="DLB10" s="21"/>
      <c r="DLC10" s="21"/>
      <c r="DLD10" s="21"/>
      <c r="DLE10" s="21"/>
      <c r="DLF10" s="21"/>
      <c r="DLG10" s="21"/>
      <c r="DLH10" s="21"/>
      <c r="DLI10" s="21"/>
      <c r="DLJ10" s="21"/>
      <c r="DLK10" s="21"/>
      <c r="DLL10" s="21"/>
      <c r="DLM10" s="21"/>
      <c r="DLN10" s="21"/>
      <c r="DLO10" s="21"/>
      <c r="DLP10" s="21"/>
      <c r="DLQ10" s="21"/>
      <c r="DLR10" s="21"/>
      <c r="DLS10" s="21"/>
      <c r="DLT10" s="21"/>
      <c r="DLU10" s="21"/>
      <c r="DLV10" s="21"/>
      <c r="DLW10" s="21"/>
      <c r="DLX10" s="21"/>
      <c r="DLY10" s="21"/>
      <c r="DLZ10" s="21"/>
      <c r="DMA10" s="21"/>
      <c r="DMB10" s="21"/>
      <c r="DMC10" s="21"/>
      <c r="DMD10" s="21"/>
      <c r="DME10" s="21"/>
      <c r="DMF10" s="21"/>
      <c r="DMG10" s="21"/>
      <c r="DMH10" s="21"/>
      <c r="DMI10" s="21"/>
      <c r="DMJ10" s="21"/>
      <c r="DMK10" s="21"/>
      <c r="DML10" s="21"/>
      <c r="DMM10" s="21"/>
      <c r="DMN10" s="21"/>
      <c r="DMO10" s="21"/>
      <c r="DMP10" s="21"/>
      <c r="DMQ10" s="21"/>
      <c r="DMR10" s="21"/>
      <c r="DMS10" s="21"/>
      <c r="DMT10" s="21"/>
      <c r="DMU10" s="21"/>
      <c r="DMV10" s="21"/>
      <c r="DMW10" s="21"/>
      <c r="DMX10" s="21"/>
      <c r="DMY10" s="21"/>
      <c r="DMZ10" s="21"/>
      <c r="DNA10" s="21"/>
      <c r="DNB10" s="21"/>
      <c r="DNC10" s="21"/>
      <c r="DND10" s="21"/>
      <c r="DNE10" s="21"/>
      <c r="DNF10" s="21"/>
      <c r="DNG10" s="21"/>
      <c r="DNH10" s="21"/>
      <c r="DNI10" s="21"/>
      <c r="DNJ10" s="21"/>
      <c r="DNK10" s="21"/>
      <c r="DNL10" s="21"/>
      <c r="DNM10" s="21"/>
      <c r="DNN10" s="21"/>
      <c r="DNO10" s="21"/>
      <c r="DNP10" s="21"/>
      <c r="DNQ10" s="21"/>
      <c r="DNR10" s="21"/>
      <c r="DNS10" s="21"/>
      <c r="DNT10" s="21"/>
      <c r="DNU10" s="21"/>
      <c r="DNV10" s="21"/>
      <c r="DNW10" s="21"/>
      <c r="DNX10" s="21"/>
      <c r="DNY10" s="21"/>
      <c r="DNZ10" s="21"/>
      <c r="DOA10" s="21"/>
      <c r="DOB10" s="21"/>
      <c r="DOC10" s="21"/>
      <c r="DOD10" s="21"/>
      <c r="DOE10" s="21"/>
      <c r="DOF10" s="21"/>
      <c r="DOG10" s="21"/>
      <c r="DOH10" s="21"/>
      <c r="DOI10" s="21"/>
      <c r="DOJ10" s="21"/>
      <c r="DOK10" s="21"/>
      <c r="DOL10" s="21"/>
      <c r="DOM10" s="21"/>
      <c r="DON10" s="21"/>
      <c r="DOO10" s="21"/>
      <c r="DOP10" s="21"/>
      <c r="DOQ10" s="21"/>
      <c r="DOR10" s="21"/>
      <c r="DOS10" s="21"/>
      <c r="DOT10" s="21"/>
      <c r="DOU10" s="21"/>
      <c r="DOV10" s="21"/>
      <c r="DOW10" s="21"/>
      <c r="DOX10" s="21"/>
      <c r="DOY10" s="21"/>
      <c r="DOZ10" s="21"/>
      <c r="DPA10" s="21"/>
      <c r="DPB10" s="21"/>
      <c r="DPC10" s="21"/>
      <c r="DPD10" s="21"/>
      <c r="DPE10" s="21"/>
      <c r="DPF10" s="21"/>
      <c r="DPG10" s="21"/>
      <c r="DPH10" s="21"/>
      <c r="DPI10" s="21"/>
      <c r="DPJ10" s="21"/>
      <c r="DPK10" s="21"/>
      <c r="DPL10" s="21"/>
      <c r="DPM10" s="21"/>
      <c r="DPN10" s="21"/>
      <c r="DPO10" s="21"/>
      <c r="DPP10" s="21"/>
      <c r="DPQ10" s="21"/>
      <c r="DPR10" s="21"/>
      <c r="DPS10" s="21"/>
      <c r="DPT10" s="21"/>
      <c r="DPU10" s="21"/>
      <c r="DPV10" s="21"/>
      <c r="DPW10" s="21"/>
      <c r="DPX10" s="21"/>
      <c r="DPY10" s="21"/>
      <c r="DPZ10" s="21"/>
      <c r="DQA10" s="21"/>
      <c r="DQB10" s="21"/>
      <c r="DQC10" s="21"/>
      <c r="DQD10" s="21"/>
      <c r="DQE10" s="21"/>
      <c r="DQF10" s="21"/>
      <c r="DQG10" s="21"/>
      <c r="DQH10" s="21"/>
      <c r="DQI10" s="21"/>
      <c r="DQJ10" s="21"/>
      <c r="DQK10" s="21"/>
      <c r="DQL10" s="21"/>
      <c r="DQM10" s="21"/>
      <c r="DQN10" s="21"/>
      <c r="DQO10" s="21"/>
      <c r="DQP10" s="21"/>
      <c r="DQQ10" s="21"/>
      <c r="DQR10" s="21"/>
      <c r="DQS10" s="21"/>
      <c r="DQT10" s="21"/>
      <c r="DQU10" s="21"/>
      <c r="DQV10" s="21"/>
      <c r="DQW10" s="21"/>
      <c r="DQX10" s="21"/>
      <c r="DQY10" s="21"/>
      <c r="DQZ10" s="21"/>
      <c r="DRA10" s="21"/>
      <c r="DRB10" s="21"/>
      <c r="DRC10" s="21"/>
      <c r="DRD10" s="21"/>
      <c r="DRE10" s="21"/>
      <c r="DRF10" s="21"/>
      <c r="DRG10" s="21"/>
      <c r="DRH10" s="21"/>
      <c r="DRI10" s="21"/>
      <c r="DRJ10" s="21"/>
      <c r="DRK10" s="21"/>
      <c r="DRL10" s="21"/>
      <c r="DRM10" s="21"/>
      <c r="DRN10" s="21"/>
      <c r="DRO10" s="21"/>
      <c r="DRP10" s="21"/>
      <c r="DRQ10" s="21"/>
      <c r="DRR10" s="21"/>
      <c r="DRS10" s="21"/>
      <c r="DRT10" s="21"/>
      <c r="DRU10" s="21"/>
      <c r="DRV10" s="21"/>
      <c r="DRW10" s="21"/>
      <c r="DRX10" s="21"/>
      <c r="DRY10" s="21"/>
      <c r="DRZ10" s="21"/>
      <c r="DSA10" s="21"/>
      <c r="DSB10" s="21"/>
      <c r="DSC10" s="21"/>
      <c r="DSD10" s="21"/>
      <c r="DSE10" s="21"/>
      <c r="DSF10" s="21"/>
      <c r="DSG10" s="21"/>
      <c r="DSH10" s="21"/>
      <c r="DSI10" s="21"/>
      <c r="DSJ10" s="21"/>
      <c r="DSK10" s="21"/>
      <c r="DSL10" s="21"/>
      <c r="DSM10" s="21"/>
      <c r="DSN10" s="21"/>
      <c r="DSO10" s="21"/>
      <c r="DSP10" s="21"/>
      <c r="DSQ10" s="21"/>
      <c r="DSR10" s="21"/>
      <c r="DSS10" s="21"/>
      <c r="DST10" s="21"/>
      <c r="DSU10" s="21"/>
      <c r="DSV10" s="21"/>
      <c r="DSW10" s="21"/>
      <c r="DSX10" s="21"/>
      <c r="DSY10" s="21"/>
      <c r="DSZ10" s="21"/>
      <c r="DTA10" s="21"/>
      <c r="DTB10" s="21"/>
      <c r="DTC10" s="21"/>
      <c r="DTD10" s="21"/>
      <c r="DTE10" s="21"/>
      <c r="DTF10" s="21"/>
      <c r="DTG10" s="21"/>
      <c r="DTH10" s="21"/>
      <c r="DTI10" s="21"/>
      <c r="DTJ10" s="21"/>
      <c r="DTK10" s="21"/>
      <c r="DTL10" s="21"/>
      <c r="DTM10" s="21"/>
      <c r="DTN10" s="21"/>
      <c r="DTO10" s="21"/>
      <c r="DTP10" s="21"/>
      <c r="DTQ10" s="21"/>
      <c r="DTR10" s="21"/>
      <c r="DTS10" s="21"/>
      <c r="DTT10" s="21"/>
      <c r="DTU10" s="21"/>
      <c r="DTV10" s="21"/>
      <c r="DTW10" s="21"/>
      <c r="DTX10" s="21"/>
      <c r="DTY10" s="21"/>
      <c r="DTZ10" s="21"/>
      <c r="DUA10" s="21"/>
      <c r="DUB10" s="21"/>
      <c r="DUC10" s="21"/>
      <c r="DUD10" s="21"/>
      <c r="DUE10" s="21"/>
      <c r="DUF10" s="21"/>
      <c r="DUG10" s="21"/>
      <c r="DUH10" s="21"/>
      <c r="DUI10" s="21"/>
      <c r="DUJ10" s="21"/>
      <c r="DUK10" s="21"/>
      <c r="DUL10" s="21"/>
      <c r="DUM10" s="21"/>
      <c r="DUN10" s="21"/>
      <c r="DUO10" s="21"/>
      <c r="DUP10" s="21"/>
      <c r="DUQ10" s="21"/>
      <c r="DUR10" s="21"/>
      <c r="DUS10" s="21"/>
      <c r="DUT10" s="21"/>
      <c r="DUU10" s="21"/>
      <c r="DUV10" s="21"/>
      <c r="DUW10" s="21"/>
      <c r="DUX10" s="21"/>
      <c r="DUY10" s="21"/>
      <c r="DUZ10" s="21"/>
      <c r="DVA10" s="21"/>
      <c r="DVB10" s="21"/>
      <c r="DVC10" s="21"/>
      <c r="DVD10" s="21"/>
      <c r="DVE10" s="21"/>
      <c r="DVF10" s="21"/>
      <c r="DVG10" s="21"/>
      <c r="DVH10" s="21"/>
      <c r="DVI10" s="21"/>
      <c r="DVJ10" s="21"/>
      <c r="DVK10" s="21"/>
      <c r="DVL10" s="21"/>
      <c r="DVM10" s="21"/>
      <c r="DVN10" s="21"/>
      <c r="DVO10" s="21"/>
      <c r="DVP10" s="21"/>
      <c r="DVQ10" s="21"/>
      <c r="DVR10" s="21"/>
      <c r="DVS10" s="21"/>
      <c r="DVT10" s="21"/>
      <c r="DVU10" s="21"/>
      <c r="DVV10" s="21"/>
      <c r="DVW10" s="21"/>
      <c r="DVX10" s="21"/>
      <c r="DVY10" s="21"/>
      <c r="DVZ10" s="21"/>
      <c r="DWA10" s="21"/>
      <c r="DWB10" s="21"/>
      <c r="DWC10" s="21"/>
      <c r="DWD10" s="21"/>
      <c r="DWE10" s="21"/>
      <c r="DWF10" s="21"/>
      <c r="DWG10" s="21"/>
      <c r="DWH10" s="21"/>
      <c r="DWI10" s="21"/>
      <c r="DWJ10" s="21"/>
      <c r="DWK10" s="21"/>
      <c r="DWL10" s="21"/>
      <c r="DWM10" s="21"/>
      <c r="DWN10" s="21"/>
      <c r="DWO10" s="21"/>
      <c r="DWP10" s="21"/>
      <c r="DWQ10" s="21"/>
      <c r="DWR10" s="21"/>
      <c r="DWS10" s="21"/>
      <c r="DWT10" s="21"/>
      <c r="DWU10" s="21"/>
      <c r="DWV10" s="21"/>
      <c r="DWW10" s="21"/>
      <c r="DWX10" s="21"/>
      <c r="DWY10" s="21"/>
      <c r="DWZ10" s="21"/>
      <c r="DXA10" s="21"/>
      <c r="DXB10" s="21"/>
      <c r="DXC10" s="21"/>
      <c r="DXD10" s="21"/>
      <c r="DXE10" s="21"/>
      <c r="DXF10" s="21"/>
      <c r="DXG10" s="21"/>
      <c r="DXH10" s="21"/>
      <c r="DXI10" s="21"/>
      <c r="DXJ10" s="21"/>
      <c r="DXK10" s="21"/>
      <c r="DXL10" s="21"/>
      <c r="DXM10" s="21"/>
      <c r="DXN10" s="21"/>
      <c r="DXO10" s="21"/>
      <c r="DXP10" s="21"/>
      <c r="DXQ10" s="21"/>
      <c r="DXR10" s="21"/>
      <c r="DXS10" s="21"/>
      <c r="DXT10" s="21"/>
      <c r="DXU10" s="21"/>
      <c r="DXV10" s="21"/>
      <c r="DXW10" s="21"/>
      <c r="DXX10" s="21"/>
      <c r="DXY10" s="21"/>
      <c r="DXZ10" s="21"/>
      <c r="DYA10" s="21"/>
      <c r="DYB10" s="21"/>
      <c r="DYC10" s="21"/>
      <c r="DYD10" s="21"/>
      <c r="DYE10" s="21"/>
      <c r="DYF10" s="21"/>
      <c r="DYG10" s="21"/>
      <c r="DYH10" s="21"/>
      <c r="DYI10" s="21"/>
      <c r="DYJ10" s="21"/>
      <c r="DYK10" s="21"/>
      <c r="DYL10" s="21"/>
      <c r="DYM10" s="21"/>
      <c r="DYN10" s="21"/>
      <c r="DYO10" s="21"/>
      <c r="DYP10" s="21"/>
      <c r="DYQ10" s="21"/>
      <c r="DYR10" s="21"/>
      <c r="DYS10" s="21"/>
      <c r="DYT10" s="21"/>
      <c r="DYU10" s="21"/>
      <c r="DYV10" s="21"/>
      <c r="DYW10" s="21"/>
      <c r="DYX10" s="21"/>
      <c r="DYY10" s="21"/>
      <c r="DYZ10" s="21"/>
      <c r="DZA10" s="21"/>
      <c r="DZB10" s="21"/>
      <c r="DZC10" s="21"/>
      <c r="DZD10" s="21"/>
      <c r="DZE10" s="21"/>
      <c r="DZF10" s="21"/>
      <c r="DZG10" s="21"/>
      <c r="DZH10" s="21"/>
      <c r="DZI10" s="21"/>
      <c r="DZJ10" s="21"/>
      <c r="DZK10" s="21"/>
      <c r="DZL10" s="21"/>
      <c r="DZM10" s="21"/>
      <c r="DZN10" s="21"/>
      <c r="DZO10" s="21"/>
      <c r="DZP10" s="21"/>
      <c r="DZQ10" s="21"/>
      <c r="DZR10" s="21"/>
      <c r="DZS10" s="21"/>
      <c r="DZT10" s="21"/>
      <c r="DZU10" s="21"/>
      <c r="DZV10" s="21"/>
      <c r="DZW10" s="21"/>
      <c r="DZX10" s="21"/>
      <c r="DZY10" s="21"/>
      <c r="DZZ10" s="21"/>
      <c r="EAA10" s="21"/>
      <c r="EAB10" s="21"/>
      <c r="EAC10" s="21"/>
      <c r="EAD10" s="21"/>
      <c r="EAE10" s="21"/>
      <c r="EAF10" s="21"/>
      <c r="EAG10" s="21"/>
      <c r="EAH10" s="21"/>
      <c r="EAI10" s="21"/>
      <c r="EAJ10" s="21"/>
      <c r="EAK10" s="21"/>
      <c r="EAL10" s="21"/>
      <c r="EAM10" s="21"/>
      <c r="EAN10" s="21"/>
      <c r="EAO10" s="21"/>
      <c r="EAP10" s="21"/>
      <c r="EAQ10" s="21"/>
      <c r="EAR10" s="21"/>
      <c r="EAS10" s="21"/>
      <c r="EAT10" s="21"/>
      <c r="EAU10" s="21"/>
      <c r="EAV10" s="21"/>
      <c r="EAW10" s="21"/>
      <c r="EAX10" s="21"/>
      <c r="EAY10" s="21"/>
      <c r="EAZ10" s="21"/>
      <c r="EBA10" s="21"/>
      <c r="EBB10" s="21"/>
      <c r="EBC10" s="21"/>
      <c r="EBD10" s="21"/>
      <c r="EBE10" s="21"/>
      <c r="EBF10" s="21"/>
      <c r="EBG10" s="21"/>
      <c r="EBH10" s="21"/>
      <c r="EBI10" s="21"/>
      <c r="EBJ10" s="21"/>
      <c r="EBK10" s="21"/>
      <c r="EBL10" s="21"/>
      <c r="EBM10" s="21"/>
      <c r="EBN10" s="21"/>
      <c r="EBO10" s="21"/>
      <c r="EBP10" s="21"/>
      <c r="EBQ10" s="21"/>
      <c r="EBR10" s="21"/>
      <c r="EBS10" s="21"/>
      <c r="EBT10" s="21"/>
      <c r="EBU10" s="21"/>
      <c r="EBV10" s="21"/>
      <c r="EBW10" s="21"/>
      <c r="EBX10" s="21"/>
      <c r="EBY10" s="21"/>
      <c r="EBZ10" s="21"/>
      <c r="ECA10" s="21"/>
      <c r="ECB10" s="21"/>
      <c r="ECC10" s="21"/>
      <c r="ECD10" s="21"/>
      <c r="ECE10" s="21"/>
      <c r="ECF10" s="21"/>
      <c r="ECG10" s="21"/>
      <c r="ECH10" s="21"/>
      <c r="ECI10" s="21"/>
      <c r="ECJ10" s="21"/>
      <c r="ECK10" s="21"/>
      <c r="ECL10" s="21"/>
      <c r="ECM10" s="21"/>
      <c r="ECN10" s="21"/>
      <c r="ECO10" s="21"/>
      <c r="ECP10" s="21"/>
      <c r="ECQ10" s="21"/>
      <c r="ECR10" s="21"/>
      <c r="ECS10" s="21"/>
      <c r="ECT10" s="21"/>
      <c r="ECU10" s="21"/>
      <c r="ECV10" s="21"/>
      <c r="ECW10" s="21"/>
      <c r="ECX10" s="21"/>
      <c r="ECY10" s="21"/>
      <c r="ECZ10" s="21"/>
      <c r="EDA10" s="21"/>
      <c r="EDB10" s="21"/>
      <c r="EDC10" s="21"/>
      <c r="EDD10" s="21"/>
      <c r="EDE10" s="21"/>
      <c r="EDF10" s="21"/>
      <c r="EDG10" s="21"/>
      <c r="EDH10" s="21"/>
      <c r="EDI10" s="21"/>
      <c r="EDJ10" s="21"/>
      <c r="EDK10" s="21"/>
      <c r="EDL10" s="21"/>
      <c r="EDM10" s="21"/>
      <c r="EDN10" s="21"/>
      <c r="EDO10" s="21"/>
      <c r="EDP10" s="21"/>
      <c r="EDQ10" s="21"/>
      <c r="EDR10" s="21"/>
      <c r="EDS10" s="21"/>
      <c r="EDT10" s="21"/>
      <c r="EDU10" s="21"/>
      <c r="EDV10" s="21"/>
      <c r="EDW10" s="21"/>
      <c r="EDX10" s="21"/>
      <c r="EDY10" s="21"/>
      <c r="EDZ10" s="21"/>
      <c r="EEA10" s="21"/>
      <c r="EEB10" s="21"/>
      <c r="EEC10" s="21"/>
      <c r="EED10" s="21"/>
      <c r="EEE10" s="21"/>
      <c r="EEF10" s="21"/>
      <c r="EEG10" s="21"/>
      <c r="EEH10" s="21"/>
      <c r="EEI10" s="21"/>
      <c r="EEJ10" s="21"/>
      <c r="EEK10" s="21"/>
      <c r="EEL10" s="21"/>
      <c r="EEM10" s="21"/>
      <c r="EEN10" s="21"/>
      <c r="EEO10" s="21"/>
      <c r="EEP10" s="21"/>
      <c r="EEQ10" s="21"/>
      <c r="EER10" s="21"/>
      <c r="EES10" s="21"/>
      <c r="EET10" s="21"/>
      <c r="EEU10" s="21"/>
      <c r="EEV10" s="21"/>
      <c r="EEW10" s="21"/>
      <c r="EEX10" s="21"/>
      <c r="EEY10" s="21"/>
      <c r="EEZ10" s="21"/>
      <c r="EFA10" s="21"/>
      <c r="EFB10" s="21"/>
      <c r="EFC10" s="21"/>
      <c r="EFD10" s="21"/>
      <c r="EFE10" s="21"/>
      <c r="EFF10" s="21"/>
      <c r="EFG10" s="21"/>
      <c r="EFH10" s="21"/>
      <c r="EFI10" s="21"/>
      <c r="EFJ10" s="21"/>
      <c r="EFK10" s="21"/>
      <c r="EFL10" s="21"/>
      <c r="EFM10" s="21"/>
      <c r="EFN10" s="21"/>
      <c r="EFO10" s="21"/>
      <c r="EFP10" s="21"/>
      <c r="EFQ10" s="21"/>
      <c r="EFR10" s="21"/>
      <c r="EFS10" s="21"/>
      <c r="EFT10" s="21"/>
      <c r="EFU10" s="21"/>
      <c r="EFV10" s="21"/>
      <c r="EFW10" s="21"/>
      <c r="EFX10" s="21"/>
      <c r="EFY10" s="21"/>
      <c r="EFZ10" s="21"/>
      <c r="EGA10" s="21"/>
      <c r="EGB10" s="21"/>
      <c r="EGC10" s="21"/>
      <c r="EGD10" s="21"/>
      <c r="EGE10" s="21"/>
      <c r="EGF10" s="21"/>
      <c r="EGG10" s="21"/>
      <c r="EGH10" s="21"/>
      <c r="EGI10" s="21"/>
      <c r="EGJ10" s="21"/>
      <c r="EGK10" s="21"/>
      <c r="EGL10" s="21"/>
      <c r="EGM10" s="21"/>
      <c r="EGN10" s="21"/>
      <c r="EGO10" s="21"/>
      <c r="EGP10" s="21"/>
      <c r="EGQ10" s="21"/>
      <c r="EGR10" s="21"/>
      <c r="EGS10" s="21"/>
      <c r="EGT10" s="21"/>
      <c r="EGU10" s="21"/>
      <c r="EGV10" s="21"/>
      <c r="EGW10" s="21"/>
      <c r="EGX10" s="21"/>
      <c r="EGY10" s="21"/>
      <c r="EGZ10" s="21"/>
      <c r="EHA10" s="21"/>
      <c r="EHB10" s="21"/>
      <c r="EHC10" s="21"/>
      <c r="EHD10" s="21"/>
      <c r="EHE10" s="21"/>
      <c r="EHF10" s="21"/>
      <c r="EHG10" s="21"/>
      <c r="EHH10" s="21"/>
      <c r="EHI10" s="21"/>
      <c r="EHJ10" s="21"/>
      <c r="EHK10" s="21"/>
      <c r="EHL10" s="21"/>
      <c r="EHM10" s="21"/>
      <c r="EHN10" s="21"/>
      <c r="EHO10" s="21"/>
      <c r="EHP10" s="21"/>
      <c r="EHQ10" s="21"/>
      <c r="EHR10" s="21"/>
      <c r="EHS10" s="21"/>
      <c r="EHT10" s="21"/>
      <c r="EHU10" s="21"/>
      <c r="EHV10" s="21"/>
      <c r="EHW10" s="21"/>
      <c r="EHX10" s="21"/>
      <c r="EHY10" s="21"/>
      <c r="EHZ10" s="21"/>
      <c r="EIA10" s="21"/>
      <c r="EIB10" s="21"/>
      <c r="EIC10" s="21"/>
      <c r="EID10" s="21"/>
      <c r="EIE10" s="21"/>
      <c r="EIF10" s="21"/>
      <c r="EIG10" s="21"/>
      <c r="EIH10" s="21"/>
      <c r="EII10" s="21"/>
      <c r="EIJ10" s="21"/>
      <c r="EIK10" s="21"/>
      <c r="EIL10" s="21"/>
      <c r="EIM10" s="21"/>
      <c r="EIN10" s="21"/>
      <c r="EIO10" s="21"/>
      <c r="EIP10" s="21"/>
      <c r="EIQ10" s="21"/>
      <c r="EIR10" s="21"/>
      <c r="EIS10" s="21"/>
      <c r="EIT10" s="21"/>
      <c r="EIU10" s="21"/>
      <c r="EIV10" s="21"/>
      <c r="EIW10" s="21"/>
      <c r="EIX10" s="21"/>
      <c r="EIY10" s="21"/>
      <c r="EIZ10" s="21"/>
      <c r="EJA10" s="21"/>
      <c r="EJB10" s="21"/>
      <c r="EJC10" s="21"/>
      <c r="EJD10" s="21"/>
      <c r="EJE10" s="21"/>
      <c r="EJF10" s="21"/>
      <c r="EJG10" s="21"/>
      <c r="EJH10" s="21"/>
      <c r="EJI10" s="21"/>
      <c r="EJJ10" s="21"/>
      <c r="EJK10" s="21"/>
      <c r="EJL10" s="21"/>
      <c r="EJM10" s="21"/>
      <c r="EJN10" s="21"/>
      <c r="EJO10" s="21"/>
      <c r="EJP10" s="21"/>
      <c r="EJQ10" s="21"/>
      <c r="EJR10" s="21"/>
      <c r="EJS10" s="21"/>
      <c r="EJT10" s="21"/>
      <c r="EJU10" s="21"/>
      <c r="EJV10" s="21"/>
      <c r="EJW10" s="21"/>
      <c r="EJX10" s="21"/>
      <c r="EJY10" s="21"/>
      <c r="EJZ10" s="21"/>
      <c r="EKA10" s="21"/>
      <c r="EKB10" s="21"/>
      <c r="EKC10" s="21"/>
      <c r="EKD10" s="21"/>
      <c r="EKE10" s="21"/>
      <c r="EKF10" s="21"/>
      <c r="EKG10" s="21"/>
      <c r="EKH10" s="21"/>
      <c r="EKI10" s="21"/>
      <c r="EKJ10" s="21"/>
      <c r="EKK10" s="21"/>
      <c r="EKL10" s="21"/>
      <c r="EKM10" s="21"/>
      <c r="EKN10" s="21"/>
      <c r="EKO10" s="21"/>
      <c r="EKP10" s="21"/>
      <c r="EKQ10" s="21"/>
      <c r="EKR10" s="21"/>
      <c r="EKS10" s="21"/>
      <c r="EKT10" s="21"/>
      <c r="EKU10" s="21"/>
      <c r="EKV10" s="21"/>
      <c r="EKW10" s="21"/>
      <c r="EKX10" s="21"/>
      <c r="EKY10" s="21"/>
      <c r="EKZ10" s="21"/>
      <c r="ELA10" s="21"/>
      <c r="ELB10" s="21"/>
      <c r="ELC10" s="21"/>
      <c r="ELD10" s="21"/>
      <c r="ELE10" s="21"/>
      <c r="ELF10" s="21"/>
      <c r="ELG10" s="21"/>
      <c r="ELH10" s="21"/>
      <c r="ELI10" s="21"/>
      <c r="ELJ10" s="21"/>
      <c r="ELK10" s="21"/>
      <c r="ELL10" s="21"/>
      <c r="ELM10" s="21"/>
      <c r="ELN10" s="21"/>
      <c r="ELO10" s="21"/>
      <c r="ELP10" s="21"/>
      <c r="ELQ10" s="21"/>
      <c r="ELR10" s="21"/>
      <c r="ELS10" s="21"/>
      <c r="ELT10" s="21"/>
      <c r="ELU10" s="21"/>
      <c r="ELV10" s="21"/>
      <c r="ELW10" s="21"/>
      <c r="ELX10" s="21"/>
      <c r="ELY10" s="21"/>
      <c r="ELZ10" s="21"/>
      <c r="EMA10" s="21"/>
      <c r="EMB10" s="21"/>
      <c r="EMC10" s="21"/>
      <c r="EMD10" s="21"/>
      <c r="EME10" s="21"/>
      <c r="EMF10" s="21"/>
      <c r="EMG10" s="21"/>
      <c r="EMH10" s="21"/>
      <c r="EMI10" s="21"/>
      <c r="EMJ10" s="21"/>
      <c r="EMK10" s="21"/>
      <c r="EML10" s="21"/>
      <c r="EMM10" s="21"/>
      <c r="EMN10" s="21"/>
      <c r="EMO10" s="21"/>
      <c r="EMP10" s="21"/>
      <c r="EMQ10" s="21"/>
      <c r="EMR10" s="21"/>
      <c r="EMS10" s="21"/>
      <c r="EMT10" s="21"/>
      <c r="EMU10" s="21"/>
      <c r="EMV10" s="21"/>
      <c r="EMW10" s="21"/>
      <c r="EMX10" s="21"/>
      <c r="EMY10" s="21"/>
      <c r="EMZ10" s="21"/>
      <c r="ENA10" s="21"/>
      <c r="ENB10" s="21"/>
      <c r="ENC10" s="21"/>
      <c r="END10" s="21"/>
      <c r="ENE10" s="21"/>
      <c r="ENF10" s="21"/>
      <c r="ENG10" s="21"/>
      <c r="ENH10" s="21"/>
      <c r="ENI10" s="21"/>
      <c r="ENJ10" s="21"/>
      <c r="ENK10" s="21"/>
      <c r="ENL10" s="21"/>
      <c r="ENM10" s="21"/>
      <c r="ENN10" s="21"/>
      <c r="ENO10" s="21"/>
      <c r="ENP10" s="21"/>
      <c r="ENQ10" s="21"/>
      <c r="ENR10" s="21"/>
      <c r="ENS10" s="21"/>
      <c r="ENT10" s="21"/>
      <c r="ENU10" s="21"/>
      <c r="ENV10" s="21"/>
      <c r="ENW10" s="21"/>
      <c r="ENX10" s="21"/>
      <c r="ENY10" s="21"/>
      <c r="ENZ10" s="21"/>
      <c r="EOA10" s="21"/>
      <c r="EOB10" s="21"/>
      <c r="EOC10" s="21"/>
      <c r="EOD10" s="21"/>
      <c r="EOE10" s="21"/>
      <c r="EOF10" s="21"/>
      <c r="EOG10" s="21"/>
      <c r="EOH10" s="21"/>
      <c r="EOI10" s="21"/>
      <c r="EOJ10" s="21"/>
      <c r="EOK10" s="21"/>
      <c r="EOL10" s="21"/>
      <c r="EOM10" s="21"/>
      <c r="EON10" s="21"/>
      <c r="EOO10" s="21"/>
      <c r="EOP10" s="21"/>
      <c r="EOQ10" s="21"/>
      <c r="EOR10" s="21"/>
      <c r="EOS10" s="21"/>
      <c r="EOT10" s="21"/>
      <c r="EOU10" s="21"/>
      <c r="EOV10" s="21"/>
      <c r="EOW10" s="21"/>
      <c r="EOX10" s="21"/>
      <c r="EOY10" s="21"/>
      <c r="EOZ10" s="21"/>
      <c r="EPA10" s="21"/>
      <c r="EPB10" s="21"/>
      <c r="EPC10" s="21"/>
      <c r="EPD10" s="21"/>
      <c r="EPE10" s="21"/>
      <c r="EPF10" s="21"/>
      <c r="EPG10" s="21"/>
      <c r="EPH10" s="21"/>
      <c r="EPI10" s="21"/>
      <c r="EPJ10" s="21"/>
      <c r="EPK10" s="21"/>
      <c r="EPL10" s="21"/>
      <c r="EPM10" s="21"/>
      <c r="EPN10" s="21"/>
      <c r="EPO10" s="21"/>
      <c r="EPP10" s="21"/>
      <c r="EPQ10" s="21"/>
      <c r="EPR10" s="21"/>
      <c r="EPS10" s="21"/>
      <c r="EPT10" s="21"/>
      <c r="EPU10" s="21"/>
      <c r="EPV10" s="21"/>
      <c r="EPW10" s="21"/>
      <c r="EPX10" s="21"/>
      <c r="EPY10" s="21"/>
      <c r="EPZ10" s="21"/>
      <c r="EQA10" s="21"/>
      <c r="EQB10" s="21"/>
      <c r="EQC10" s="21"/>
      <c r="EQD10" s="21"/>
      <c r="EQE10" s="21"/>
      <c r="EQF10" s="21"/>
      <c r="EQG10" s="21"/>
      <c r="EQH10" s="21"/>
      <c r="EQI10" s="21"/>
      <c r="EQJ10" s="21"/>
      <c r="EQK10" s="21"/>
      <c r="EQL10" s="21"/>
      <c r="EQM10" s="21"/>
      <c r="EQN10" s="21"/>
      <c r="EQO10" s="21"/>
      <c r="EQP10" s="21"/>
      <c r="EQQ10" s="21"/>
      <c r="EQR10" s="21"/>
      <c r="EQS10" s="21"/>
      <c r="EQT10" s="21"/>
      <c r="EQU10" s="21"/>
      <c r="EQV10" s="21"/>
      <c r="EQW10" s="21"/>
      <c r="EQX10" s="21"/>
      <c r="EQY10" s="21"/>
      <c r="EQZ10" s="21"/>
      <c r="ERA10" s="21"/>
      <c r="ERB10" s="21"/>
      <c r="ERC10" s="21"/>
      <c r="ERD10" s="21"/>
      <c r="ERE10" s="21"/>
      <c r="ERF10" s="21"/>
      <c r="ERG10" s="21"/>
      <c r="ERH10" s="21"/>
      <c r="ERI10" s="21"/>
      <c r="ERJ10" s="21"/>
      <c r="ERK10" s="21"/>
      <c r="ERL10" s="21"/>
      <c r="ERM10" s="21"/>
      <c r="ERN10" s="21"/>
      <c r="ERO10" s="21"/>
      <c r="ERP10" s="21"/>
      <c r="ERQ10" s="21"/>
      <c r="ERR10" s="21"/>
      <c r="ERS10" s="21"/>
      <c r="ERT10" s="21"/>
      <c r="ERU10" s="21"/>
      <c r="ERV10" s="21"/>
      <c r="ERW10" s="21"/>
      <c r="ERX10" s="21"/>
      <c r="ERY10" s="21"/>
      <c r="ERZ10" s="21"/>
      <c r="ESA10" s="21"/>
      <c r="ESB10" s="21"/>
      <c r="ESC10" s="21"/>
      <c r="ESD10" s="21"/>
      <c r="ESE10" s="21"/>
      <c r="ESF10" s="21"/>
      <c r="ESG10" s="21"/>
      <c r="ESH10" s="21"/>
      <c r="ESI10" s="21"/>
      <c r="ESJ10" s="21"/>
      <c r="ESK10" s="21"/>
      <c r="ESL10" s="21"/>
      <c r="ESM10" s="21"/>
      <c r="ESN10" s="21"/>
      <c r="ESO10" s="21"/>
      <c r="ESP10" s="21"/>
      <c r="ESQ10" s="21"/>
      <c r="ESR10" s="21"/>
      <c r="ESS10" s="21"/>
      <c r="EST10" s="21"/>
      <c r="ESU10" s="21"/>
      <c r="ESV10" s="21"/>
      <c r="ESW10" s="21"/>
      <c r="ESX10" s="21"/>
      <c r="ESY10" s="21"/>
      <c r="ESZ10" s="21"/>
      <c r="ETA10" s="21"/>
      <c r="ETB10" s="21"/>
      <c r="ETC10" s="21"/>
      <c r="ETD10" s="21"/>
      <c r="ETE10" s="21"/>
      <c r="ETF10" s="21"/>
      <c r="ETG10" s="21"/>
      <c r="ETH10" s="21"/>
      <c r="ETI10" s="21"/>
      <c r="ETJ10" s="21"/>
      <c r="ETK10" s="21"/>
      <c r="ETL10" s="21"/>
      <c r="ETM10" s="21"/>
      <c r="ETN10" s="21"/>
      <c r="ETO10" s="21"/>
      <c r="ETP10" s="21"/>
      <c r="ETQ10" s="21"/>
      <c r="ETR10" s="21"/>
      <c r="ETS10" s="21"/>
      <c r="ETT10" s="21"/>
      <c r="ETU10" s="21"/>
      <c r="ETV10" s="21"/>
      <c r="ETW10" s="21"/>
      <c r="ETX10" s="21"/>
      <c r="ETY10" s="21"/>
      <c r="ETZ10" s="21"/>
      <c r="EUA10" s="21"/>
      <c r="EUB10" s="21"/>
      <c r="EUC10" s="21"/>
      <c r="EUD10" s="21"/>
      <c r="EUE10" s="21"/>
      <c r="EUF10" s="21"/>
      <c r="EUG10" s="21"/>
      <c r="EUH10" s="21"/>
      <c r="EUI10" s="21"/>
      <c r="EUJ10" s="21"/>
      <c r="EUK10" s="21"/>
      <c r="EUL10" s="21"/>
      <c r="EUM10" s="21"/>
      <c r="EUN10" s="21"/>
      <c r="EUO10" s="21"/>
      <c r="EUP10" s="21"/>
      <c r="EUQ10" s="21"/>
      <c r="EUR10" s="21"/>
      <c r="EUS10" s="21"/>
      <c r="EUT10" s="21"/>
      <c r="EUU10" s="21"/>
      <c r="EUV10" s="21"/>
      <c r="EUW10" s="21"/>
      <c r="EUX10" s="21"/>
      <c r="EUY10" s="21"/>
      <c r="EUZ10" s="21"/>
      <c r="EVA10" s="21"/>
      <c r="EVB10" s="21"/>
      <c r="EVC10" s="21"/>
      <c r="EVD10" s="21"/>
      <c r="EVE10" s="21"/>
      <c r="EVF10" s="21"/>
      <c r="EVG10" s="21"/>
      <c r="EVH10" s="21"/>
      <c r="EVI10" s="21"/>
      <c r="EVJ10" s="21"/>
      <c r="EVK10" s="21"/>
      <c r="EVL10" s="21"/>
      <c r="EVM10" s="21"/>
      <c r="EVN10" s="21"/>
      <c r="EVO10" s="21"/>
      <c r="EVP10" s="21"/>
      <c r="EVQ10" s="21"/>
      <c r="EVR10" s="21"/>
      <c r="EVS10" s="21"/>
      <c r="EVT10" s="21"/>
      <c r="EVU10" s="21"/>
      <c r="EVV10" s="21"/>
      <c r="EVW10" s="21"/>
      <c r="EVX10" s="21"/>
      <c r="EVY10" s="21"/>
      <c r="EVZ10" s="21"/>
      <c r="EWA10" s="21"/>
      <c r="EWB10" s="21"/>
      <c r="EWC10" s="21"/>
      <c r="EWD10" s="21"/>
      <c r="EWE10" s="21"/>
      <c r="EWF10" s="21"/>
      <c r="EWG10" s="21"/>
      <c r="EWH10" s="21"/>
      <c r="EWI10" s="21"/>
      <c r="EWJ10" s="21"/>
      <c r="EWK10" s="21"/>
      <c r="EWL10" s="21"/>
      <c r="EWM10" s="21"/>
      <c r="EWN10" s="21"/>
      <c r="EWO10" s="21"/>
      <c r="EWP10" s="21"/>
      <c r="EWQ10" s="21"/>
      <c r="EWR10" s="21"/>
      <c r="EWS10" s="21"/>
      <c r="EWT10" s="21"/>
      <c r="EWU10" s="21"/>
      <c r="EWV10" s="21"/>
      <c r="EWW10" s="21"/>
      <c r="EWX10" s="21"/>
      <c r="EWY10" s="21"/>
      <c r="EWZ10" s="21"/>
      <c r="EXA10" s="21"/>
      <c r="EXB10" s="21"/>
      <c r="EXC10" s="21"/>
      <c r="EXD10" s="21"/>
      <c r="EXE10" s="21"/>
      <c r="EXF10" s="21"/>
      <c r="EXG10" s="21"/>
      <c r="EXH10" s="21"/>
      <c r="EXI10" s="21"/>
      <c r="EXJ10" s="21"/>
      <c r="EXK10" s="21"/>
      <c r="EXL10" s="21"/>
      <c r="EXM10" s="21"/>
      <c r="EXN10" s="21"/>
      <c r="EXO10" s="21"/>
      <c r="EXP10" s="21"/>
      <c r="EXQ10" s="21"/>
      <c r="EXR10" s="21"/>
      <c r="EXS10" s="21"/>
      <c r="EXT10" s="21"/>
      <c r="EXU10" s="21"/>
      <c r="EXV10" s="21"/>
      <c r="EXW10" s="21"/>
      <c r="EXX10" s="21"/>
      <c r="EXY10" s="21"/>
      <c r="EXZ10" s="21"/>
      <c r="EYA10" s="21"/>
      <c r="EYB10" s="21"/>
      <c r="EYC10" s="21"/>
      <c r="EYD10" s="21"/>
      <c r="EYE10" s="21"/>
      <c r="EYF10" s="21"/>
      <c r="EYG10" s="21"/>
      <c r="EYH10" s="21"/>
      <c r="EYI10" s="21"/>
      <c r="EYJ10" s="21"/>
      <c r="EYK10" s="21"/>
      <c r="EYL10" s="21"/>
      <c r="EYM10" s="21"/>
      <c r="EYN10" s="21"/>
      <c r="EYO10" s="21"/>
      <c r="EYP10" s="21"/>
      <c r="EYQ10" s="21"/>
      <c r="EYR10" s="21"/>
      <c r="EYS10" s="21"/>
      <c r="EYT10" s="21"/>
      <c r="EYU10" s="21"/>
      <c r="EYV10" s="21"/>
      <c r="EYW10" s="21"/>
      <c r="EYX10" s="21"/>
      <c r="EYY10" s="21"/>
      <c r="EYZ10" s="21"/>
      <c r="EZA10" s="21"/>
      <c r="EZB10" s="21"/>
      <c r="EZC10" s="21"/>
      <c r="EZD10" s="21"/>
      <c r="EZE10" s="21"/>
      <c r="EZF10" s="21"/>
      <c r="EZG10" s="21"/>
      <c r="EZH10" s="21"/>
      <c r="EZI10" s="21"/>
      <c r="EZJ10" s="21"/>
      <c r="EZK10" s="21"/>
      <c r="EZL10" s="21"/>
      <c r="EZM10" s="21"/>
      <c r="EZN10" s="21"/>
      <c r="EZO10" s="21"/>
      <c r="EZP10" s="21"/>
      <c r="EZQ10" s="21"/>
      <c r="EZR10" s="21"/>
      <c r="EZS10" s="21"/>
      <c r="EZT10" s="21"/>
      <c r="EZU10" s="21"/>
      <c r="EZV10" s="21"/>
      <c r="EZW10" s="21"/>
      <c r="EZX10" s="21"/>
      <c r="EZY10" s="21"/>
      <c r="EZZ10" s="21"/>
      <c r="FAA10" s="21"/>
      <c r="FAB10" s="21"/>
      <c r="FAC10" s="21"/>
      <c r="FAD10" s="21"/>
      <c r="FAE10" s="21"/>
      <c r="FAF10" s="21"/>
      <c r="FAG10" s="21"/>
      <c r="FAH10" s="21"/>
      <c r="FAI10" s="21"/>
      <c r="FAJ10" s="21"/>
      <c r="FAK10" s="21"/>
      <c r="FAL10" s="21"/>
      <c r="FAM10" s="21"/>
      <c r="FAN10" s="21"/>
      <c r="FAO10" s="21"/>
      <c r="FAP10" s="21"/>
      <c r="FAQ10" s="21"/>
      <c r="FAR10" s="21"/>
      <c r="FAS10" s="21"/>
      <c r="FAT10" s="21"/>
      <c r="FAU10" s="21"/>
      <c r="FAV10" s="21"/>
      <c r="FAW10" s="21"/>
      <c r="FAX10" s="21"/>
      <c r="FAY10" s="21"/>
      <c r="FAZ10" s="21"/>
      <c r="FBA10" s="21"/>
      <c r="FBB10" s="21"/>
      <c r="FBC10" s="21"/>
      <c r="FBD10" s="21"/>
      <c r="FBE10" s="21"/>
      <c r="FBF10" s="21"/>
      <c r="FBG10" s="21"/>
      <c r="FBH10" s="21"/>
      <c r="FBI10" s="21"/>
      <c r="FBJ10" s="21"/>
      <c r="FBK10" s="21"/>
      <c r="FBL10" s="21"/>
      <c r="FBM10" s="21"/>
      <c r="FBN10" s="21"/>
      <c r="FBO10" s="21"/>
      <c r="FBP10" s="21"/>
      <c r="FBQ10" s="21"/>
      <c r="FBR10" s="21"/>
      <c r="FBS10" s="21"/>
      <c r="FBT10" s="21"/>
      <c r="FBU10" s="21"/>
      <c r="FBV10" s="21"/>
      <c r="FBW10" s="21"/>
      <c r="FBX10" s="21"/>
      <c r="FBY10" s="21"/>
      <c r="FBZ10" s="21"/>
      <c r="FCA10" s="21"/>
      <c r="FCB10" s="21"/>
      <c r="FCC10" s="21"/>
      <c r="FCD10" s="21"/>
      <c r="FCE10" s="21"/>
      <c r="FCF10" s="21"/>
      <c r="FCG10" s="21"/>
      <c r="FCH10" s="21"/>
      <c r="FCI10" s="21"/>
      <c r="FCJ10" s="21"/>
      <c r="FCK10" s="21"/>
      <c r="FCL10" s="21"/>
      <c r="FCM10" s="21"/>
      <c r="FCN10" s="21"/>
      <c r="FCO10" s="21"/>
      <c r="FCP10" s="21"/>
      <c r="FCQ10" s="21"/>
      <c r="FCR10" s="21"/>
      <c r="FCS10" s="21"/>
      <c r="FCT10" s="21"/>
      <c r="FCU10" s="21"/>
      <c r="FCV10" s="21"/>
      <c r="FCW10" s="21"/>
      <c r="FCX10" s="21"/>
      <c r="FCY10" s="21"/>
      <c r="FCZ10" s="21"/>
      <c r="FDA10" s="21"/>
      <c r="FDB10" s="21"/>
      <c r="FDC10" s="21"/>
      <c r="FDD10" s="21"/>
      <c r="FDE10" s="21"/>
      <c r="FDF10" s="21"/>
      <c r="FDG10" s="21"/>
      <c r="FDH10" s="21"/>
      <c r="FDI10" s="21"/>
      <c r="FDJ10" s="21"/>
      <c r="FDK10" s="21"/>
      <c r="FDL10" s="21"/>
      <c r="FDM10" s="21"/>
      <c r="FDN10" s="21"/>
      <c r="FDO10" s="21"/>
      <c r="FDP10" s="21"/>
      <c r="FDQ10" s="21"/>
      <c r="FDR10" s="21"/>
      <c r="FDS10" s="21"/>
      <c r="FDT10" s="21"/>
      <c r="FDU10" s="21"/>
      <c r="FDV10" s="21"/>
      <c r="FDW10" s="21"/>
      <c r="FDX10" s="21"/>
      <c r="FDY10" s="21"/>
      <c r="FDZ10" s="21"/>
      <c r="FEA10" s="21"/>
      <c r="FEB10" s="21"/>
      <c r="FEC10" s="21"/>
      <c r="FED10" s="21"/>
      <c r="FEE10" s="21"/>
      <c r="FEF10" s="21"/>
      <c r="FEG10" s="21"/>
      <c r="FEH10" s="21"/>
      <c r="FEI10" s="21"/>
      <c r="FEJ10" s="21"/>
      <c r="FEK10" s="21"/>
      <c r="FEL10" s="21"/>
      <c r="FEM10" s="21"/>
      <c r="FEN10" s="21"/>
      <c r="FEO10" s="21"/>
      <c r="FEP10" s="21"/>
      <c r="FEQ10" s="21"/>
      <c r="FER10" s="21"/>
      <c r="FES10" s="21"/>
      <c r="FET10" s="21"/>
      <c r="FEU10" s="21"/>
      <c r="FEV10" s="21"/>
      <c r="FEW10" s="21"/>
      <c r="FEX10" s="21"/>
      <c r="FEY10" s="21"/>
      <c r="FEZ10" s="21"/>
      <c r="FFA10" s="21"/>
      <c r="FFB10" s="21"/>
      <c r="FFC10" s="21"/>
      <c r="FFD10" s="21"/>
      <c r="FFE10" s="21"/>
      <c r="FFF10" s="21"/>
      <c r="FFG10" s="21"/>
      <c r="FFH10" s="21"/>
      <c r="FFI10" s="21"/>
      <c r="FFJ10" s="21"/>
      <c r="FFK10" s="21"/>
      <c r="FFL10" s="21"/>
      <c r="FFM10" s="21"/>
      <c r="FFN10" s="21"/>
      <c r="FFO10" s="21"/>
      <c r="FFP10" s="21"/>
      <c r="FFQ10" s="21"/>
      <c r="FFR10" s="21"/>
      <c r="FFS10" s="21"/>
      <c r="FFT10" s="21"/>
      <c r="FFU10" s="21"/>
      <c r="FFV10" s="21"/>
      <c r="FFW10" s="21"/>
      <c r="FFX10" s="21"/>
      <c r="FFY10" s="21"/>
      <c r="FFZ10" s="21"/>
      <c r="FGA10" s="21"/>
      <c r="FGB10" s="21"/>
      <c r="FGC10" s="21"/>
      <c r="FGD10" s="21"/>
      <c r="FGE10" s="21"/>
      <c r="FGF10" s="21"/>
      <c r="FGG10" s="21"/>
      <c r="FGH10" s="21"/>
      <c r="FGI10" s="21"/>
      <c r="FGJ10" s="21"/>
      <c r="FGK10" s="21"/>
      <c r="FGL10" s="21"/>
      <c r="FGM10" s="21"/>
      <c r="FGN10" s="21"/>
      <c r="FGO10" s="21"/>
      <c r="FGP10" s="21"/>
      <c r="FGQ10" s="21"/>
      <c r="FGR10" s="21"/>
      <c r="FGS10" s="21"/>
      <c r="FGT10" s="21"/>
      <c r="FGU10" s="21"/>
      <c r="FGV10" s="21"/>
      <c r="FGW10" s="21"/>
      <c r="FGX10" s="21"/>
      <c r="FGY10" s="21"/>
      <c r="FGZ10" s="21"/>
      <c r="FHA10" s="21"/>
      <c r="FHB10" s="21"/>
      <c r="FHC10" s="21"/>
      <c r="FHD10" s="21"/>
      <c r="FHE10" s="21"/>
      <c r="FHF10" s="21"/>
      <c r="FHG10" s="21"/>
      <c r="FHH10" s="21"/>
      <c r="FHI10" s="21"/>
      <c r="FHJ10" s="21"/>
      <c r="FHK10" s="21"/>
      <c r="FHL10" s="21"/>
      <c r="FHM10" s="21"/>
      <c r="FHN10" s="21"/>
      <c r="FHO10" s="21"/>
      <c r="FHP10" s="21"/>
      <c r="FHQ10" s="21"/>
      <c r="FHR10" s="21"/>
      <c r="FHS10" s="21"/>
      <c r="FHT10" s="21"/>
      <c r="FHU10" s="21"/>
      <c r="FHV10" s="21"/>
      <c r="FHW10" s="21"/>
      <c r="FHX10" s="21"/>
      <c r="FHY10" s="21"/>
      <c r="FHZ10" s="21"/>
      <c r="FIA10" s="21"/>
      <c r="FIB10" s="21"/>
      <c r="FIC10" s="21"/>
      <c r="FID10" s="21"/>
      <c r="FIE10" s="21"/>
      <c r="FIF10" s="21"/>
      <c r="FIG10" s="21"/>
      <c r="FIH10" s="21"/>
      <c r="FII10" s="21"/>
      <c r="FIJ10" s="21"/>
      <c r="FIK10" s="21"/>
      <c r="FIL10" s="21"/>
      <c r="FIM10" s="21"/>
      <c r="FIN10" s="21"/>
      <c r="FIO10" s="21"/>
      <c r="FIP10" s="21"/>
      <c r="FIQ10" s="21"/>
      <c r="FIR10" s="21"/>
      <c r="FIS10" s="21"/>
      <c r="FIT10" s="21"/>
      <c r="FIU10" s="21"/>
      <c r="FIV10" s="21"/>
      <c r="FIW10" s="21"/>
      <c r="FIX10" s="21"/>
      <c r="FIY10" s="21"/>
      <c r="FIZ10" s="21"/>
      <c r="FJA10" s="21"/>
      <c r="FJB10" s="21"/>
      <c r="FJC10" s="21"/>
      <c r="FJD10" s="21"/>
      <c r="FJE10" s="21"/>
      <c r="FJF10" s="21"/>
      <c r="FJG10" s="21"/>
      <c r="FJH10" s="21"/>
      <c r="FJI10" s="21"/>
      <c r="FJJ10" s="21"/>
      <c r="FJK10" s="21"/>
      <c r="FJL10" s="21"/>
      <c r="FJM10" s="21"/>
      <c r="FJN10" s="21"/>
      <c r="FJO10" s="21"/>
      <c r="FJP10" s="21"/>
      <c r="FJQ10" s="21"/>
      <c r="FJR10" s="21"/>
      <c r="FJS10" s="21"/>
      <c r="FJT10" s="21"/>
      <c r="FJU10" s="21"/>
      <c r="FJV10" s="21"/>
      <c r="FJW10" s="21"/>
      <c r="FJX10" s="21"/>
      <c r="FJY10" s="21"/>
      <c r="FJZ10" s="21"/>
      <c r="FKA10" s="21"/>
      <c r="FKB10" s="21"/>
      <c r="FKC10" s="21"/>
      <c r="FKD10" s="21"/>
      <c r="FKE10" s="21"/>
      <c r="FKF10" s="21"/>
      <c r="FKG10" s="21"/>
      <c r="FKH10" s="21"/>
      <c r="FKI10" s="21"/>
      <c r="FKJ10" s="21"/>
      <c r="FKK10" s="21"/>
      <c r="FKL10" s="21"/>
      <c r="FKM10" s="21"/>
      <c r="FKN10" s="21"/>
      <c r="FKO10" s="21"/>
      <c r="FKP10" s="21"/>
      <c r="FKQ10" s="21"/>
      <c r="FKR10" s="21"/>
      <c r="FKS10" s="21"/>
      <c r="FKT10" s="21"/>
      <c r="FKU10" s="21"/>
      <c r="FKV10" s="21"/>
      <c r="FKW10" s="21"/>
      <c r="FKX10" s="21"/>
      <c r="FKY10" s="21"/>
      <c r="FKZ10" s="21"/>
      <c r="FLA10" s="21"/>
      <c r="FLB10" s="21"/>
      <c r="FLC10" s="21"/>
      <c r="FLD10" s="21"/>
      <c r="FLE10" s="21"/>
      <c r="FLF10" s="21"/>
      <c r="FLG10" s="21"/>
      <c r="FLH10" s="21"/>
      <c r="FLI10" s="21"/>
      <c r="FLJ10" s="21"/>
      <c r="FLK10" s="21"/>
      <c r="FLL10" s="21"/>
      <c r="FLM10" s="21"/>
      <c r="FLN10" s="21"/>
      <c r="FLO10" s="21"/>
      <c r="FLP10" s="21"/>
      <c r="FLQ10" s="21"/>
      <c r="FLR10" s="21"/>
      <c r="FLS10" s="21"/>
      <c r="FLT10" s="21"/>
      <c r="FLU10" s="21"/>
      <c r="FLV10" s="21"/>
      <c r="FLW10" s="21"/>
      <c r="FLX10" s="21"/>
      <c r="FLY10" s="21"/>
      <c r="FLZ10" s="21"/>
      <c r="FMA10" s="21"/>
      <c r="FMB10" s="21"/>
      <c r="FMC10" s="21"/>
      <c r="FMD10" s="21"/>
      <c r="FME10" s="21"/>
      <c r="FMF10" s="21"/>
      <c r="FMG10" s="21"/>
      <c r="FMH10" s="21"/>
      <c r="FMI10" s="21"/>
      <c r="FMJ10" s="21"/>
      <c r="FMK10" s="21"/>
      <c r="FML10" s="21"/>
      <c r="FMM10" s="21"/>
      <c r="FMN10" s="21"/>
      <c r="FMO10" s="21"/>
      <c r="FMP10" s="21"/>
      <c r="FMQ10" s="21"/>
      <c r="FMR10" s="21"/>
      <c r="FMS10" s="21"/>
      <c r="FMT10" s="21"/>
      <c r="FMU10" s="21"/>
      <c r="FMV10" s="21"/>
      <c r="FMW10" s="21"/>
      <c r="FMX10" s="21"/>
      <c r="FMY10" s="21"/>
      <c r="FMZ10" s="21"/>
      <c r="FNA10" s="21"/>
      <c r="FNB10" s="21"/>
      <c r="FNC10" s="21"/>
      <c r="FND10" s="21"/>
      <c r="FNE10" s="21"/>
      <c r="FNF10" s="21"/>
      <c r="FNG10" s="21"/>
      <c r="FNH10" s="21"/>
      <c r="FNI10" s="21"/>
      <c r="FNJ10" s="21"/>
      <c r="FNK10" s="21"/>
      <c r="FNL10" s="21"/>
      <c r="FNM10" s="21"/>
      <c r="FNN10" s="21"/>
      <c r="FNO10" s="21"/>
      <c r="FNP10" s="21"/>
      <c r="FNQ10" s="21"/>
      <c r="FNR10" s="21"/>
      <c r="FNS10" s="21"/>
      <c r="FNT10" s="21"/>
      <c r="FNU10" s="21"/>
      <c r="FNV10" s="21"/>
      <c r="FNW10" s="21"/>
      <c r="FNX10" s="21"/>
      <c r="FNY10" s="21"/>
      <c r="FNZ10" s="21"/>
      <c r="FOA10" s="21"/>
      <c r="FOB10" s="21"/>
      <c r="FOC10" s="21"/>
      <c r="FOD10" s="21"/>
      <c r="FOE10" s="21"/>
      <c r="FOF10" s="21"/>
      <c r="FOG10" s="21"/>
      <c r="FOH10" s="21"/>
      <c r="FOI10" s="21"/>
      <c r="FOJ10" s="21"/>
      <c r="FOK10" s="21"/>
      <c r="FOL10" s="21"/>
      <c r="FOM10" s="21"/>
      <c r="FON10" s="21"/>
      <c r="FOO10" s="21"/>
      <c r="FOP10" s="21"/>
      <c r="FOQ10" s="21"/>
      <c r="FOR10" s="21"/>
      <c r="FOS10" s="21"/>
      <c r="FOT10" s="21"/>
      <c r="FOU10" s="21"/>
      <c r="FOV10" s="21"/>
      <c r="FOW10" s="21"/>
      <c r="FOX10" s="21"/>
      <c r="FOY10" s="21"/>
      <c r="FOZ10" s="21"/>
      <c r="FPA10" s="21"/>
      <c r="FPB10" s="21"/>
      <c r="FPC10" s="21"/>
      <c r="FPD10" s="21"/>
      <c r="FPE10" s="21"/>
      <c r="FPF10" s="21"/>
      <c r="FPG10" s="21"/>
      <c r="FPH10" s="21"/>
      <c r="FPI10" s="21"/>
      <c r="FPJ10" s="21"/>
      <c r="FPK10" s="21"/>
      <c r="FPL10" s="21"/>
      <c r="FPM10" s="21"/>
      <c r="FPN10" s="21"/>
      <c r="FPO10" s="21"/>
      <c r="FPP10" s="21"/>
      <c r="FPQ10" s="21"/>
      <c r="FPR10" s="21"/>
      <c r="FPS10" s="21"/>
      <c r="FPT10" s="21"/>
      <c r="FPU10" s="21"/>
      <c r="FPV10" s="21"/>
      <c r="FPW10" s="21"/>
      <c r="FPX10" s="21"/>
      <c r="FPY10" s="21"/>
      <c r="FPZ10" s="21"/>
      <c r="FQA10" s="21"/>
      <c r="FQB10" s="21"/>
      <c r="FQC10" s="21"/>
      <c r="FQD10" s="21"/>
      <c r="FQE10" s="21"/>
      <c r="FQF10" s="21"/>
      <c r="FQG10" s="21"/>
      <c r="FQH10" s="21"/>
      <c r="FQI10" s="21"/>
      <c r="FQJ10" s="21"/>
      <c r="FQK10" s="21"/>
      <c r="FQL10" s="21"/>
      <c r="FQM10" s="21"/>
      <c r="FQN10" s="21"/>
      <c r="FQO10" s="21"/>
      <c r="FQP10" s="21"/>
      <c r="FQQ10" s="21"/>
      <c r="FQR10" s="21"/>
      <c r="FQS10" s="21"/>
      <c r="FQT10" s="21"/>
      <c r="FQU10" s="21"/>
      <c r="FQV10" s="21"/>
      <c r="FQW10" s="21"/>
      <c r="FQX10" s="21"/>
      <c r="FQY10" s="21"/>
      <c r="FQZ10" s="21"/>
      <c r="FRA10" s="21"/>
      <c r="FRB10" s="21"/>
      <c r="FRC10" s="21"/>
      <c r="FRD10" s="21"/>
      <c r="FRE10" s="21"/>
      <c r="FRF10" s="21"/>
      <c r="FRG10" s="21"/>
      <c r="FRH10" s="21"/>
      <c r="FRI10" s="21"/>
      <c r="FRJ10" s="21"/>
      <c r="FRK10" s="21"/>
      <c r="FRL10" s="21"/>
      <c r="FRM10" s="21"/>
      <c r="FRN10" s="21"/>
      <c r="FRO10" s="21"/>
      <c r="FRP10" s="21"/>
      <c r="FRQ10" s="21"/>
      <c r="FRR10" s="21"/>
      <c r="FRS10" s="21"/>
      <c r="FRT10" s="21"/>
      <c r="FRU10" s="21"/>
      <c r="FRV10" s="21"/>
      <c r="FRW10" s="21"/>
      <c r="FRX10" s="21"/>
      <c r="FRY10" s="21"/>
      <c r="FRZ10" s="21"/>
      <c r="FSA10" s="21"/>
      <c r="FSB10" s="21"/>
      <c r="FSC10" s="21"/>
      <c r="FSD10" s="21"/>
      <c r="FSE10" s="21"/>
      <c r="FSF10" s="21"/>
      <c r="FSG10" s="21"/>
      <c r="FSH10" s="21"/>
      <c r="FSI10" s="21"/>
      <c r="FSJ10" s="21"/>
      <c r="FSK10" s="21"/>
      <c r="FSL10" s="21"/>
      <c r="FSM10" s="21"/>
      <c r="FSN10" s="21"/>
      <c r="FSO10" s="21"/>
      <c r="FSP10" s="21"/>
      <c r="FSQ10" s="21"/>
      <c r="FSR10" s="21"/>
      <c r="FSS10" s="21"/>
      <c r="FST10" s="21"/>
      <c r="FSU10" s="21"/>
      <c r="FSV10" s="21"/>
      <c r="FSW10" s="21"/>
      <c r="FSX10" s="21"/>
      <c r="FSY10" s="21"/>
      <c r="FSZ10" s="21"/>
      <c r="FTA10" s="21"/>
      <c r="FTB10" s="21"/>
      <c r="FTC10" s="21"/>
      <c r="FTD10" s="21"/>
      <c r="FTE10" s="21"/>
      <c r="FTF10" s="21"/>
      <c r="FTG10" s="21"/>
      <c r="FTH10" s="21"/>
      <c r="FTI10" s="21"/>
      <c r="FTJ10" s="21"/>
      <c r="FTK10" s="21"/>
      <c r="FTL10" s="21"/>
      <c r="FTM10" s="21"/>
      <c r="FTN10" s="21"/>
      <c r="FTO10" s="21"/>
      <c r="FTP10" s="21"/>
      <c r="FTQ10" s="21"/>
      <c r="FTR10" s="21"/>
      <c r="FTS10" s="21"/>
      <c r="FTT10" s="21"/>
      <c r="FTU10" s="21"/>
      <c r="FTV10" s="21"/>
      <c r="FTW10" s="21"/>
      <c r="FTX10" s="21"/>
      <c r="FTY10" s="21"/>
      <c r="FTZ10" s="21"/>
      <c r="FUA10" s="21"/>
      <c r="FUB10" s="21"/>
      <c r="FUC10" s="21"/>
      <c r="FUD10" s="21"/>
      <c r="FUE10" s="21"/>
      <c r="FUF10" s="21"/>
      <c r="FUG10" s="21"/>
      <c r="FUH10" s="21"/>
      <c r="FUI10" s="21"/>
      <c r="FUJ10" s="21"/>
      <c r="FUK10" s="21"/>
      <c r="FUL10" s="21"/>
      <c r="FUM10" s="21"/>
      <c r="FUN10" s="21"/>
      <c r="FUO10" s="21"/>
      <c r="FUP10" s="21"/>
      <c r="FUQ10" s="21"/>
      <c r="FUR10" s="21"/>
      <c r="FUS10" s="21"/>
      <c r="FUT10" s="21"/>
      <c r="FUU10" s="21"/>
      <c r="FUV10" s="21"/>
      <c r="FUW10" s="21"/>
      <c r="FUX10" s="21"/>
      <c r="FUY10" s="21"/>
      <c r="FUZ10" s="21"/>
      <c r="FVA10" s="21"/>
      <c r="FVB10" s="21"/>
      <c r="FVC10" s="21"/>
      <c r="FVD10" s="21"/>
      <c r="FVE10" s="21"/>
      <c r="FVF10" s="21"/>
      <c r="FVG10" s="21"/>
      <c r="FVH10" s="21"/>
      <c r="FVI10" s="21"/>
      <c r="FVJ10" s="21"/>
      <c r="FVK10" s="21"/>
      <c r="FVL10" s="21"/>
      <c r="FVM10" s="21"/>
      <c r="FVN10" s="21"/>
      <c r="FVO10" s="21"/>
      <c r="FVP10" s="21"/>
      <c r="FVQ10" s="21"/>
      <c r="FVR10" s="21"/>
      <c r="FVS10" s="21"/>
      <c r="FVT10" s="21"/>
      <c r="FVU10" s="21"/>
      <c r="FVV10" s="21"/>
      <c r="FVW10" s="21"/>
      <c r="FVX10" s="21"/>
      <c r="FVY10" s="21"/>
      <c r="FVZ10" s="21"/>
      <c r="FWA10" s="21"/>
      <c r="FWB10" s="21"/>
      <c r="FWC10" s="21"/>
      <c r="FWD10" s="21"/>
      <c r="FWE10" s="21"/>
      <c r="FWF10" s="21"/>
      <c r="FWG10" s="21"/>
      <c r="FWH10" s="21"/>
      <c r="FWI10" s="21"/>
      <c r="FWJ10" s="21"/>
      <c r="FWK10" s="21"/>
      <c r="FWL10" s="21"/>
      <c r="FWM10" s="21"/>
      <c r="FWN10" s="21"/>
      <c r="FWO10" s="21"/>
      <c r="FWP10" s="21"/>
      <c r="FWQ10" s="21"/>
      <c r="FWR10" s="21"/>
      <c r="FWS10" s="21"/>
      <c r="FWT10" s="21"/>
      <c r="FWU10" s="21"/>
      <c r="FWV10" s="21"/>
      <c r="FWW10" s="21"/>
      <c r="FWX10" s="21"/>
      <c r="FWY10" s="21"/>
      <c r="FWZ10" s="21"/>
      <c r="FXA10" s="21"/>
      <c r="FXB10" s="21"/>
      <c r="FXC10" s="21"/>
      <c r="FXD10" s="21"/>
      <c r="FXE10" s="21"/>
      <c r="FXF10" s="21"/>
      <c r="FXG10" s="21"/>
      <c r="FXH10" s="21"/>
      <c r="FXI10" s="21"/>
      <c r="FXJ10" s="21"/>
      <c r="FXK10" s="21"/>
      <c r="FXL10" s="21"/>
      <c r="FXM10" s="21"/>
      <c r="FXN10" s="21"/>
      <c r="FXO10" s="21"/>
      <c r="FXP10" s="21"/>
      <c r="FXQ10" s="21"/>
      <c r="FXR10" s="21"/>
      <c r="FXS10" s="21"/>
      <c r="FXT10" s="21"/>
      <c r="FXU10" s="21"/>
      <c r="FXV10" s="21"/>
      <c r="FXW10" s="21"/>
      <c r="FXX10" s="21"/>
      <c r="FXY10" s="21"/>
      <c r="FXZ10" s="21"/>
      <c r="FYA10" s="21"/>
      <c r="FYB10" s="21"/>
      <c r="FYC10" s="21"/>
      <c r="FYD10" s="21"/>
      <c r="FYE10" s="21"/>
      <c r="FYF10" s="21"/>
      <c r="FYG10" s="21"/>
      <c r="FYH10" s="21"/>
      <c r="FYI10" s="21"/>
      <c r="FYJ10" s="21"/>
      <c r="FYK10" s="21"/>
      <c r="FYL10" s="21"/>
      <c r="FYM10" s="21"/>
      <c r="FYN10" s="21"/>
      <c r="FYO10" s="21"/>
      <c r="FYP10" s="21"/>
      <c r="FYQ10" s="21"/>
      <c r="FYR10" s="21"/>
      <c r="FYS10" s="21"/>
      <c r="FYT10" s="21"/>
      <c r="FYU10" s="21"/>
      <c r="FYV10" s="21"/>
      <c r="FYW10" s="21"/>
      <c r="FYX10" s="21"/>
      <c r="FYY10" s="21"/>
      <c r="FYZ10" s="21"/>
      <c r="FZA10" s="21"/>
      <c r="FZB10" s="21"/>
      <c r="FZC10" s="21"/>
      <c r="FZD10" s="21"/>
      <c r="FZE10" s="21"/>
      <c r="FZF10" s="21"/>
      <c r="FZG10" s="21"/>
      <c r="FZH10" s="21"/>
      <c r="FZI10" s="21"/>
      <c r="FZJ10" s="21"/>
      <c r="FZK10" s="21"/>
      <c r="FZL10" s="21"/>
      <c r="FZM10" s="21"/>
      <c r="FZN10" s="21"/>
      <c r="FZO10" s="21"/>
      <c r="FZP10" s="21"/>
      <c r="FZQ10" s="21"/>
      <c r="FZR10" s="21"/>
      <c r="FZS10" s="21"/>
      <c r="FZT10" s="21"/>
      <c r="FZU10" s="21"/>
      <c r="FZV10" s="21"/>
      <c r="FZW10" s="21"/>
      <c r="FZX10" s="21"/>
      <c r="FZY10" s="21"/>
      <c r="FZZ10" s="21"/>
      <c r="GAA10" s="21"/>
      <c r="GAB10" s="21"/>
      <c r="GAC10" s="21"/>
      <c r="GAD10" s="21"/>
      <c r="GAE10" s="21"/>
      <c r="GAF10" s="21"/>
      <c r="GAG10" s="21"/>
      <c r="GAH10" s="21"/>
      <c r="GAI10" s="21"/>
      <c r="GAJ10" s="21"/>
      <c r="GAK10" s="21"/>
      <c r="GAL10" s="21"/>
      <c r="GAM10" s="21"/>
      <c r="GAN10" s="21"/>
      <c r="GAO10" s="21"/>
      <c r="GAP10" s="21"/>
      <c r="GAQ10" s="21"/>
      <c r="GAR10" s="21"/>
      <c r="GAS10" s="21"/>
      <c r="GAT10" s="21"/>
      <c r="GAU10" s="21"/>
      <c r="GAV10" s="21"/>
      <c r="GAW10" s="21"/>
      <c r="GAX10" s="21"/>
      <c r="GAY10" s="21"/>
      <c r="GAZ10" s="21"/>
      <c r="GBA10" s="21"/>
      <c r="GBB10" s="21"/>
      <c r="GBC10" s="21"/>
      <c r="GBD10" s="21"/>
      <c r="GBE10" s="21"/>
      <c r="GBF10" s="21"/>
      <c r="GBG10" s="21"/>
      <c r="GBH10" s="21"/>
      <c r="GBI10" s="21"/>
      <c r="GBJ10" s="21"/>
      <c r="GBK10" s="21"/>
      <c r="GBL10" s="21"/>
      <c r="GBM10" s="21"/>
      <c r="GBN10" s="21"/>
      <c r="GBO10" s="21"/>
      <c r="GBP10" s="21"/>
      <c r="GBQ10" s="21"/>
      <c r="GBR10" s="21"/>
      <c r="GBS10" s="21"/>
      <c r="GBT10" s="21"/>
      <c r="GBU10" s="21"/>
      <c r="GBV10" s="21"/>
      <c r="GBW10" s="21"/>
      <c r="GBX10" s="21"/>
      <c r="GBY10" s="21"/>
      <c r="GBZ10" s="21"/>
      <c r="GCA10" s="21"/>
      <c r="GCB10" s="21"/>
      <c r="GCC10" s="21"/>
      <c r="GCD10" s="21"/>
      <c r="GCE10" s="21"/>
      <c r="GCF10" s="21"/>
      <c r="GCG10" s="21"/>
      <c r="GCH10" s="21"/>
      <c r="GCI10" s="21"/>
      <c r="GCJ10" s="21"/>
      <c r="GCK10" s="21"/>
      <c r="GCL10" s="21"/>
      <c r="GCM10" s="21"/>
      <c r="GCN10" s="21"/>
      <c r="GCO10" s="21"/>
      <c r="GCP10" s="21"/>
      <c r="GCQ10" s="21"/>
      <c r="GCR10" s="21"/>
      <c r="GCS10" s="21"/>
      <c r="GCT10" s="21"/>
      <c r="GCU10" s="21"/>
      <c r="GCV10" s="21"/>
      <c r="GCW10" s="21"/>
      <c r="GCX10" s="21"/>
      <c r="GCY10" s="21"/>
      <c r="GCZ10" s="21"/>
      <c r="GDA10" s="21"/>
      <c r="GDB10" s="21"/>
      <c r="GDC10" s="21"/>
      <c r="GDD10" s="21"/>
      <c r="GDE10" s="21"/>
      <c r="GDF10" s="21"/>
      <c r="GDG10" s="21"/>
      <c r="GDH10" s="21"/>
      <c r="GDI10" s="21"/>
      <c r="GDJ10" s="21"/>
      <c r="GDK10" s="21"/>
      <c r="GDL10" s="21"/>
      <c r="GDM10" s="21"/>
      <c r="GDN10" s="21"/>
      <c r="GDO10" s="21"/>
      <c r="GDP10" s="21"/>
      <c r="GDQ10" s="21"/>
      <c r="GDR10" s="21"/>
      <c r="GDS10" s="21"/>
      <c r="GDT10" s="21"/>
      <c r="GDU10" s="21"/>
      <c r="GDV10" s="21"/>
      <c r="GDW10" s="21"/>
      <c r="GDX10" s="21"/>
      <c r="GDY10" s="21"/>
      <c r="GDZ10" s="21"/>
      <c r="GEA10" s="21"/>
      <c r="GEB10" s="21"/>
      <c r="GEC10" s="21"/>
      <c r="GED10" s="21"/>
      <c r="GEE10" s="21"/>
      <c r="GEF10" s="21"/>
      <c r="GEG10" s="21"/>
      <c r="GEH10" s="21"/>
      <c r="GEI10" s="21"/>
      <c r="GEJ10" s="21"/>
      <c r="GEK10" s="21"/>
      <c r="GEL10" s="21"/>
      <c r="GEM10" s="21"/>
      <c r="GEN10" s="21"/>
      <c r="GEO10" s="21"/>
      <c r="GEP10" s="21"/>
      <c r="GEQ10" s="21"/>
      <c r="GER10" s="21"/>
      <c r="GES10" s="21"/>
      <c r="GET10" s="21"/>
      <c r="GEU10" s="21"/>
      <c r="GEV10" s="21"/>
      <c r="GEW10" s="21"/>
      <c r="GEX10" s="21"/>
      <c r="GEY10" s="21"/>
      <c r="GEZ10" s="21"/>
      <c r="GFA10" s="21"/>
      <c r="GFB10" s="21"/>
      <c r="GFC10" s="21"/>
      <c r="GFD10" s="21"/>
      <c r="GFE10" s="21"/>
      <c r="GFF10" s="21"/>
      <c r="GFG10" s="21"/>
      <c r="GFH10" s="21"/>
      <c r="GFI10" s="21"/>
      <c r="GFJ10" s="21"/>
      <c r="GFK10" s="21"/>
      <c r="GFL10" s="21"/>
      <c r="GFM10" s="21"/>
      <c r="GFN10" s="21"/>
      <c r="GFO10" s="21"/>
      <c r="GFP10" s="21"/>
      <c r="GFQ10" s="21"/>
      <c r="GFR10" s="21"/>
      <c r="GFS10" s="21"/>
      <c r="GFT10" s="21"/>
      <c r="GFU10" s="21"/>
      <c r="GFV10" s="21"/>
      <c r="GFW10" s="21"/>
      <c r="GFX10" s="21"/>
      <c r="GFY10" s="21"/>
      <c r="GFZ10" s="21"/>
      <c r="GGA10" s="21"/>
      <c r="GGB10" s="21"/>
      <c r="GGC10" s="21"/>
      <c r="GGD10" s="21"/>
      <c r="GGE10" s="21"/>
      <c r="GGF10" s="21"/>
      <c r="GGG10" s="21"/>
      <c r="GGH10" s="21"/>
      <c r="GGI10" s="21"/>
      <c r="GGJ10" s="21"/>
      <c r="GGK10" s="21"/>
      <c r="GGL10" s="21"/>
      <c r="GGM10" s="21"/>
      <c r="GGN10" s="21"/>
      <c r="GGO10" s="21"/>
      <c r="GGP10" s="21"/>
      <c r="GGQ10" s="21"/>
      <c r="GGR10" s="21"/>
      <c r="GGS10" s="21"/>
      <c r="GGT10" s="21"/>
      <c r="GGU10" s="21"/>
      <c r="GGV10" s="21"/>
      <c r="GGW10" s="21"/>
      <c r="GGX10" s="21"/>
      <c r="GGY10" s="21"/>
      <c r="GGZ10" s="21"/>
      <c r="GHA10" s="21"/>
      <c r="GHB10" s="21"/>
      <c r="GHC10" s="21"/>
      <c r="GHD10" s="21"/>
      <c r="GHE10" s="21"/>
      <c r="GHF10" s="21"/>
      <c r="GHG10" s="21"/>
      <c r="GHH10" s="21"/>
      <c r="GHI10" s="21"/>
      <c r="GHJ10" s="21"/>
      <c r="GHK10" s="21"/>
      <c r="GHL10" s="21"/>
      <c r="GHM10" s="21"/>
      <c r="GHN10" s="21"/>
      <c r="GHO10" s="21"/>
      <c r="GHP10" s="21"/>
      <c r="GHQ10" s="21"/>
      <c r="GHR10" s="21"/>
      <c r="GHS10" s="21"/>
      <c r="GHT10" s="21"/>
      <c r="GHU10" s="21"/>
      <c r="GHV10" s="21"/>
      <c r="GHW10" s="21"/>
      <c r="GHX10" s="21"/>
      <c r="GHY10" s="21"/>
      <c r="GHZ10" s="21"/>
      <c r="GIA10" s="21"/>
      <c r="GIB10" s="21"/>
      <c r="GIC10" s="21"/>
      <c r="GID10" s="21"/>
      <c r="GIE10" s="21"/>
      <c r="GIF10" s="21"/>
      <c r="GIG10" s="21"/>
      <c r="GIH10" s="21"/>
      <c r="GII10" s="21"/>
      <c r="GIJ10" s="21"/>
      <c r="GIK10" s="21"/>
      <c r="GIL10" s="21"/>
      <c r="GIM10" s="21"/>
      <c r="GIN10" s="21"/>
      <c r="GIO10" s="21"/>
      <c r="GIP10" s="21"/>
      <c r="GIQ10" s="21"/>
      <c r="GIR10" s="21"/>
      <c r="GIS10" s="21"/>
      <c r="GIT10" s="21"/>
      <c r="GIU10" s="21"/>
      <c r="GIV10" s="21"/>
      <c r="GIW10" s="21"/>
      <c r="GIX10" s="21"/>
      <c r="GIY10" s="21"/>
      <c r="GIZ10" s="21"/>
      <c r="GJA10" s="21"/>
      <c r="GJB10" s="21"/>
      <c r="GJC10" s="21"/>
      <c r="GJD10" s="21"/>
      <c r="GJE10" s="21"/>
      <c r="GJF10" s="21"/>
      <c r="GJG10" s="21"/>
      <c r="GJH10" s="21"/>
      <c r="GJI10" s="21"/>
      <c r="GJJ10" s="21"/>
      <c r="GJK10" s="21"/>
      <c r="GJL10" s="21"/>
      <c r="GJM10" s="21"/>
      <c r="GJN10" s="21"/>
      <c r="GJO10" s="21"/>
      <c r="GJP10" s="21"/>
      <c r="GJQ10" s="21"/>
      <c r="GJR10" s="21"/>
      <c r="GJS10" s="21"/>
      <c r="GJT10" s="21"/>
      <c r="GJU10" s="21"/>
      <c r="GJV10" s="21"/>
      <c r="GJW10" s="21"/>
      <c r="GJX10" s="21"/>
      <c r="GJY10" s="21"/>
      <c r="GJZ10" s="21"/>
      <c r="GKA10" s="21"/>
      <c r="GKB10" s="21"/>
      <c r="GKC10" s="21"/>
      <c r="GKD10" s="21"/>
      <c r="GKE10" s="21"/>
      <c r="GKF10" s="21"/>
      <c r="GKG10" s="21"/>
      <c r="GKH10" s="21"/>
      <c r="GKI10" s="21"/>
      <c r="GKJ10" s="21"/>
      <c r="GKK10" s="21"/>
      <c r="GKL10" s="21"/>
      <c r="GKM10" s="21"/>
      <c r="GKN10" s="21"/>
      <c r="GKO10" s="21"/>
      <c r="GKP10" s="21"/>
      <c r="GKQ10" s="21"/>
      <c r="GKR10" s="21"/>
      <c r="GKS10" s="21"/>
      <c r="GKT10" s="21"/>
      <c r="GKU10" s="21"/>
      <c r="GKV10" s="21"/>
      <c r="GKW10" s="21"/>
      <c r="GKX10" s="21"/>
      <c r="GKY10" s="21"/>
      <c r="GKZ10" s="21"/>
      <c r="GLA10" s="21"/>
      <c r="GLB10" s="21"/>
      <c r="GLC10" s="21"/>
      <c r="GLD10" s="21"/>
      <c r="GLE10" s="21"/>
      <c r="GLF10" s="21"/>
      <c r="GLG10" s="21"/>
      <c r="GLH10" s="21"/>
      <c r="GLI10" s="21"/>
      <c r="GLJ10" s="21"/>
      <c r="GLK10" s="21"/>
      <c r="GLL10" s="21"/>
      <c r="GLM10" s="21"/>
      <c r="GLN10" s="21"/>
      <c r="GLO10" s="21"/>
      <c r="GLP10" s="21"/>
      <c r="GLQ10" s="21"/>
      <c r="GLR10" s="21"/>
      <c r="GLS10" s="21"/>
      <c r="GLT10" s="21"/>
      <c r="GLU10" s="21"/>
      <c r="GLV10" s="21"/>
      <c r="GLW10" s="21"/>
      <c r="GLX10" s="21"/>
      <c r="GLY10" s="21"/>
      <c r="GLZ10" s="21"/>
      <c r="GMA10" s="21"/>
      <c r="GMB10" s="21"/>
      <c r="GMC10" s="21"/>
      <c r="GMD10" s="21"/>
      <c r="GME10" s="21"/>
      <c r="GMF10" s="21"/>
      <c r="GMG10" s="21"/>
      <c r="GMH10" s="21"/>
      <c r="GMI10" s="21"/>
      <c r="GMJ10" s="21"/>
      <c r="GMK10" s="21"/>
      <c r="GML10" s="21"/>
      <c r="GMM10" s="21"/>
      <c r="GMN10" s="21"/>
      <c r="GMO10" s="21"/>
      <c r="GMP10" s="21"/>
      <c r="GMQ10" s="21"/>
      <c r="GMR10" s="21"/>
      <c r="GMS10" s="21"/>
      <c r="GMT10" s="21"/>
      <c r="GMU10" s="21"/>
      <c r="GMV10" s="21"/>
      <c r="GMW10" s="21"/>
      <c r="GMX10" s="21"/>
      <c r="GMY10" s="21"/>
      <c r="GMZ10" s="21"/>
      <c r="GNA10" s="21"/>
      <c r="GNB10" s="21"/>
      <c r="GNC10" s="21"/>
      <c r="GND10" s="21"/>
      <c r="GNE10" s="21"/>
      <c r="GNF10" s="21"/>
      <c r="GNG10" s="21"/>
      <c r="GNH10" s="21"/>
      <c r="GNI10" s="21"/>
      <c r="GNJ10" s="21"/>
      <c r="GNK10" s="21"/>
      <c r="GNL10" s="21"/>
      <c r="GNM10" s="21"/>
      <c r="GNN10" s="21"/>
      <c r="GNO10" s="21"/>
      <c r="GNP10" s="21"/>
      <c r="GNQ10" s="21"/>
      <c r="GNR10" s="21"/>
      <c r="GNS10" s="21"/>
      <c r="GNT10" s="21"/>
      <c r="GNU10" s="21"/>
      <c r="GNV10" s="21"/>
      <c r="GNW10" s="21"/>
      <c r="GNX10" s="21"/>
      <c r="GNY10" s="21"/>
      <c r="GNZ10" s="21"/>
      <c r="GOA10" s="21"/>
      <c r="GOB10" s="21"/>
      <c r="GOC10" s="21"/>
      <c r="GOD10" s="21"/>
      <c r="GOE10" s="21"/>
      <c r="GOF10" s="21"/>
      <c r="GOG10" s="21"/>
      <c r="GOH10" s="21"/>
      <c r="GOI10" s="21"/>
      <c r="GOJ10" s="21"/>
      <c r="GOK10" s="21"/>
      <c r="GOL10" s="21"/>
      <c r="GOM10" s="21"/>
      <c r="GON10" s="21"/>
      <c r="GOO10" s="21"/>
      <c r="GOP10" s="21"/>
      <c r="GOQ10" s="21"/>
      <c r="GOR10" s="21"/>
      <c r="GOS10" s="21"/>
      <c r="GOT10" s="21"/>
      <c r="GOU10" s="21"/>
      <c r="GOV10" s="21"/>
      <c r="GOW10" s="21"/>
      <c r="GOX10" s="21"/>
      <c r="GOY10" s="21"/>
      <c r="GOZ10" s="21"/>
      <c r="GPA10" s="21"/>
      <c r="GPB10" s="21"/>
      <c r="GPC10" s="21"/>
      <c r="GPD10" s="21"/>
      <c r="GPE10" s="21"/>
      <c r="GPF10" s="21"/>
      <c r="GPG10" s="21"/>
      <c r="GPH10" s="21"/>
      <c r="GPI10" s="21"/>
      <c r="GPJ10" s="21"/>
      <c r="GPK10" s="21"/>
      <c r="GPL10" s="21"/>
      <c r="GPM10" s="21"/>
      <c r="GPN10" s="21"/>
      <c r="GPO10" s="21"/>
      <c r="GPP10" s="21"/>
      <c r="GPQ10" s="21"/>
      <c r="GPR10" s="21"/>
      <c r="GPS10" s="21"/>
      <c r="GPT10" s="21"/>
      <c r="GPU10" s="21"/>
      <c r="GPV10" s="21"/>
      <c r="GPW10" s="21"/>
      <c r="GPX10" s="21"/>
      <c r="GPY10" s="21"/>
      <c r="GPZ10" s="21"/>
      <c r="GQA10" s="21"/>
      <c r="GQB10" s="21"/>
      <c r="GQC10" s="21"/>
      <c r="GQD10" s="21"/>
      <c r="GQE10" s="21"/>
      <c r="GQF10" s="21"/>
      <c r="GQG10" s="21"/>
      <c r="GQH10" s="21"/>
      <c r="GQI10" s="21"/>
      <c r="GQJ10" s="21"/>
      <c r="GQK10" s="21"/>
      <c r="GQL10" s="21"/>
      <c r="GQM10" s="21"/>
      <c r="GQN10" s="21"/>
      <c r="GQO10" s="21"/>
      <c r="GQP10" s="21"/>
      <c r="GQQ10" s="21"/>
      <c r="GQR10" s="21"/>
      <c r="GQS10" s="21"/>
      <c r="GQT10" s="21"/>
      <c r="GQU10" s="21"/>
      <c r="GQV10" s="21"/>
      <c r="GQW10" s="21"/>
      <c r="GQX10" s="21"/>
      <c r="GQY10" s="21"/>
      <c r="GQZ10" s="21"/>
      <c r="GRA10" s="21"/>
      <c r="GRB10" s="21"/>
      <c r="GRC10" s="21"/>
      <c r="GRD10" s="21"/>
      <c r="GRE10" s="21"/>
      <c r="GRF10" s="21"/>
      <c r="GRG10" s="21"/>
      <c r="GRH10" s="21"/>
      <c r="GRI10" s="21"/>
      <c r="GRJ10" s="21"/>
      <c r="GRK10" s="21"/>
      <c r="GRL10" s="21"/>
      <c r="GRM10" s="21"/>
      <c r="GRN10" s="21"/>
      <c r="GRO10" s="21"/>
      <c r="GRP10" s="21"/>
      <c r="GRQ10" s="21"/>
      <c r="GRR10" s="21"/>
      <c r="GRS10" s="21"/>
      <c r="GRT10" s="21"/>
      <c r="GRU10" s="21"/>
      <c r="GRV10" s="21"/>
      <c r="GRW10" s="21"/>
      <c r="GRX10" s="21"/>
      <c r="GRY10" s="21"/>
      <c r="GRZ10" s="21"/>
      <c r="GSA10" s="21"/>
      <c r="GSB10" s="21"/>
      <c r="GSC10" s="21"/>
      <c r="GSD10" s="21"/>
      <c r="GSE10" s="21"/>
      <c r="GSF10" s="21"/>
      <c r="GSG10" s="21"/>
      <c r="GSH10" s="21"/>
      <c r="GSI10" s="21"/>
      <c r="GSJ10" s="21"/>
      <c r="GSK10" s="21"/>
      <c r="GSL10" s="21"/>
      <c r="GSM10" s="21"/>
      <c r="GSN10" s="21"/>
      <c r="GSO10" s="21"/>
      <c r="GSP10" s="21"/>
      <c r="GSQ10" s="21"/>
      <c r="GSR10" s="21"/>
      <c r="GSS10" s="21"/>
      <c r="GST10" s="21"/>
      <c r="GSU10" s="21"/>
      <c r="GSV10" s="21"/>
      <c r="GSW10" s="21"/>
      <c r="GSX10" s="21"/>
      <c r="GSY10" s="21"/>
      <c r="GSZ10" s="21"/>
      <c r="GTA10" s="21"/>
      <c r="GTB10" s="21"/>
      <c r="GTC10" s="21"/>
      <c r="GTD10" s="21"/>
      <c r="GTE10" s="21"/>
      <c r="GTF10" s="21"/>
      <c r="GTG10" s="21"/>
      <c r="GTH10" s="21"/>
      <c r="GTI10" s="21"/>
      <c r="GTJ10" s="21"/>
      <c r="GTK10" s="21"/>
      <c r="GTL10" s="21"/>
      <c r="GTM10" s="21"/>
      <c r="GTN10" s="21"/>
      <c r="GTO10" s="21"/>
      <c r="GTP10" s="21"/>
      <c r="GTQ10" s="21"/>
      <c r="GTR10" s="21"/>
      <c r="GTS10" s="21"/>
      <c r="GTT10" s="21"/>
      <c r="GTU10" s="21"/>
      <c r="GTV10" s="21"/>
      <c r="GTW10" s="21"/>
      <c r="GTX10" s="21"/>
      <c r="GTY10" s="21"/>
      <c r="GTZ10" s="21"/>
      <c r="GUA10" s="21"/>
      <c r="GUB10" s="21"/>
      <c r="GUC10" s="21"/>
      <c r="GUD10" s="21"/>
      <c r="GUE10" s="21"/>
      <c r="GUF10" s="21"/>
      <c r="GUG10" s="21"/>
      <c r="GUH10" s="21"/>
      <c r="GUI10" s="21"/>
      <c r="GUJ10" s="21"/>
      <c r="GUK10" s="21"/>
      <c r="GUL10" s="21"/>
      <c r="GUM10" s="21"/>
      <c r="GUN10" s="21"/>
      <c r="GUO10" s="21"/>
      <c r="GUP10" s="21"/>
      <c r="GUQ10" s="21"/>
      <c r="GUR10" s="21"/>
      <c r="GUS10" s="21"/>
      <c r="GUT10" s="21"/>
      <c r="GUU10" s="21"/>
      <c r="GUV10" s="21"/>
      <c r="GUW10" s="21"/>
      <c r="GUX10" s="21"/>
      <c r="GUY10" s="21"/>
      <c r="GUZ10" s="21"/>
      <c r="GVA10" s="21"/>
      <c r="GVB10" s="21"/>
      <c r="GVC10" s="21"/>
      <c r="GVD10" s="21"/>
      <c r="GVE10" s="21"/>
      <c r="GVF10" s="21"/>
      <c r="GVG10" s="21"/>
      <c r="GVH10" s="21"/>
      <c r="GVI10" s="21"/>
      <c r="GVJ10" s="21"/>
      <c r="GVK10" s="21"/>
      <c r="GVL10" s="21"/>
      <c r="GVM10" s="21"/>
      <c r="GVN10" s="21"/>
      <c r="GVO10" s="21"/>
      <c r="GVP10" s="21"/>
      <c r="GVQ10" s="21"/>
      <c r="GVR10" s="21"/>
      <c r="GVS10" s="21"/>
      <c r="GVT10" s="21"/>
      <c r="GVU10" s="21"/>
      <c r="GVV10" s="21"/>
      <c r="GVW10" s="21"/>
      <c r="GVX10" s="21"/>
      <c r="GVY10" s="21"/>
      <c r="GVZ10" s="21"/>
      <c r="GWA10" s="21"/>
      <c r="GWB10" s="21"/>
      <c r="GWC10" s="21"/>
      <c r="GWD10" s="21"/>
      <c r="GWE10" s="21"/>
      <c r="GWF10" s="21"/>
      <c r="GWG10" s="21"/>
      <c r="GWH10" s="21"/>
      <c r="GWI10" s="21"/>
      <c r="GWJ10" s="21"/>
      <c r="GWK10" s="21"/>
      <c r="GWL10" s="21"/>
      <c r="GWM10" s="21"/>
      <c r="GWN10" s="21"/>
      <c r="GWO10" s="21"/>
      <c r="GWP10" s="21"/>
      <c r="GWQ10" s="21"/>
      <c r="GWR10" s="21"/>
      <c r="GWS10" s="21"/>
      <c r="GWT10" s="21"/>
      <c r="GWU10" s="21"/>
      <c r="GWV10" s="21"/>
      <c r="GWW10" s="21"/>
      <c r="GWX10" s="21"/>
      <c r="GWY10" s="21"/>
      <c r="GWZ10" s="21"/>
      <c r="GXA10" s="21"/>
      <c r="GXB10" s="21"/>
      <c r="GXC10" s="21"/>
      <c r="GXD10" s="21"/>
      <c r="GXE10" s="21"/>
      <c r="GXF10" s="21"/>
      <c r="GXG10" s="21"/>
      <c r="GXH10" s="21"/>
      <c r="GXI10" s="21"/>
      <c r="GXJ10" s="21"/>
      <c r="GXK10" s="21"/>
      <c r="GXL10" s="21"/>
      <c r="GXM10" s="21"/>
      <c r="GXN10" s="21"/>
      <c r="GXO10" s="21"/>
      <c r="GXP10" s="21"/>
      <c r="GXQ10" s="21"/>
      <c r="GXR10" s="21"/>
      <c r="GXS10" s="21"/>
      <c r="GXT10" s="21"/>
      <c r="GXU10" s="21"/>
      <c r="GXV10" s="21"/>
      <c r="GXW10" s="21"/>
      <c r="GXX10" s="21"/>
      <c r="GXY10" s="21"/>
      <c r="GXZ10" s="21"/>
      <c r="GYA10" s="21"/>
      <c r="GYB10" s="21"/>
      <c r="GYC10" s="21"/>
      <c r="GYD10" s="21"/>
      <c r="GYE10" s="21"/>
      <c r="GYF10" s="21"/>
      <c r="GYG10" s="21"/>
      <c r="GYH10" s="21"/>
      <c r="GYI10" s="21"/>
      <c r="GYJ10" s="21"/>
      <c r="GYK10" s="21"/>
      <c r="GYL10" s="21"/>
      <c r="GYM10" s="21"/>
      <c r="GYN10" s="21"/>
      <c r="GYO10" s="21"/>
      <c r="GYP10" s="21"/>
      <c r="GYQ10" s="21"/>
      <c r="GYR10" s="21"/>
      <c r="GYS10" s="21"/>
      <c r="GYT10" s="21"/>
      <c r="GYU10" s="21"/>
      <c r="GYV10" s="21"/>
      <c r="GYW10" s="21"/>
      <c r="GYX10" s="21"/>
      <c r="GYY10" s="21"/>
      <c r="GYZ10" s="21"/>
      <c r="GZA10" s="21"/>
      <c r="GZB10" s="21"/>
      <c r="GZC10" s="21"/>
      <c r="GZD10" s="21"/>
      <c r="GZE10" s="21"/>
      <c r="GZF10" s="21"/>
      <c r="GZG10" s="21"/>
      <c r="GZH10" s="21"/>
      <c r="GZI10" s="21"/>
      <c r="GZJ10" s="21"/>
      <c r="GZK10" s="21"/>
      <c r="GZL10" s="21"/>
      <c r="GZM10" s="21"/>
      <c r="GZN10" s="21"/>
      <c r="GZO10" s="21"/>
      <c r="GZP10" s="21"/>
      <c r="GZQ10" s="21"/>
      <c r="GZR10" s="21"/>
      <c r="GZS10" s="21"/>
      <c r="GZT10" s="21"/>
      <c r="GZU10" s="21"/>
      <c r="GZV10" s="21"/>
      <c r="GZW10" s="21"/>
      <c r="GZX10" s="21"/>
      <c r="GZY10" s="21"/>
      <c r="GZZ10" s="21"/>
      <c r="HAA10" s="21"/>
      <c r="HAB10" s="21"/>
      <c r="HAC10" s="21"/>
      <c r="HAD10" s="21"/>
      <c r="HAE10" s="21"/>
      <c r="HAF10" s="21"/>
      <c r="HAG10" s="21"/>
      <c r="HAH10" s="21"/>
      <c r="HAI10" s="21"/>
      <c r="HAJ10" s="21"/>
      <c r="HAK10" s="21"/>
      <c r="HAL10" s="21"/>
      <c r="HAM10" s="21"/>
      <c r="HAN10" s="21"/>
      <c r="HAO10" s="21"/>
      <c r="HAP10" s="21"/>
      <c r="HAQ10" s="21"/>
      <c r="HAR10" s="21"/>
      <c r="HAS10" s="21"/>
      <c r="HAT10" s="21"/>
      <c r="HAU10" s="21"/>
      <c r="HAV10" s="21"/>
      <c r="HAW10" s="21"/>
      <c r="HAX10" s="21"/>
      <c r="HAY10" s="21"/>
      <c r="HAZ10" s="21"/>
      <c r="HBA10" s="21"/>
      <c r="HBB10" s="21"/>
      <c r="HBC10" s="21"/>
      <c r="HBD10" s="21"/>
      <c r="HBE10" s="21"/>
      <c r="HBF10" s="21"/>
      <c r="HBG10" s="21"/>
      <c r="HBH10" s="21"/>
      <c r="HBI10" s="21"/>
      <c r="HBJ10" s="21"/>
      <c r="HBK10" s="21"/>
      <c r="HBL10" s="21"/>
      <c r="HBM10" s="21"/>
      <c r="HBN10" s="21"/>
      <c r="HBO10" s="21"/>
      <c r="HBP10" s="21"/>
      <c r="HBQ10" s="21"/>
      <c r="HBR10" s="21"/>
      <c r="HBS10" s="21"/>
      <c r="HBT10" s="21"/>
      <c r="HBU10" s="21"/>
      <c r="HBV10" s="21"/>
      <c r="HBW10" s="21"/>
      <c r="HBX10" s="21"/>
      <c r="HBY10" s="21"/>
      <c r="HBZ10" s="21"/>
      <c r="HCA10" s="21"/>
      <c r="HCB10" s="21"/>
      <c r="HCC10" s="21"/>
      <c r="HCD10" s="21"/>
      <c r="HCE10" s="21"/>
      <c r="HCF10" s="21"/>
      <c r="HCG10" s="21"/>
      <c r="HCH10" s="21"/>
      <c r="HCI10" s="21"/>
      <c r="HCJ10" s="21"/>
      <c r="HCK10" s="21"/>
      <c r="HCL10" s="21"/>
      <c r="HCM10" s="21"/>
      <c r="HCN10" s="21"/>
      <c r="HCO10" s="21"/>
      <c r="HCP10" s="21"/>
      <c r="HCQ10" s="21"/>
      <c r="HCR10" s="21"/>
      <c r="HCS10" s="21"/>
      <c r="HCT10" s="21"/>
      <c r="HCU10" s="21"/>
      <c r="HCV10" s="21"/>
      <c r="HCW10" s="21"/>
      <c r="HCX10" s="21"/>
      <c r="HCY10" s="21"/>
      <c r="HCZ10" s="21"/>
      <c r="HDA10" s="21"/>
      <c r="HDB10" s="21"/>
      <c r="HDC10" s="21"/>
      <c r="HDD10" s="21"/>
      <c r="HDE10" s="21"/>
      <c r="HDF10" s="21"/>
      <c r="HDG10" s="21"/>
      <c r="HDH10" s="21"/>
      <c r="HDI10" s="21"/>
      <c r="HDJ10" s="21"/>
      <c r="HDK10" s="21"/>
      <c r="HDL10" s="21"/>
      <c r="HDM10" s="21"/>
      <c r="HDN10" s="21"/>
      <c r="HDO10" s="21"/>
      <c r="HDP10" s="21"/>
      <c r="HDQ10" s="21"/>
      <c r="HDR10" s="21"/>
      <c r="HDS10" s="21"/>
      <c r="HDT10" s="21"/>
      <c r="HDU10" s="21"/>
      <c r="HDV10" s="21"/>
      <c r="HDW10" s="21"/>
      <c r="HDX10" s="21"/>
      <c r="HDY10" s="21"/>
      <c r="HDZ10" s="21"/>
      <c r="HEA10" s="21"/>
      <c r="HEB10" s="21"/>
      <c r="HEC10" s="21"/>
      <c r="HED10" s="21"/>
      <c r="HEE10" s="21"/>
      <c r="HEF10" s="21"/>
      <c r="HEG10" s="21"/>
      <c r="HEH10" s="21"/>
      <c r="HEI10" s="21"/>
      <c r="HEJ10" s="21"/>
      <c r="HEK10" s="21"/>
      <c r="HEL10" s="21"/>
      <c r="HEM10" s="21"/>
      <c r="HEN10" s="21"/>
      <c r="HEO10" s="21"/>
      <c r="HEP10" s="21"/>
      <c r="HEQ10" s="21"/>
      <c r="HER10" s="21"/>
      <c r="HES10" s="21"/>
      <c r="HET10" s="21"/>
      <c r="HEU10" s="21"/>
      <c r="HEV10" s="21"/>
      <c r="HEW10" s="21"/>
      <c r="HEX10" s="21"/>
      <c r="HEY10" s="21"/>
      <c r="HEZ10" s="21"/>
      <c r="HFA10" s="21"/>
      <c r="HFB10" s="21"/>
      <c r="HFC10" s="21"/>
      <c r="HFD10" s="21"/>
      <c r="HFE10" s="21"/>
      <c r="HFF10" s="21"/>
      <c r="HFG10" s="21"/>
      <c r="HFH10" s="21"/>
      <c r="HFI10" s="21"/>
      <c r="HFJ10" s="21"/>
      <c r="HFK10" s="21"/>
      <c r="HFL10" s="21"/>
      <c r="HFM10" s="21"/>
      <c r="HFN10" s="21"/>
      <c r="HFO10" s="21"/>
      <c r="HFP10" s="21"/>
      <c r="HFQ10" s="21"/>
      <c r="HFR10" s="21"/>
      <c r="HFS10" s="21"/>
      <c r="HFT10" s="21"/>
      <c r="HFU10" s="21"/>
      <c r="HFV10" s="21"/>
      <c r="HFW10" s="21"/>
      <c r="HFX10" s="21"/>
      <c r="HFY10" s="21"/>
      <c r="HFZ10" s="21"/>
      <c r="HGA10" s="21"/>
      <c r="HGB10" s="21"/>
      <c r="HGC10" s="21"/>
      <c r="HGD10" s="21"/>
      <c r="HGE10" s="21"/>
      <c r="HGF10" s="21"/>
      <c r="HGG10" s="21"/>
      <c r="HGH10" s="21"/>
      <c r="HGI10" s="21"/>
      <c r="HGJ10" s="21"/>
      <c r="HGK10" s="21"/>
      <c r="HGL10" s="21"/>
      <c r="HGM10" s="21"/>
      <c r="HGN10" s="21"/>
      <c r="HGO10" s="21"/>
      <c r="HGP10" s="21"/>
      <c r="HGQ10" s="21"/>
      <c r="HGR10" s="21"/>
      <c r="HGS10" s="21"/>
      <c r="HGT10" s="21"/>
      <c r="HGU10" s="21"/>
      <c r="HGV10" s="21"/>
      <c r="HGW10" s="21"/>
      <c r="HGX10" s="21"/>
      <c r="HGY10" s="21"/>
      <c r="HGZ10" s="21"/>
      <c r="HHA10" s="21"/>
      <c r="HHB10" s="21"/>
      <c r="HHC10" s="21"/>
      <c r="HHD10" s="21"/>
      <c r="HHE10" s="21"/>
      <c r="HHF10" s="21"/>
      <c r="HHG10" s="21"/>
      <c r="HHH10" s="21"/>
      <c r="HHI10" s="21"/>
      <c r="HHJ10" s="21"/>
      <c r="HHK10" s="21"/>
      <c r="HHL10" s="21"/>
      <c r="HHM10" s="21"/>
      <c r="HHN10" s="21"/>
      <c r="HHO10" s="21"/>
      <c r="HHP10" s="21"/>
      <c r="HHQ10" s="21"/>
      <c r="HHR10" s="21"/>
      <c r="HHS10" s="21"/>
      <c r="HHT10" s="21"/>
      <c r="HHU10" s="21"/>
      <c r="HHV10" s="21"/>
      <c r="HHW10" s="21"/>
      <c r="HHX10" s="21"/>
      <c r="HHY10" s="21"/>
      <c r="HHZ10" s="21"/>
      <c r="HIA10" s="21"/>
      <c r="HIB10" s="21"/>
      <c r="HIC10" s="21"/>
      <c r="HID10" s="21"/>
      <c r="HIE10" s="21"/>
      <c r="HIF10" s="21"/>
      <c r="HIG10" s="21"/>
      <c r="HIH10" s="21"/>
      <c r="HII10" s="21"/>
      <c r="HIJ10" s="21"/>
      <c r="HIK10" s="21"/>
      <c r="HIL10" s="21"/>
      <c r="HIM10" s="21"/>
      <c r="HIN10" s="21"/>
      <c r="HIO10" s="21"/>
      <c r="HIP10" s="21"/>
      <c r="HIQ10" s="21"/>
      <c r="HIR10" s="21"/>
      <c r="HIS10" s="21"/>
      <c r="HIT10" s="21"/>
      <c r="HIU10" s="21"/>
      <c r="HIV10" s="21"/>
      <c r="HIW10" s="21"/>
      <c r="HIX10" s="21"/>
      <c r="HIY10" s="21"/>
      <c r="HIZ10" s="21"/>
      <c r="HJA10" s="21"/>
      <c r="HJB10" s="21"/>
      <c r="HJC10" s="21"/>
      <c r="HJD10" s="21"/>
      <c r="HJE10" s="21"/>
      <c r="HJF10" s="21"/>
      <c r="HJG10" s="21"/>
      <c r="HJH10" s="21"/>
      <c r="HJI10" s="21"/>
      <c r="HJJ10" s="21"/>
      <c r="HJK10" s="21"/>
      <c r="HJL10" s="21"/>
      <c r="HJM10" s="21"/>
      <c r="HJN10" s="21"/>
      <c r="HJO10" s="21"/>
      <c r="HJP10" s="21"/>
      <c r="HJQ10" s="21"/>
      <c r="HJR10" s="21"/>
      <c r="HJS10" s="21"/>
      <c r="HJT10" s="21"/>
      <c r="HJU10" s="21"/>
      <c r="HJV10" s="21"/>
      <c r="HJW10" s="21"/>
      <c r="HJX10" s="21"/>
      <c r="HJY10" s="21"/>
      <c r="HJZ10" s="21"/>
      <c r="HKA10" s="21"/>
      <c r="HKB10" s="21"/>
      <c r="HKC10" s="21"/>
      <c r="HKD10" s="21"/>
      <c r="HKE10" s="21"/>
      <c r="HKF10" s="21"/>
      <c r="HKG10" s="21"/>
      <c r="HKH10" s="21"/>
      <c r="HKI10" s="21"/>
      <c r="HKJ10" s="21"/>
      <c r="HKK10" s="21"/>
      <c r="HKL10" s="21"/>
      <c r="HKM10" s="21"/>
      <c r="HKN10" s="21"/>
      <c r="HKO10" s="21"/>
      <c r="HKP10" s="21"/>
      <c r="HKQ10" s="21"/>
      <c r="HKR10" s="21"/>
      <c r="HKS10" s="21"/>
      <c r="HKT10" s="21"/>
      <c r="HKU10" s="21"/>
      <c r="HKV10" s="21"/>
      <c r="HKW10" s="21"/>
      <c r="HKX10" s="21"/>
      <c r="HKY10" s="21"/>
      <c r="HKZ10" s="21"/>
      <c r="HLA10" s="21"/>
      <c r="HLB10" s="21"/>
      <c r="HLC10" s="21"/>
      <c r="HLD10" s="21"/>
      <c r="HLE10" s="21"/>
      <c r="HLF10" s="21"/>
      <c r="HLG10" s="21"/>
      <c r="HLH10" s="21"/>
      <c r="HLI10" s="21"/>
      <c r="HLJ10" s="21"/>
      <c r="HLK10" s="21"/>
      <c r="HLL10" s="21"/>
      <c r="HLM10" s="21"/>
      <c r="HLN10" s="21"/>
      <c r="HLO10" s="21"/>
      <c r="HLP10" s="21"/>
      <c r="HLQ10" s="21"/>
      <c r="HLR10" s="21"/>
      <c r="HLS10" s="21"/>
      <c r="HLT10" s="21"/>
      <c r="HLU10" s="21"/>
      <c r="HLV10" s="21"/>
      <c r="HLW10" s="21"/>
      <c r="HLX10" s="21"/>
      <c r="HLY10" s="21"/>
      <c r="HLZ10" s="21"/>
      <c r="HMA10" s="21"/>
      <c r="HMB10" s="21"/>
      <c r="HMC10" s="21"/>
      <c r="HMD10" s="21"/>
      <c r="HME10" s="21"/>
      <c r="HMF10" s="21"/>
      <c r="HMG10" s="21"/>
      <c r="HMH10" s="21"/>
      <c r="HMI10" s="21"/>
      <c r="HMJ10" s="21"/>
      <c r="HMK10" s="21"/>
      <c r="HML10" s="21"/>
      <c r="HMM10" s="21"/>
      <c r="HMN10" s="21"/>
      <c r="HMO10" s="21"/>
      <c r="HMP10" s="21"/>
      <c r="HMQ10" s="21"/>
      <c r="HMR10" s="21"/>
      <c r="HMS10" s="21"/>
      <c r="HMT10" s="21"/>
      <c r="HMU10" s="21"/>
      <c r="HMV10" s="21"/>
      <c r="HMW10" s="21"/>
      <c r="HMX10" s="21"/>
      <c r="HMY10" s="21"/>
      <c r="HMZ10" s="21"/>
      <c r="HNA10" s="21"/>
      <c r="HNB10" s="21"/>
      <c r="HNC10" s="21"/>
      <c r="HND10" s="21"/>
      <c r="HNE10" s="21"/>
      <c r="HNF10" s="21"/>
      <c r="HNG10" s="21"/>
      <c r="HNH10" s="21"/>
      <c r="HNI10" s="21"/>
      <c r="HNJ10" s="21"/>
      <c r="HNK10" s="21"/>
      <c r="HNL10" s="21"/>
      <c r="HNM10" s="21"/>
      <c r="HNN10" s="21"/>
      <c r="HNO10" s="21"/>
      <c r="HNP10" s="21"/>
      <c r="HNQ10" s="21"/>
      <c r="HNR10" s="21"/>
      <c r="HNS10" s="21"/>
      <c r="HNT10" s="21"/>
      <c r="HNU10" s="21"/>
      <c r="HNV10" s="21"/>
      <c r="HNW10" s="21"/>
      <c r="HNX10" s="21"/>
      <c r="HNY10" s="21"/>
      <c r="HNZ10" s="21"/>
      <c r="HOA10" s="21"/>
      <c r="HOB10" s="21"/>
      <c r="HOC10" s="21"/>
      <c r="HOD10" s="21"/>
      <c r="HOE10" s="21"/>
      <c r="HOF10" s="21"/>
      <c r="HOG10" s="21"/>
      <c r="HOH10" s="21"/>
      <c r="HOI10" s="21"/>
      <c r="HOJ10" s="21"/>
      <c r="HOK10" s="21"/>
      <c r="HOL10" s="21"/>
      <c r="HOM10" s="21"/>
      <c r="HON10" s="21"/>
      <c r="HOO10" s="21"/>
      <c r="HOP10" s="21"/>
      <c r="HOQ10" s="21"/>
      <c r="HOR10" s="21"/>
      <c r="HOS10" s="21"/>
      <c r="HOT10" s="21"/>
      <c r="HOU10" s="21"/>
      <c r="HOV10" s="21"/>
      <c r="HOW10" s="21"/>
      <c r="HOX10" s="21"/>
      <c r="HOY10" s="21"/>
      <c r="HOZ10" s="21"/>
      <c r="HPA10" s="21"/>
      <c r="HPB10" s="21"/>
      <c r="HPC10" s="21"/>
      <c r="HPD10" s="21"/>
      <c r="HPE10" s="21"/>
      <c r="HPF10" s="21"/>
      <c r="HPG10" s="21"/>
      <c r="HPH10" s="21"/>
      <c r="HPI10" s="21"/>
      <c r="HPJ10" s="21"/>
      <c r="HPK10" s="21"/>
      <c r="HPL10" s="21"/>
      <c r="HPM10" s="21"/>
      <c r="HPN10" s="21"/>
      <c r="HPO10" s="21"/>
      <c r="HPP10" s="21"/>
      <c r="HPQ10" s="21"/>
      <c r="HPR10" s="21"/>
      <c r="HPS10" s="21"/>
      <c r="HPT10" s="21"/>
      <c r="HPU10" s="21"/>
      <c r="HPV10" s="21"/>
      <c r="HPW10" s="21"/>
      <c r="HPX10" s="21"/>
      <c r="HPY10" s="21"/>
      <c r="HPZ10" s="21"/>
      <c r="HQA10" s="21"/>
      <c r="HQB10" s="21"/>
      <c r="HQC10" s="21"/>
      <c r="HQD10" s="21"/>
      <c r="HQE10" s="21"/>
      <c r="HQF10" s="21"/>
      <c r="HQG10" s="21"/>
      <c r="HQH10" s="21"/>
      <c r="HQI10" s="21"/>
      <c r="HQJ10" s="21"/>
      <c r="HQK10" s="21"/>
      <c r="HQL10" s="21"/>
      <c r="HQM10" s="21"/>
      <c r="HQN10" s="21"/>
      <c r="HQO10" s="21"/>
      <c r="HQP10" s="21"/>
      <c r="HQQ10" s="21"/>
      <c r="HQR10" s="21"/>
      <c r="HQS10" s="21"/>
      <c r="HQT10" s="21"/>
      <c r="HQU10" s="21"/>
      <c r="HQV10" s="21"/>
      <c r="HQW10" s="21"/>
      <c r="HQX10" s="21"/>
      <c r="HQY10" s="21"/>
      <c r="HQZ10" s="21"/>
      <c r="HRA10" s="21"/>
      <c r="HRB10" s="21"/>
      <c r="HRC10" s="21"/>
      <c r="HRD10" s="21"/>
      <c r="HRE10" s="21"/>
      <c r="HRF10" s="21"/>
      <c r="HRG10" s="21"/>
      <c r="HRH10" s="21"/>
      <c r="HRI10" s="21"/>
      <c r="HRJ10" s="21"/>
      <c r="HRK10" s="21"/>
      <c r="HRL10" s="21"/>
      <c r="HRM10" s="21"/>
      <c r="HRN10" s="21"/>
      <c r="HRO10" s="21"/>
      <c r="HRP10" s="21"/>
      <c r="HRQ10" s="21"/>
      <c r="HRR10" s="21"/>
      <c r="HRS10" s="21"/>
      <c r="HRT10" s="21"/>
      <c r="HRU10" s="21"/>
      <c r="HRV10" s="21"/>
      <c r="HRW10" s="21"/>
      <c r="HRX10" s="21"/>
      <c r="HRY10" s="21"/>
      <c r="HRZ10" s="21"/>
      <c r="HSA10" s="21"/>
      <c r="HSB10" s="21"/>
      <c r="HSC10" s="21"/>
      <c r="HSD10" s="21"/>
      <c r="HSE10" s="21"/>
      <c r="HSF10" s="21"/>
      <c r="HSG10" s="21"/>
      <c r="HSH10" s="21"/>
      <c r="HSI10" s="21"/>
      <c r="HSJ10" s="21"/>
      <c r="HSK10" s="21"/>
      <c r="HSL10" s="21"/>
      <c r="HSM10" s="21"/>
      <c r="HSN10" s="21"/>
      <c r="HSO10" s="21"/>
      <c r="HSP10" s="21"/>
      <c r="HSQ10" s="21"/>
      <c r="HSR10" s="21"/>
      <c r="HSS10" s="21"/>
      <c r="HST10" s="21"/>
      <c r="HSU10" s="21"/>
      <c r="HSV10" s="21"/>
      <c r="HSW10" s="21"/>
      <c r="HSX10" s="21"/>
      <c r="HSY10" s="21"/>
      <c r="HSZ10" s="21"/>
      <c r="HTA10" s="21"/>
      <c r="HTB10" s="21"/>
      <c r="HTC10" s="21"/>
      <c r="HTD10" s="21"/>
      <c r="HTE10" s="21"/>
      <c r="HTF10" s="21"/>
      <c r="HTG10" s="21"/>
      <c r="HTH10" s="21"/>
      <c r="HTI10" s="21"/>
      <c r="HTJ10" s="21"/>
      <c r="HTK10" s="21"/>
      <c r="HTL10" s="21"/>
      <c r="HTM10" s="21"/>
      <c r="HTN10" s="21"/>
      <c r="HTO10" s="21"/>
      <c r="HTP10" s="21"/>
      <c r="HTQ10" s="21"/>
      <c r="HTR10" s="21"/>
      <c r="HTS10" s="21"/>
      <c r="HTT10" s="21"/>
      <c r="HTU10" s="21"/>
      <c r="HTV10" s="21"/>
      <c r="HTW10" s="21"/>
      <c r="HTX10" s="21"/>
      <c r="HTY10" s="21"/>
      <c r="HTZ10" s="21"/>
      <c r="HUA10" s="21"/>
      <c r="HUB10" s="21"/>
      <c r="HUC10" s="21"/>
      <c r="HUD10" s="21"/>
      <c r="HUE10" s="21"/>
      <c r="HUF10" s="21"/>
      <c r="HUG10" s="21"/>
      <c r="HUH10" s="21"/>
      <c r="HUI10" s="21"/>
      <c r="HUJ10" s="21"/>
      <c r="HUK10" s="21"/>
      <c r="HUL10" s="21"/>
      <c r="HUM10" s="21"/>
      <c r="HUN10" s="21"/>
      <c r="HUO10" s="21"/>
      <c r="HUP10" s="21"/>
      <c r="HUQ10" s="21"/>
      <c r="HUR10" s="21"/>
      <c r="HUS10" s="21"/>
      <c r="HUT10" s="21"/>
      <c r="HUU10" s="21"/>
      <c r="HUV10" s="21"/>
      <c r="HUW10" s="21"/>
      <c r="HUX10" s="21"/>
      <c r="HUY10" s="21"/>
      <c r="HUZ10" s="21"/>
      <c r="HVA10" s="21"/>
      <c r="HVB10" s="21"/>
      <c r="HVC10" s="21"/>
      <c r="HVD10" s="21"/>
      <c r="HVE10" s="21"/>
      <c r="HVF10" s="21"/>
      <c r="HVG10" s="21"/>
      <c r="HVH10" s="21"/>
      <c r="HVI10" s="21"/>
      <c r="HVJ10" s="21"/>
      <c r="HVK10" s="21"/>
      <c r="HVL10" s="21"/>
      <c r="HVM10" s="21"/>
      <c r="HVN10" s="21"/>
      <c r="HVO10" s="21"/>
      <c r="HVP10" s="21"/>
      <c r="HVQ10" s="21"/>
      <c r="HVR10" s="21"/>
      <c r="HVS10" s="21"/>
      <c r="HVT10" s="21"/>
      <c r="HVU10" s="21"/>
      <c r="HVV10" s="21"/>
      <c r="HVW10" s="21"/>
      <c r="HVX10" s="21"/>
      <c r="HVY10" s="21"/>
      <c r="HVZ10" s="21"/>
      <c r="HWA10" s="21"/>
      <c r="HWB10" s="21"/>
      <c r="HWC10" s="21"/>
      <c r="HWD10" s="21"/>
      <c r="HWE10" s="21"/>
      <c r="HWF10" s="21"/>
      <c r="HWG10" s="21"/>
      <c r="HWH10" s="21"/>
      <c r="HWI10" s="21"/>
      <c r="HWJ10" s="21"/>
      <c r="HWK10" s="21"/>
      <c r="HWL10" s="21"/>
      <c r="HWM10" s="21"/>
      <c r="HWN10" s="21"/>
      <c r="HWO10" s="21"/>
      <c r="HWP10" s="21"/>
      <c r="HWQ10" s="21"/>
      <c r="HWR10" s="21"/>
      <c r="HWS10" s="21"/>
      <c r="HWT10" s="21"/>
      <c r="HWU10" s="21"/>
      <c r="HWV10" s="21"/>
      <c r="HWW10" s="21"/>
      <c r="HWX10" s="21"/>
      <c r="HWY10" s="21"/>
      <c r="HWZ10" s="21"/>
      <c r="HXA10" s="21"/>
      <c r="HXB10" s="21"/>
      <c r="HXC10" s="21"/>
      <c r="HXD10" s="21"/>
      <c r="HXE10" s="21"/>
      <c r="HXF10" s="21"/>
      <c r="HXG10" s="21"/>
      <c r="HXH10" s="21"/>
      <c r="HXI10" s="21"/>
      <c r="HXJ10" s="21"/>
      <c r="HXK10" s="21"/>
      <c r="HXL10" s="21"/>
      <c r="HXM10" s="21"/>
      <c r="HXN10" s="21"/>
      <c r="HXO10" s="21"/>
      <c r="HXP10" s="21"/>
      <c r="HXQ10" s="21"/>
      <c r="HXR10" s="21"/>
      <c r="HXS10" s="21"/>
      <c r="HXT10" s="21"/>
      <c r="HXU10" s="21"/>
      <c r="HXV10" s="21"/>
      <c r="HXW10" s="21"/>
      <c r="HXX10" s="21"/>
      <c r="HXY10" s="21"/>
      <c r="HXZ10" s="21"/>
      <c r="HYA10" s="21"/>
      <c r="HYB10" s="21"/>
      <c r="HYC10" s="21"/>
      <c r="HYD10" s="21"/>
      <c r="HYE10" s="21"/>
      <c r="HYF10" s="21"/>
      <c r="HYG10" s="21"/>
      <c r="HYH10" s="21"/>
      <c r="HYI10" s="21"/>
      <c r="HYJ10" s="21"/>
      <c r="HYK10" s="21"/>
      <c r="HYL10" s="21"/>
      <c r="HYM10" s="21"/>
      <c r="HYN10" s="21"/>
      <c r="HYO10" s="21"/>
      <c r="HYP10" s="21"/>
      <c r="HYQ10" s="21"/>
      <c r="HYR10" s="21"/>
      <c r="HYS10" s="21"/>
      <c r="HYT10" s="21"/>
      <c r="HYU10" s="21"/>
      <c r="HYV10" s="21"/>
      <c r="HYW10" s="21"/>
      <c r="HYX10" s="21"/>
      <c r="HYY10" s="21"/>
      <c r="HYZ10" s="21"/>
      <c r="HZA10" s="21"/>
      <c r="HZB10" s="21"/>
      <c r="HZC10" s="21"/>
      <c r="HZD10" s="21"/>
      <c r="HZE10" s="21"/>
      <c r="HZF10" s="21"/>
      <c r="HZG10" s="21"/>
      <c r="HZH10" s="21"/>
      <c r="HZI10" s="21"/>
      <c r="HZJ10" s="21"/>
      <c r="HZK10" s="21"/>
      <c r="HZL10" s="21"/>
      <c r="HZM10" s="21"/>
      <c r="HZN10" s="21"/>
      <c r="HZO10" s="21"/>
      <c r="HZP10" s="21"/>
      <c r="HZQ10" s="21"/>
      <c r="HZR10" s="21"/>
      <c r="HZS10" s="21"/>
      <c r="HZT10" s="21"/>
      <c r="HZU10" s="21"/>
      <c r="HZV10" s="21"/>
      <c r="HZW10" s="21"/>
      <c r="HZX10" s="21"/>
      <c r="HZY10" s="21"/>
      <c r="HZZ10" s="21"/>
      <c r="IAA10" s="21"/>
      <c r="IAB10" s="21"/>
      <c r="IAC10" s="21"/>
      <c r="IAD10" s="21"/>
      <c r="IAE10" s="21"/>
      <c r="IAF10" s="21"/>
      <c r="IAG10" s="21"/>
      <c r="IAH10" s="21"/>
      <c r="IAI10" s="21"/>
      <c r="IAJ10" s="21"/>
      <c r="IAK10" s="21"/>
      <c r="IAL10" s="21"/>
      <c r="IAM10" s="21"/>
      <c r="IAN10" s="21"/>
      <c r="IAO10" s="21"/>
      <c r="IAP10" s="21"/>
      <c r="IAQ10" s="21"/>
      <c r="IAR10" s="21"/>
      <c r="IAS10" s="21"/>
      <c r="IAT10" s="21"/>
      <c r="IAU10" s="21"/>
      <c r="IAV10" s="21"/>
      <c r="IAW10" s="21"/>
      <c r="IAX10" s="21"/>
      <c r="IAY10" s="21"/>
      <c r="IAZ10" s="21"/>
      <c r="IBA10" s="21"/>
      <c r="IBB10" s="21"/>
      <c r="IBC10" s="21"/>
      <c r="IBD10" s="21"/>
      <c r="IBE10" s="21"/>
      <c r="IBF10" s="21"/>
      <c r="IBG10" s="21"/>
      <c r="IBH10" s="21"/>
      <c r="IBI10" s="21"/>
      <c r="IBJ10" s="21"/>
      <c r="IBK10" s="21"/>
      <c r="IBL10" s="21"/>
      <c r="IBM10" s="21"/>
      <c r="IBN10" s="21"/>
      <c r="IBO10" s="21"/>
      <c r="IBP10" s="21"/>
      <c r="IBQ10" s="21"/>
      <c r="IBR10" s="21"/>
      <c r="IBS10" s="21"/>
      <c r="IBT10" s="21"/>
      <c r="IBU10" s="21"/>
      <c r="IBV10" s="21"/>
      <c r="IBW10" s="21"/>
      <c r="IBX10" s="21"/>
      <c r="IBY10" s="21"/>
      <c r="IBZ10" s="21"/>
      <c r="ICA10" s="21"/>
      <c r="ICB10" s="21"/>
      <c r="ICC10" s="21"/>
      <c r="ICD10" s="21"/>
      <c r="ICE10" s="21"/>
      <c r="ICF10" s="21"/>
      <c r="ICG10" s="21"/>
      <c r="ICH10" s="21"/>
      <c r="ICI10" s="21"/>
      <c r="ICJ10" s="21"/>
      <c r="ICK10" s="21"/>
      <c r="ICL10" s="21"/>
      <c r="ICM10" s="21"/>
      <c r="ICN10" s="21"/>
      <c r="ICO10" s="21"/>
      <c r="ICP10" s="21"/>
      <c r="ICQ10" s="21"/>
      <c r="ICR10" s="21"/>
      <c r="ICS10" s="21"/>
      <c r="ICT10" s="21"/>
      <c r="ICU10" s="21"/>
      <c r="ICV10" s="21"/>
      <c r="ICW10" s="21"/>
      <c r="ICX10" s="21"/>
      <c r="ICY10" s="21"/>
      <c r="ICZ10" s="21"/>
      <c r="IDA10" s="21"/>
      <c r="IDB10" s="21"/>
      <c r="IDC10" s="21"/>
      <c r="IDD10" s="21"/>
      <c r="IDE10" s="21"/>
      <c r="IDF10" s="21"/>
      <c r="IDG10" s="21"/>
      <c r="IDH10" s="21"/>
      <c r="IDI10" s="21"/>
      <c r="IDJ10" s="21"/>
      <c r="IDK10" s="21"/>
      <c r="IDL10" s="21"/>
      <c r="IDM10" s="21"/>
      <c r="IDN10" s="21"/>
      <c r="IDO10" s="21"/>
      <c r="IDP10" s="21"/>
      <c r="IDQ10" s="21"/>
      <c r="IDR10" s="21"/>
      <c r="IDS10" s="21"/>
      <c r="IDT10" s="21"/>
      <c r="IDU10" s="21"/>
      <c r="IDV10" s="21"/>
      <c r="IDW10" s="21"/>
      <c r="IDX10" s="21"/>
      <c r="IDY10" s="21"/>
      <c r="IDZ10" s="21"/>
      <c r="IEA10" s="21"/>
      <c r="IEB10" s="21"/>
      <c r="IEC10" s="21"/>
      <c r="IED10" s="21"/>
      <c r="IEE10" s="21"/>
      <c r="IEF10" s="21"/>
      <c r="IEG10" s="21"/>
      <c r="IEH10" s="21"/>
      <c r="IEI10" s="21"/>
      <c r="IEJ10" s="21"/>
      <c r="IEK10" s="21"/>
      <c r="IEL10" s="21"/>
      <c r="IEM10" s="21"/>
      <c r="IEN10" s="21"/>
      <c r="IEO10" s="21"/>
      <c r="IEP10" s="21"/>
      <c r="IEQ10" s="21"/>
      <c r="IER10" s="21"/>
      <c r="IES10" s="21"/>
      <c r="IET10" s="21"/>
      <c r="IEU10" s="21"/>
      <c r="IEV10" s="21"/>
      <c r="IEW10" s="21"/>
      <c r="IEX10" s="21"/>
      <c r="IEY10" s="21"/>
      <c r="IEZ10" s="21"/>
      <c r="IFA10" s="21"/>
      <c r="IFB10" s="21"/>
      <c r="IFC10" s="21"/>
      <c r="IFD10" s="21"/>
      <c r="IFE10" s="21"/>
      <c r="IFF10" s="21"/>
      <c r="IFG10" s="21"/>
      <c r="IFH10" s="21"/>
      <c r="IFI10" s="21"/>
      <c r="IFJ10" s="21"/>
      <c r="IFK10" s="21"/>
      <c r="IFL10" s="21"/>
      <c r="IFM10" s="21"/>
      <c r="IFN10" s="21"/>
      <c r="IFO10" s="21"/>
      <c r="IFP10" s="21"/>
      <c r="IFQ10" s="21"/>
      <c r="IFR10" s="21"/>
      <c r="IFS10" s="21"/>
      <c r="IFT10" s="21"/>
      <c r="IFU10" s="21"/>
      <c r="IFV10" s="21"/>
      <c r="IFW10" s="21"/>
      <c r="IFX10" s="21"/>
      <c r="IFY10" s="21"/>
      <c r="IFZ10" s="21"/>
      <c r="IGA10" s="21"/>
      <c r="IGB10" s="21"/>
      <c r="IGC10" s="21"/>
      <c r="IGD10" s="21"/>
      <c r="IGE10" s="21"/>
      <c r="IGF10" s="21"/>
      <c r="IGG10" s="21"/>
      <c r="IGH10" s="21"/>
      <c r="IGI10" s="21"/>
      <c r="IGJ10" s="21"/>
      <c r="IGK10" s="21"/>
      <c r="IGL10" s="21"/>
      <c r="IGM10" s="21"/>
      <c r="IGN10" s="21"/>
      <c r="IGO10" s="21"/>
      <c r="IGP10" s="21"/>
      <c r="IGQ10" s="21"/>
      <c r="IGR10" s="21"/>
      <c r="IGS10" s="21"/>
      <c r="IGT10" s="21"/>
      <c r="IGU10" s="21"/>
      <c r="IGV10" s="21"/>
      <c r="IGW10" s="21"/>
      <c r="IGX10" s="21"/>
      <c r="IGY10" s="21"/>
      <c r="IGZ10" s="21"/>
      <c r="IHA10" s="21"/>
      <c r="IHB10" s="21"/>
      <c r="IHC10" s="21"/>
      <c r="IHD10" s="21"/>
      <c r="IHE10" s="21"/>
      <c r="IHF10" s="21"/>
      <c r="IHG10" s="21"/>
      <c r="IHH10" s="21"/>
      <c r="IHI10" s="21"/>
      <c r="IHJ10" s="21"/>
      <c r="IHK10" s="21"/>
      <c r="IHL10" s="21"/>
      <c r="IHM10" s="21"/>
      <c r="IHN10" s="21"/>
      <c r="IHO10" s="21"/>
      <c r="IHP10" s="21"/>
      <c r="IHQ10" s="21"/>
      <c r="IHR10" s="21"/>
      <c r="IHS10" s="21"/>
      <c r="IHT10" s="21"/>
      <c r="IHU10" s="21"/>
      <c r="IHV10" s="21"/>
      <c r="IHW10" s="21"/>
      <c r="IHX10" s="21"/>
      <c r="IHY10" s="21"/>
      <c r="IHZ10" s="21"/>
      <c r="IIA10" s="21"/>
      <c r="IIB10" s="21"/>
      <c r="IIC10" s="21"/>
      <c r="IID10" s="21"/>
      <c r="IIE10" s="21"/>
      <c r="IIF10" s="21"/>
      <c r="IIG10" s="21"/>
      <c r="IIH10" s="21"/>
      <c r="III10" s="21"/>
      <c r="IIJ10" s="21"/>
      <c r="IIK10" s="21"/>
      <c r="IIL10" s="21"/>
      <c r="IIM10" s="21"/>
      <c r="IIN10" s="21"/>
      <c r="IIO10" s="21"/>
      <c r="IIP10" s="21"/>
      <c r="IIQ10" s="21"/>
      <c r="IIR10" s="21"/>
      <c r="IIS10" s="21"/>
      <c r="IIT10" s="21"/>
      <c r="IIU10" s="21"/>
      <c r="IIV10" s="21"/>
      <c r="IIW10" s="21"/>
      <c r="IIX10" s="21"/>
      <c r="IIY10" s="21"/>
      <c r="IIZ10" s="21"/>
      <c r="IJA10" s="21"/>
      <c r="IJB10" s="21"/>
      <c r="IJC10" s="21"/>
      <c r="IJD10" s="21"/>
      <c r="IJE10" s="21"/>
      <c r="IJF10" s="21"/>
      <c r="IJG10" s="21"/>
      <c r="IJH10" s="21"/>
      <c r="IJI10" s="21"/>
      <c r="IJJ10" s="21"/>
      <c r="IJK10" s="21"/>
      <c r="IJL10" s="21"/>
      <c r="IJM10" s="21"/>
      <c r="IJN10" s="21"/>
      <c r="IJO10" s="21"/>
      <c r="IJP10" s="21"/>
      <c r="IJQ10" s="21"/>
      <c r="IJR10" s="21"/>
      <c r="IJS10" s="21"/>
      <c r="IJT10" s="21"/>
      <c r="IJU10" s="21"/>
      <c r="IJV10" s="21"/>
      <c r="IJW10" s="21"/>
      <c r="IJX10" s="21"/>
      <c r="IJY10" s="21"/>
      <c r="IJZ10" s="21"/>
      <c r="IKA10" s="21"/>
      <c r="IKB10" s="21"/>
      <c r="IKC10" s="21"/>
      <c r="IKD10" s="21"/>
      <c r="IKE10" s="21"/>
      <c r="IKF10" s="21"/>
      <c r="IKG10" s="21"/>
      <c r="IKH10" s="21"/>
      <c r="IKI10" s="21"/>
      <c r="IKJ10" s="21"/>
      <c r="IKK10" s="21"/>
      <c r="IKL10" s="21"/>
      <c r="IKM10" s="21"/>
      <c r="IKN10" s="21"/>
      <c r="IKO10" s="21"/>
      <c r="IKP10" s="21"/>
      <c r="IKQ10" s="21"/>
      <c r="IKR10" s="21"/>
      <c r="IKS10" s="21"/>
      <c r="IKT10" s="21"/>
      <c r="IKU10" s="21"/>
      <c r="IKV10" s="21"/>
      <c r="IKW10" s="21"/>
      <c r="IKX10" s="21"/>
      <c r="IKY10" s="21"/>
      <c r="IKZ10" s="21"/>
      <c r="ILA10" s="21"/>
      <c r="ILB10" s="21"/>
      <c r="ILC10" s="21"/>
      <c r="ILD10" s="21"/>
      <c r="ILE10" s="21"/>
      <c r="ILF10" s="21"/>
      <c r="ILG10" s="21"/>
      <c r="ILH10" s="21"/>
      <c r="ILI10" s="21"/>
      <c r="ILJ10" s="21"/>
      <c r="ILK10" s="21"/>
      <c r="ILL10" s="21"/>
      <c r="ILM10" s="21"/>
      <c r="ILN10" s="21"/>
      <c r="ILO10" s="21"/>
      <c r="ILP10" s="21"/>
      <c r="ILQ10" s="21"/>
      <c r="ILR10" s="21"/>
      <c r="ILS10" s="21"/>
      <c r="ILT10" s="21"/>
      <c r="ILU10" s="21"/>
      <c r="ILV10" s="21"/>
      <c r="ILW10" s="21"/>
      <c r="ILX10" s="21"/>
      <c r="ILY10" s="21"/>
      <c r="ILZ10" s="21"/>
      <c r="IMA10" s="21"/>
      <c r="IMB10" s="21"/>
      <c r="IMC10" s="21"/>
      <c r="IMD10" s="21"/>
      <c r="IME10" s="21"/>
      <c r="IMF10" s="21"/>
      <c r="IMG10" s="21"/>
      <c r="IMH10" s="21"/>
      <c r="IMI10" s="21"/>
      <c r="IMJ10" s="21"/>
      <c r="IMK10" s="21"/>
      <c r="IML10" s="21"/>
      <c r="IMM10" s="21"/>
      <c r="IMN10" s="21"/>
      <c r="IMO10" s="21"/>
      <c r="IMP10" s="21"/>
      <c r="IMQ10" s="21"/>
      <c r="IMR10" s="21"/>
      <c r="IMS10" s="21"/>
      <c r="IMT10" s="21"/>
      <c r="IMU10" s="21"/>
      <c r="IMV10" s="21"/>
      <c r="IMW10" s="21"/>
      <c r="IMX10" s="21"/>
      <c r="IMY10" s="21"/>
      <c r="IMZ10" s="21"/>
      <c r="INA10" s="21"/>
      <c r="INB10" s="21"/>
      <c r="INC10" s="21"/>
      <c r="IND10" s="21"/>
      <c r="INE10" s="21"/>
      <c r="INF10" s="21"/>
      <c r="ING10" s="21"/>
      <c r="INH10" s="21"/>
      <c r="INI10" s="21"/>
      <c r="INJ10" s="21"/>
      <c r="INK10" s="21"/>
      <c r="INL10" s="21"/>
      <c r="INM10" s="21"/>
      <c r="INN10" s="21"/>
      <c r="INO10" s="21"/>
      <c r="INP10" s="21"/>
      <c r="INQ10" s="21"/>
      <c r="INR10" s="21"/>
      <c r="INS10" s="21"/>
      <c r="INT10" s="21"/>
      <c r="INU10" s="21"/>
      <c r="INV10" s="21"/>
      <c r="INW10" s="21"/>
      <c r="INX10" s="21"/>
      <c r="INY10" s="21"/>
      <c r="INZ10" s="21"/>
      <c r="IOA10" s="21"/>
      <c r="IOB10" s="21"/>
      <c r="IOC10" s="21"/>
      <c r="IOD10" s="21"/>
      <c r="IOE10" s="21"/>
      <c r="IOF10" s="21"/>
      <c r="IOG10" s="21"/>
      <c r="IOH10" s="21"/>
      <c r="IOI10" s="21"/>
      <c r="IOJ10" s="21"/>
      <c r="IOK10" s="21"/>
      <c r="IOL10" s="21"/>
      <c r="IOM10" s="21"/>
      <c r="ION10" s="21"/>
      <c r="IOO10" s="21"/>
      <c r="IOP10" s="21"/>
      <c r="IOQ10" s="21"/>
      <c r="IOR10" s="21"/>
      <c r="IOS10" s="21"/>
      <c r="IOT10" s="21"/>
      <c r="IOU10" s="21"/>
      <c r="IOV10" s="21"/>
      <c r="IOW10" s="21"/>
      <c r="IOX10" s="21"/>
      <c r="IOY10" s="21"/>
      <c r="IOZ10" s="21"/>
      <c r="IPA10" s="21"/>
      <c r="IPB10" s="21"/>
      <c r="IPC10" s="21"/>
      <c r="IPD10" s="21"/>
      <c r="IPE10" s="21"/>
      <c r="IPF10" s="21"/>
      <c r="IPG10" s="21"/>
      <c r="IPH10" s="21"/>
      <c r="IPI10" s="21"/>
      <c r="IPJ10" s="21"/>
      <c r="IPK10" s="21"/>
      <c r="IPL10" s="21"/>
      <c r="IPM10" s="21"/>
      <c r="IPN10" s="21"/>
      <c r="IPO10" s="21"/>
      <c r="IPP10" s="21"/>
      <c r="IPQ10" s="21"/>
      <c r="IPR10" s="21"/>
      <c r="IPS10" s="21"/>
      <c r="IPT10" s="21"/>
      <c r="IPU10" s="21"/>
      <c r="IPV10" s="21"/>
      <c r="IPW10" s="21"/>
      <c r="IPX10" s="21"/>
      <c r="IPY10" s="21"/>
      <c r="IPZ10" s="21"/>
      <c r="IQA10" s="21"/>
      <c r="IQB10" s="21"/>
      <c r="IQC10" s="21"/>
      <c r="IQD10" s="21"/>
      <c r="IQE10" s="21"/>
      <c r="IQF10" s="21"/>
      <c r="IQG10" s="21"/>
      <c r="IQH10" s="21"/>
      <c r="IQI10" s="21"/>
      <c r="IQJ10" s="21"/>
      <c r="IQK10" s="21"/>
      <c r="IQL10" s="21"/>
      <c r="IQM10" s="21"/>
      <c r="IQN10" s="21"/>
      <c r="IQO10" s="21"/>
      <c r="IQP10" s="21"/>
      <c r="IQQ10" s="21"/>
      <c r="IQR10" s="21"/>
      <c r="IQS10" s="21"/>
      <c r="IQT10" s="21"/>
      <c r="IQU10" s="21"/>
      <c r="IQV10" s="21"/>
      <c r="IQW10" s="21"/>
      <c r="IQX10" s="21"/>
      <c r="IQY10" s="21"/>
      <c r="IQZ10" s="21"/>
      <c r="IRA10" s="21"/>
      <c r="IRB10" s="21"/>
      <c r="IRC10" s="21"/>
      <c r="IRD10" s="21"/>
      <c r="IRE10" s="21"/>
      <c r="IRF10" s="21"/>
      <c r="IRG10" s="21"/>
      <c r="IRH10" s="21"/>
      <c r="IRI10" s="21"/>
      <c r="IRJ10" s="21"/>
      <c r="IRK10" s="21"/>
      <c r="IRL10" s="21"/>
      <c r="IRM10" s="21"/>
      <c r="IRN10" s="21"/>
      <c r="IRO10" s="21"/>
      <c r="IRP10" s="21"/>
      <c r="IRQ10" s="21"/>
      <c r="IRR10" s="21"/>
      <c r="IRS10" s="21"/>
      <c r="IRT10" s="21"/>
      <c r="IRU10" s="21"/>
      <c r="IRV10" s="21"/>
      <c r="IRW10" s="21"/>
      <c r="IRX10" s="21"/>
      <c r="IRY10" s="21"/>
      <c r="IRZ10" s="21"/>
      <c r="ISA10" s="21"/>
      <c r="ISB10" s="21"/>
      <c r="ISC10" s="21"/>
      <c r="ISD10" s="21"/>
      <c r="ISE10" s="21"/>
      <c r="ISF10" s="21"/>
      <c r="ISG10" s="21"/>
      <c r="ISH10" s="21"/>
      <c r="ISI10" s="21"/>
      <c r="ISJ10" s="21"/>
      <c r="ISK10" s="21"/>
      <c r="ISL10" s="21"/>
      <c r="ISM10" s="21"/>
      <c r="ISN10" s="21"/>
      <c r="ISO10" s="21"/>
      <c r="ISP10" s="21"/>
      <c r="ISQ10" s="21"/>
      <c r="ISR10" s="21"/>
      <c r="ISS10" s="21"/>
      <c r="IST10" s="21"/>
      <c r="ISU10" s="21"/>
      <c r="ISV10" s="21"/>
      <c r="ISW10" s="21"/>
      <c r="ISX10" s="21"/>
      <c r="ISY10" s="21"/>
      <c r="ISZ10" s="21"/>
      <c r="ITA10" s="21"/>
      <c r="ITB10" s="21"/>
      <c r="ITC10" s="21"/>
      <c r="ITD10" s="21"/>
      <c r="ITE10" s="21"/>
      <c r="ITF10" s="21"/>
      <c r="ITG10" s="21"/>
      <c r="ITH10" s="21"/>
      <c r="ITI10" s="21"/>
      <c r="ITJ10" s="21"/>
      <c r="ITK10" s="21"/>
      <c r="ITL10" s="21"/>
      <c r="ITM10" s="21"/>
      <c r="ITN10" s="21"/>
      <c r="ITO10" s="21"/>
      <c r="ITP10" s="21"/>
      <c r="ITQ10" s="21"/>
      <c r="ITR10" s="21"/>
      <c r="ITS10" s="21"/>
      <c r="ITT10" s="21"/>
      <c r="ITU10" s="21"/>
      <c r="ITV10" s="21"/>
      <c r="ITW10" s="21"/>
      <c r="ITX10" s="21"/>
      <c r="ITY10" s="21"/>
      <c r="ITZ10" s="21"/>
      <c r="IUA10" s="21"/>
      <c r="IUB10" s="21"/>
      <c r="IUC10" s="21"/>
      <c r="IUD10" s="21"/>
      <c r="IUE10" s="21"/>
      <c r="IUF10" s="21"/>
      <c r="IUG10" s="21"/>
      <c r="IUH10" s="21"/>
      <c r="IUI10" s="21"/>
      <c r="IUJ10" s="21"/>
      <c r="IUK10" s="21"/>
      <c r="IUL10" s="21"/>
      <c r="IUM10" s="21"/>
      <c r="IUN10" s="21"/>
      <c r="IUO10" s="21"/>
      <c r="IUP10" s="21"/>
      <c r="IUQ10" s="21"/>
      <c r="IUR10" s="21"/>
      <c r="IUS10" s="21"/>
      <c r="IUT10" s="21"/>
      <c r="IUU10" s="21"/>
      <c r="IUV10" s="21"/>
      <c r="IUW10" s="21"/>
      <c r="IUX10" s="21"/>
      <c r="IUY10" s="21"/>
      <c r="IUZ10" s="21"/>
      <c r="IVA10" s="21"/>
      <c r="IVB10" s="21"/>
      <c r="IVC10" s="21"/>
      <c r="IVD10" s="21"/>
      <c r="IVE10" s="21"/>
      <c r="IVF10" s="21"/>
      <c r="IVG10" s="21"/>
      <c r="IVH10" s="21"/>
      <c r="IVI10" s="21"/>
      <c r="IVJ10" s="21"/>
      <c r="IVK10" s="21"/>
      <c r="IVL10" s="21"/>
      <c r="IVM10" s="21"/>
      <c r="IVN10" s="21"/>
      <c r="IVO10" s="21"/>
      <c r="IVP10" s="21"/>
      <c r="IVQ10" s="21"/>
      <c r="IVR10" s="21"/>
      <c r="IVS10" s="21"/>
      <c r="IVT10" s="21"/>
      <c r="IVU10" s="21"/>
      <c r="IVV10" s="21"/>
      <c r="IVW10" s="21"/>
      <c r="IVX10" s="21"/>
      <c r="IVY10" s="21"/>
      <c r="IVZ10" s="21"/>
      <c r="IWA10" s="21"/>
      <c r="IWB10" s="21"/>
      <c r="IWC10" s="21"/>
      <c r="IWD10" s="21"/>
      <c r="IWE10" s="21"/>
      <c r="IWF10" s="21"/>
      <c r="IWG10" s="21"/>
      <c r="IWH10" s="21"/>
      <c r="IWI10" s="21"/>
      <c r="IWJ10" s="21"/>
      <c r="IWK10" s="21"/>
      <c r="IWL10" s="21"/>
      <c r="IWM10" s="21"/>
      <c r="IWN10" s="21"/>
      <c r="IWO10" s="21"/>
      <c r="IWP10" s="21"/>
      <c r="IWQ10" s="21"/>
      <c r="IWR10" s="21"/>
      <c r="IWS10" s="21"/>
      <c r="IWT10" s="21"/>
      <c r="IWU10" s="21"/>
      <c r="IWV10" s="21"/>
      <c r="IWW10" s="21"/>
      <c r="IWX10" s="21"/>
      <c r="IWY10" s="21"/>
      <c r="IWZ10" s="21"/>
      <c r="IXA10" s="21"/>
      <c r="IXB10" s="21"/>
      <c r="IXC10" s="21"/>
      <c r="IXD10" s="21"/>
      <c r="IXE10" s="21"/>
      <c r="IXF10" s="21"/>
      <c r="IXG10" s="21"/>
      <c r="IXH10" s="21"/>
      <c r="IXI10" s="21"/>
      <c r="IXJ10" s="21"/>
      <c r="IXK10" s="21"/>
      <c r="IXL10" s="21"/>
      <c r="IXM10" s="21"/>
      <c r="IXN10" s="21"/>
      <c r="IXO10" s="21"/>
      <c r="IXP10" s="21"/>
      <c r="IXQ10" s="21"/>
      <c r="IXR10" s="21"/>
      <c r="IXS10" s="21"/>
      <c r="IXT10" s="21"/>
      <c r="IXU10" s="21"/>
      <c r="IXV10" s="21"/>
      <c r="IXW10" s="21"/>
      <c r="IXX10" s="21"/>
      <c r="IXY10" s="21"/>
      <c r="IXZ10" s="21"/>
      <c r="IYA10" s="21"/>
      <c r="IYB10" s="21"/>
      <c r="IYC10" s="21"/>
      <c r="IYD10" s="21"/>
      <c r="IYE10" s="21"/>
      <c r="IYF10" s="21"/>
      <c r="IYG10" s="21"/>
      <c r="IYH10" s="21"/>
      <c r="IYI10" s="21"/>
      <c r="IYJ10" s="21"/>
      <c r="IYK10" s="21"/>
      <c r="IYL10" s="21"/>
      <c r="IYM10" s="21"/>
      <c r="IYN10" s="21"/>
      <c r="IYO10" s="21"/>
      <c r="IYP10" s="21"/>
      <c r="IYQ10" s="21"/>
      <c r="IYR10" s="21"/>
      <c r="IYS10" s="21"/>
      <c r="IYT10" s="21"/>
      <c r="IYU10" s="21"/>
      <c r="IYV10" s="21"/>
      <c r="IYW10" s="21"/>
      <c r="IYX10" s="21"/>
      <c r="IYY10" s="21"/>
      <c r="IYZ10" s="21"/>
      <c r="IZA10" s="21"/>
      <c r="IZB10" s="21"/>
      <c r="IZC10" s="21"/>
      <c r="IZD10" s="21"/>
      <c r="IZE10" s="21"/>
      <c r="IZF10" s="21"/>
      <c r="IZG10" s="21"/>
      <c r="IZH10" s="21"/>
      <c r="IZI10" s="21"/>
      <c r="IZJ10" s="21"/>
      <c r="IZK10" s="21"/>
      <c r="IZL10" s="21"/>
      <c r="IZM10" s="21"/>
      <c r="IZN10" s="21"/>
      <c r="IZO10" s="21"/>
      <c r="IZP10" s="21"/>
      <c r="IZQ10" s="21"/>
      <c r="IZR10" s="21"/>
      <c r="IZS10" s="21"/>
      <c r="IZT10" s="21"/>
      <c r="IZU10" s="21"/>
      <c r="IZV10" s="21"/>
      <c r="IZW10" s="21"/>
      <c r="IZX10" s="21"/>
      <c r="IZY10" s="21"/>
      <c r="IZZ10" s="21"/>
      <c r="JAA10" s="21"/>
      <c r="JAB10" s="21"/>
      <c r="JAC10" s="21"/>
      <c r="JAD10" s="21"/>
      <c r="JAE10" s="21"/>
      <c r="JAF10" s="21"/>
      <c r="JAG10" s="21"/>
      <c r="JAH10" s="21"/>
      <c r="JAI10" s="21"/>
      <c r="JAJ10" s="21"/>
      <c r="JAK10" s="21"/>
      <c r="JAL10" s="21"/>
      <c r="JAM10" s="21"/>
      <c r="JAN10" s="21"/>
      <c r="JAO10" s="21"/>
      <c r="JAP10" s="21"/>
      <c r="JAQ10" s="21"/>
      <c r="JAR10" s="21"/>
      <c r="JAS10" s="21"/>
      <c r="JAT10" s="21"/>
      <c r="JAU10" s="21"/>
      <c r="JAV10" s="21"/>
      <c r="JAW10" s="21"/>
      <c r="JAX10" s="21"/>
      <c r="JAY10" s="21"/>
      <c r="JAZ10" s="21"/>
      <c r="JBA10" s="21"/>
      <c r="JBB10" s="21"/>
      <c r="JBC10" s="21"/>
      <c r="JBD10" s="21"/>
      <c r="JBE10" s="21"/>
      <c r="JBF10" s="21"/>
      <c r="JBG10" s="21"/>
      <c r="JBH10" s="21"/>
      <c r="JBI10" s="21"/>
      <c r="JBJ10" s="21"/>
      <c r="JBK10" s="21"/>
      <c r="JBL10" s="21"/>
      <c r="JBM10" s="21"/>
      <c r="JBN10" s="21"/>
      <c r="JBO10" s="21"/>
      <c r="JBP10" s="21"/>
      <c r="JBQ10" s="21"/>
      <c r="JBR10" s="21"/>
      <c r="JBS10" s="21"/>
      <c r="JBT10" s="21"/>
      <c r="JBU10" s="21"/>
      <c r="JBV10" s="21"/>
      <c r="JBW10" s="21"/>
      <c r="JBX10" s="21"/>
      <c r="JBY10" s="21"/>
      <c r="JBZ10" s="21"/>
      <c r="JCA10" s="21"/>
      <c r="JCB10" s="21"/>
      <c r="JCC10" s="21"/>
      <c r="JCD10" s="21"/>
      <c r="JCE10" s="21"/>
      <c r="JCF10" s="21"/>
      <c r="JCG10" s="21"/>
      <c r="JCH10" s="21"/>
      <c r="JCI10" s="21"/>
      <c r="JCJ10" s="21"/>
      <c r="JCK10" s="21"/>
      <c r="JCL10" s="21"/>
      <c r="JCM10" s="21"/>
      <c r="JCN10" s="21"/>
      <c r="JCO10" s="21"/>
      <c r="JCP10" s="21"/>
      <c r="JCQ10" s="21"/>
      <c r="JCR10" s="21"/>
      <c r="JCS10" s="21"/>
      <c r="JCT10" s="21"/>
      <c r="JCU10" s="21"/>
      <c r="JCV10" s="21"/>
      <c r="JCW10" s="21"/>
      <c r="JCX10" s="21"/>
      <c r="JCY10" s="21"/>
      <c r="JCZ10" s="21"/>
      <c r="JDA10" s="21"/>
      <c r="JDB10" s="21"/>
      <c r="JDC10" s="21"/>
      <c r="JDD10" s="21"/>
      <c r="JDE10" s="21"/>
      <c r="JDF10" s="21"/>
      <c r="JDG10" s="21"/>
      <c r="JDH10" s="21"/>
      <c r="JDI10" s="21"/>
      <c r="JDJ10" s="21"/>
      <c r="JDK10" s="21"/>
      <c r="JDL10" s="21"/>
      <c r="JDM10" s="21"/>
      <c r="JDN10" s="21"/>
      <c r="JDO10" s="21"/>
      <c r="JDP10" s="21"/>
      <c r="JDQ10" s="21"/>
      <c r="JDR10" s="21"/>
      <c r="JDS10" s="21"/>
      <c r="JDT10" s="21"/>
      <c r="JDU10" s="21"/>
      <c r="JDV10" s="21"/>
      <c r="JDW10" s="21"/>
      <c r="JDX10" s="21"/>
      <c r="JDY10" s="21"/>
      <c r="JDZ10" s="21"/>
      <c r="JEA10" s="21"/>
      <c r="JEB10" s="21"/>
      <c r="JEC10" s="21"/>
      <c r="JED10" s="21"/>
      <c r="JEE10" s="21"/>
      <c r="JEF10" s="21"/>
      <c r="JEG10" s="21"/>
      <c r="JEH10" s="21"/>
      <c r="JEI10" s="21"/>
      <c r="JEJ10" s="21"/>
      <c r="JEK10" s="21"/>
      <c r="JEL10" s="21"/>
      <c r="JEM10" s="21"/>
      <c r="JEN10" s="21"/>
      <c r="JEO10" s="21"/>
      <c r="JEP10" s="21"/>
      <c r="JEQ10" s="21"/>
      <c r="JER10" s="21"/>
      <c r="JES10" s="21"/>
      <c r="JET10" s="21"/>
      <c r="JEU10" s="21"/>
      <c r="JEV10" s="21"/>
      <c r="JEW10" s="21"/>
      <c r="JEX10" s="21"/>
      <c r="JEY10" s="21"/>
      <c r="JEZ10" s="21"/>
      <c r="JFA10" s="21"/>
      <c r="JFB10" s="21"/>
      <c r="JFC10" s="21"/>
      <c r="JFD10" s="21"/>
      <c r="JFE10" s="21"/>
      <c r="JFF10" s="21"/>
      <c r="JFG10" s="21"/>
      <c r="JFH10" s="21"/>
      <c r="JFI10" s="21"/>
      <c r="JFJ10" s="21"/>
      <c r="JFK10" s="21"/>
      <c r="JFL10" s="21"/>
      <c r="JFM10" s="21"/>
      <c r="JFN10" s="21"/>
      <c r="JFO10" s="21"/>
      <c r="JFP10" s="21"/>
      <c r="JFQ10" s="21"/>
      <c r="JFR10" s="21"/>
      <c r="JFS10" s="21"/>
      <c r="JFT10" s="21"/>
      <c r="JFU10" s="21"/>
      <c r="JFV10" s="21"/>
      <c r="JFW10" s="21"/>
      <c r="JFX10" s="21"/>
      <c r="JFY10" s="21"/>
      <c r="JFZ10" s="21"/>
      <c r="JGA10" s="21"/>
      <c r="JGB10" s="21"/>
      <c r="JGC10" s="21"/>
      <c r="JGD10" s="21"/>
      <c r="JGE10" s="21"/>
      <c r="JGF10" s="21"/>
      <c r="JGG10" s="21"/>
      <c r="JGH10" s="21"/>
      <c r="JGI10" s="21"/>
      <c r="JGJ10" s="21"/>
      <c r="JGK10" s="21"/>
      <c r="JGL10" s="21"/>
      <c r="JGM10" s="21"/>
      <c r="JGN10" s="21"/>
      <c r="JGO10" s="21"/>
      <c r="JGP10" s="21"/>
      <c r="JGQ10" s="21"/>
      <c r="JGR10" s="21"/>
      <c r="JGS10" s="21"/>
      <c r="JGT10" s="21"/>
      <c r="JGU10" s="21"/>
      <c r="JGV10" s="21"/>
      <c r="JGW10" s="21"/>
      <c r="JGX10" s="21"/>
      <c r="JGY10" s="21"/>
      <c r="JGZ10" s="21"/>
      <c r="JHA10" s="21"/>
      <c r="JHB10" s="21"/>
      <c r="JHC10" s="21"/>
      <c r="JHD10" s="21"/>
      <c r="JHE10" s="21"/>
      <c r="JHF10" s="21"/>
      <c r="JHG10" s="21"/>
      <c r="JHH10" s="21"/>
      <c r="JHI10" s="21"/>
      <c r="JHJ10" s="21"/>
      <c r="JHK10" s="21"/>
      <c r="JHL10" s="21"/>
      <c r="JHM10" s="21"/>
      <c r="JHN10" s="21"/>
      <c r="JHO10" s="21"/>
      <c r="JHP10" s="21"/>
      <c r="JHQ10" s="21"/>
      <c r="JHR10" s="21"/>
      <c r="JHS10" s="21"/>
      <c r="JHT10" s="21"/>
      <c r="JHU10" s="21"/>
      <c r="JHV10" s="21"/>
      <c r="JHW10" s="21"/>
      <c r="JHX10" s="21"/>
      <c r="JHY10" s="21"/>
      <c r="JHZ10" s="21"/>
      <c r="JIA10" s="21"/>
      <c r="JIB10" s="21"/>
      <c r="JIC10" s="21"/>
      <c r="JID10" s="21"/>
      <c r="JIE10" s="21"/>
      <c r="JIF10" s="21"/>
      <c r="JIG10" s="21"/>
      <c r="JIH10" s="21"/>
      <c r="JII10" s="21"/>
      <c r="JIJ10" s="21"/>
      <c r="JIK10" s="21"/>
      <c r="JIL10" s="21"/>
      <c r="JIM10" s="21"/>
      <c r="JIN10" s="21"/>
      <c r="JIO10" s="21"/>
      <c r="JIP10" s="21"/>
      <c r="JIQ10" s="21"/>
      <c r="JIR10" s="21"/>
      <c r="JIS10" s="21"/>
      <c r="JIT10" s="21"/>
      <c r="JIU10" s="21"/>
      <c r="JIV10" s="21"/>
      <c r="JIW10" s="21"/>
      <c r="JIX10" s="21"/>
      <c r="JIY10" s="21"/>
      <c r="JIZ10" s="21"/>
      <c r="JJA10" s="21"/>
      <c r="JJB10" s="21"/>
      <c r="JJC10" s="21"/>
      <c r="JJD10" s="21"/>
      <c r="JJE10" s="21"/>
      <c r="JJF10" s="21"/>
      <c r="JJG10" s="21"/>
      <c r="JJH10" s="21"/>
      <c r="JJI10" s="21"/>
      <c r="JJJ10" s="21"/>
      <c r="JJK10" s="21"/>
      <c r="JJL10" s="21"/>
      <c r="JJM10" s="21"/>
      <c r="JJN10" s="21"/>
      <c r="JJO10" s="21"/>
      <c r="JJP10" s="21"/>
      <c r="JJQ10" s="21"/>
      <c r="JJR10" s="21"/>
      <c r="JJS10" s="21"/>
      <c r="JJT10" s="21"/>
      <c r="JJU10" s="21"/>
      <c r="JJV10" s="21"/>
      <c r="JJW10" s="21"/>
      <c r="JJX10" s="21"/>
      <c r="JJY10" s="21"/>
      <c r="JJZ10" s="21"/>
      <c r="JKA10" s="21"/>
      <c r="JKB10" s="21"/>
      <c r="JKC10" s="21"/>
      <c r="JKD10" s="21"/>
      <c r="JKE10" s="21"/>
      <c r="JKF10" s="21"/>
      <c r="JKG10" s="21"/>
      <c r="JKH10" s="21"/>
      <c r="JKI10" s="21"/>
      <c r="JKJ10" s="21"/>
      <c r="JKK10" s="21"/>
      <c r="JKL10" s="21"/>
      <c r="JKM10" s="21"/>
      <c r="JKN10" s="21"/>
      <c r="JKO10" s="21"/>
      <c r="JKP10" s="21"/>
      <c r="JKQ10" s="21"/>
      <c r="JKR10" s="21"/>
      <c r="JKS10" s="21"/>
      <c r="JKT10" s="21"/>
      <c r="JKU10" s="21"/>
      <c r="JKV10" s="21"/>
      <c r="JKW10" s="21"/>
      <c r="JKX10" s="21"/>
      <c r="JKY10" s="21"/>
      <c r="JKZ10" s="21"/>
      <c r="JLA10" s="21"/>
      <c r="JLB10" s="21"/>
      <c r="JLC10" s="21"/>
      <c r="JLD10" s="21"/>
      <c r="JLE10" s="21"/>
      <c r="JLF10" s="21"/>
      <c r="JLG10" s="21"/>
      <c r="JLH10" s="21"/>
      <c r="JLI10" s="21"/>
      <c r="JLJ10" s="21"/>
      <c r="JLK10" s="21"/>
      <c r="JLL10" s="21"/>
      <c r="JLM10" s="21"/>
      <c r="JLN10" s="21"/>
      <c r="JLO10" s="21"/>
      <c r="JLP10" s="21"/>
      <c r="JLQ10" s="21"/>
      <c r="JLR10" s="21"/>
      <c r="JLS10" s="21"/>
      <c r="JLT10" s="21"/>
      <c r="JLU10" s="21"/>
      <c r="JLV10" s="21"/>
      <c r="JLW10" s="21"/>
      <c r="JLX10" s="21"/>
      <c r="JLY10" s="21"/>
      <c r="JLZ10" s="21"/>
      <c r="JMA10" s="21"/>
      <c r="JMB10" s="21"/>
      <c r="JMC10" s="21"/>
      <c r="JMD10" s="21"/>
      <c r="JME10" s="21"/>
      <c r="JMF10" s="21"/>
      <c r="JMG10" s="21"/>
      <c r="JMH10" s="21"/>
      <c r="JMI10" s="21"/>
      <c r="JMJ10" s="21"/>
      <c r="JMK10" s="21"/>
      <c r="JML10" s="21"/>
      <c r="JMM10" s="21"/>
      <c r="JMN10" s="21"/>
      <c r="JMO10" s="21"/>
      <c r="JMP10" s="21"/>
      <c r="JMQ10" s="21"/>
      <c r="JMR10" s="21"/>
      <c r="JMS10" s="21"/>
      <c r="JMT10" s="21"/>
      <c r="JMU10" s="21"/>
      <c r="JMV10" s="21"/>
      <c r="JMW10" s="21"/>
      <c r="JMX10" s="21"/>
      <c r="JMY10" s="21"/>
      <c r="JMZ10" s="21"/>
      <c r="JNA10" s="21"/>
      <c r="JNB10" s="21"/>
      <c r="JNC10" s="21"/>
      <c r="JND10" s="21"/>
      <c r="JNE10" s="21"/>
      <c r="JNF10" s="21"/>
      <c r="JNG10" s="21"/>
      <c r="JNH10" s="21"/>
      <c r="JNI10" s="21"/>
      <c r="JNJ10" s="21"/>
      <c r="JNK10" s="21"/>
      <c r="JNL10" s="21"/>
      <c r="JNM10" s="21"/>
      <c r="JNN10" s="21"/>
      <c r="JNO10" s="21"/>
      <c r="JNP10" s="21"/>
      <c r="JNQ10" s="21"/>
      <c r="JNR10" s="21"/>
      <c r="JNS10" s="21"/>
      <c r="JNT10" s="21"/>
      <c r="JNU10" s="21"/>
      <c r="JNV10" s="21"/>
      <c r="JNW10" s="21"/>
      <c r="JNX10" s="21"/>
      <c r="JNY10" s="21"/>
      <c r="JNZ10" s="21"/>
      <c r="JOA10" s="21"/>
      <c r="JOB10" s="21"/>
      <c r="JOC10" s="21"/>
      <c r="JOD10" s="21"/>
      <c r="JOE10" s="21"/>
      <c r="JOF10" s="21"/>
      <c r="JOG10" s="21"/>
      <c r="JOH10" s="21"/>
      <c r="JOI10" s="21"/>
      <c r="JOJ10" s="21"/>
      <c r="JOK10" s="21"/>
      <c r="JOL10" s="21"/>
      <c r="JOM10" s="21"/>
      <c r="JON10" s="21"/>
      <c r="JOO10" s="21"/>
      <c r="JOP10" s="21"/>
      <c r="JOQ10" s="21"/>
      <c r="JOR10" s="21"/>
      <c r="JOS10" s="21"/>
      <c r="JOT10" s="21"/>
      <c r="JOU10" s="21"/>
      <c r="JOV10" s="21"/>
      <c r="JOW10" s="21"/>
      <c r="JOX10" s="21"/>
      <c r="JOY10" s="21"/>
      <c r="JOZ10" s="21"/>
      <c r="JPA10" s="21"/>
      <c r="JPB10" s="21"/>
      <c r="JPC10" s="21"/>
      <c r="JPD10" s="21"/>
      <c r="JPE10" s="21"/>
      <c r="JPF10" s="21"/>
      <c r="JPG10" s="21"/>
      <c r="JPH10" s="21"/>
      <c r="JPI10" s="21"/>
      <c r="JPJ10" s="21"/>
      <c r="JPK10" s="21"/>
      <c r="JPL10" s="21"/>
      <c r="JPM10" s="21"/>
      <c r="JPN10" s="21"/>
      <c r="JPO10" s="21"/>
      <c r="JPP10" s="21"/>
      <c r="JPQ10" s="21"/>
      <c r="JPR10" s="21"/>
      <c r="JPS10" s="21"/>
      <c r="JPT10" s="21"/>
      <c r="JPU10" s="21"/>
      <c r="JPV10" s="21"/>
      <c r="JPW10" s="21"/>
      <c r="JPX10" s="21"/>
      <c r="JPY10" s="21"/>
      <c r="JPZ10" s="21"/>
      <c r="JQA10" s="21"/>
      <c r="JQB10" s="21"/>
      <c r="JQC10" s="21"/>
      <c r="JQD10" s="21"/>
      <c r="JQE10" s="21"/>
      <c r="JQF10" s="21"/>
      <c r="JQG10" s="21"/>
      <c r="JQH10" s="21"/>
      <c r="JQI10" s="21"/>
      <c r="JQJ10" s="21"/>
      <c r="JQK10" s="21"/>
      <c r="JQL10" s="21"/>
      <c r="JQM10" s="21"/>
      <c r="JQN10" s="21"/>
      <c r="JQO10" s="21"/>
      <c r="JQP10" s="21"/>
      <c r="JQQ10" s="21"/>
      <c r="JQR10" s="21"/>
      <c r="JQS10" s="21"/>
      <c r="JQT10" s="21"/>
      <c r="JQU10" s="21"/>
      <c r="JQV10" s="21"/>
      <c r="JQW10" s="21"/>
      <c r="JQX10" s="21"/>
      <c r="JQY10" s="21"/>
      <c r="JQZ10" s="21"/>
      <c r="JRA10" s="21"/>
      <c r="JRB10" s="21"/>
      <c r="JRC10" s="21"/>
      <c r="JRD10" s="21"/>
      <c r="JRE10" s="21"/>
      <c r="JRF10" s="21"/>
      <c r="JRG10" s="21"/>
      <c r="JRH10" s="21"/>
      <c r="JRI10" s="21"/>
      <c r="JRJ10" s="21"/>
      <c r="JRK10" s="21"/>
      <c r="JRL10" s="21"/>
      <c r="JRM10" s="21"/>
      <c r="JRN10" s="21"/>
      <c r="JRO10" s="21"/>
      <c r="JRP10" s="21"/>
      <c r="JRQ10" s="21"/>
      <c r="JRR10" s="21"/>
      <c r="JRS10" s="21"/>
      <c r="JRT10" s="21"/>
      <c r="JRU10" s="21"/>
      <c r="JRV10" s="21"/>
      <c r="JRW10" s="21"/>
      <c r="JRX10" s="21"/>
      <c r="JRY10" s="21"/>
      <c r="JRZ10" s="21"/>
      <c r="JSA10" s="21"/>
      <c r="JSB10" s="21"/>
      <c r="JSC10" s="21"/>
      <c r="JSD10" s="21"/>
      <c r="JSE10" s="21"/>
      <c r="JSF10" s="21"/>
      <c r="JSG10" s="21"/>
      <c r="JSH10" s="21"/>
      <c r="JSI10" s="21"/>
      <c r="JSJ10" s="21"/>
      <c r="JSK10" s="21"/>
      <c r="JSL10" s="21"/>
      <c r="JSM10" s="21"/>
      <c r="JSN10" s="21"/>
      <c r="JSO10" s="21"/>
      <c r="JSP10" s="21"/>
      <c r="JSQ10" s="21"/>
      <c r="JSR10" s="21"/>
      <c r="JSS10" s="21"/>
      <c r="JST10" s="21"/>
      <c r="JSU10" s="21"/>
      <c r="JSV10" s="21"/>
      <c r="JSW10" s="21"/>
      <c r="JSX10" s="21"/>
      <c r="JSY10" s="21"/>
      <c r="JSZ10" s="21"/>
      <c r="JTA10" s="21"/>
      <c r="JTB10" s="21"/>
      <c r="JTC10" s="21"/>
      <c r="JTD10" s="21"/>
      <c r="JTE10" s="21"/>
      <c r="JTF10" s="21"/>
      <c r="JTG10" s="21"/>
      <c r="JTH10" s="21"/>
      <c r="JTI10" s="21"/>
      <c r="JTJ10" s="21"/>
      <c r="JTK10" s="21"/>
      <c r="JTL10" s="21"/>
      <c r="JTM10" s="21"/>
      <c r="JTN10" s="21"/>
      <c r="JTO10" s="21"/>
      <c r="JTP10" s="21"/>
      <c r="JTQ10" s="21"/>
      <c r="JTR10" s="21"/>
      <c r="JTS10" s="21"/>
      <c r="JTT10" s="21"/>
      <c r="JTU10" s="21"/>
      <c r="JTV10" s="21"/>
      <c r="JTW10" s="21"/>
      <c r="JTX10" s="21"/>
      <c r="JTY10" s="21"/>
      <c r="JTZ10" s="21"/>
      <c r="JUA10" s="21"/>
      <c r="JUB10" s="21"/>
      <c r="JUC10" s="21"/>
      <c r="JUD10" s="21"/>
      <c r="JUE10" s="21"/>
      <c r="JUF10" s="21"/>
      <c r="JUG10" s="21"/>
      <c r="JUH10" s="21"/>
      <c r="JUI10" s="21"/>
      <c r="JUJ10" s="21"/>
      <c r="JUK10" s="21"/>
      <c r="JUL10" s="21"/>
      <c r="JUM10" s="21"/>
      <c r="JUN10" s="21"/>
      <c r="JUO10" s="21"/>
      <c r="JUP10" s="21"/>
      <c r="JUQ10" s="21"/>
      <c r="JUR10" s="21"/>
      <c r="JUS10" s="21"/>
      <c r="JUT10" s="21"/>
      <c r="JUU10" s="21"/>
      <c r="JUV10" s="21"/>
      <c r="JUW10" s="21"/>
      <c r="JUX10" s="21"/>
      <c r="JUY10" s="21"/>
      <c r="JUZ10" s="21"/>
      <c r="JVA10" s="21"/>
      <c r="JVB10" s="21"/>
      <c r="JVC10" s="21"/>
      <c r="JVD10" s="21"/>
      <c r="JVE10" s="21"/>
      <c r="JVF10" s="21"/>
      <c r="JVG10" s="21"/>
      <c r="JVH10" s="21"/>
      <c r="JVI10" s="21"/>
      <c r="JVJ10" s="21"/>
      <c r="JVK10" s="21"/>
      <c r="JVL10" s="21"/>
      <c r="JVM10" s="21"/>
      <c r="JVN10" s="21"/>
      <c r="JVO10" s="21"/>
      <c r="JVP10" s="21"/>
      <c r="JVQ10" s="21"/>
      <c r="JVR10" s="21"/>
      <c r="JVS10" s="21"/>
      <c r="JVT10" s="21"/>
      <c r="JVU10" s="21"/>
      <c r="JVV10" s="21"/>
      <c r="JVW10" s="21"/>
      <c r="JVX10" s="21"/>
      <c r="JVY10" s="21"/>
      <c r="JVZ10" s="21"/>
      <c r="JWA10" s="21"/>
      <c r="JWB10" s="21"/>
      <c r="JWC10" s="21"/>
      <c r="JWD10" s="21"/>
      <c r="JWE10" s="21"/>
      <c r="JWF10" s="21"/>
      <c r="JWG10" s="21"/>
      <c r="JWH10" s="21"/>
      <c r="JWI10" s="21"/>
      <c r="JWJ10" s="21"/>
      <c r="JWK10" s="21"/>
      <c r="JWL10" s="21"/>
      <c r="JWM10" s="21"/>
      <c r="JWN10" s="21"/>
      <c r="JWO10" s="21"/>
      <c r="JWP10" s="21"/>
      <c r="JWQ10" s="21"/>
      <c r="JWR10" s="21"/>
      <c r="JWS10" s="21"/>
      <c r="JWT10" s="21"/>
      <c r="JWU10" s="21"/>
      <c r="JWV10" s="21"/>
      <c r="JWW10" s="21"/>
      <c r="JWX10" s="21"/>
      <c r="JWY10" s="21"/>
      <c r="JWZ10" s="21"/>
      <c r="JXA10" s="21"/>
      <c r="JXB10" s="21"/>
      <c r="JXC10" s="21"/>
      <c r="JXD10" s="21"/>
      <c r="JXE10" s="21"/>
      <c r="JXF10" s="21"/>
      <c r="JXG10" s="21"/>
      <c r="JXH10" s="21"/>
      <c r="JXI10" s="21"/>
      <c r="JXJ10" s="21"/>
      <c r="JXK10" s="21"/>
      <c r="JXL10" s="21"/>
      <c r="JXM10" s="21"/>
      <c r="JXN10" s="21"/>
      <c r="JXO10" s="21"/>
      <c r="JXP10" s="21"/>
      <c r="JXQ10" s="21"/>
      <c r="JXR10" s="21"/>
      <c r="JXS10" s="21"/>
      <c r="JXT10" s="21"/>
      <c r="JXU10" s="21"/>
      <c r="JXV10" s="21"/>
      <c r="JXW10" s="21"/>
      <c r="JXX10" s="21"/>
      <c r="JXY10" s="21"/>
      <c r="JXZ10" s="21"/>
      <c r="JYA10" s="21"/>
      <c r="JYB10" s="21"/>
      <c r="JYC10" s="21"/>
      <c r="JYD10" s="21"/>
      <c r="JYE10" s="21"/>
      <c r="JYF10" s="21"/>
      <c r="JYG10" s="21"/>
      <c r="JYH10" s="21"/>
      <c r="JYI10" s="21"/>
      <c r="JYJ10" s="21"/>
      <c r="JYK10" s="21"/>
      <c r="JYL10" s="21"/>
      <c r="JYM10" s="21"/>
      <c r="JYN10" s="21"/>
      <c r="JYO10" s="21"/>
      <c r="JYP10" s="21"/>
      <c r="JYQ10" s="21"/>
      <c r="JYR10" s="21"/>
      <c r="JYS10" s="21"/>
      <c r="JYT10" s="21"/>
      <c r="JYU10" s="21"/>
      <c r="JYV10" s="21"/>
      <c r="JYW10" s="21"/>
      <c r="JYX10" s="21"/>
      <c r="JYY10" s="21"/>
      <c r="JYZ10" s="21"/>
      <c r="JZA10" s="21"/>
      <c r="JZB10" s="21"/>
      <c r="JZC10" s="21"/>
      <c r="JZD10" s="21"/>
      <c r="JZE10" s="21"/>
      <c r="JZF10" s="21"/>
      <c r="JZG10" s="21"/>
      <c r="JZH10" s="21"/>
      <c r="JZI10" s="21"/>
      <c r="JZJ10" s="21"/>
      <c r="JZK10" s="21"/>
      <c r="JZL10" s="21"/>
      <c r="JZM10" s="21"/>
      <c r="JZN10" s="21"/>
      <c r="JZO10" s="21"/>
      <c r="JZP10" s="21"/>
      <c r="JZQ10" s="21"/>
      <c r="JZR10" s="21"/>
      <c r="JZS10" s="21"/>
      <c r="JZT10" s="21"/>
      <c r="JZU10" s="21"/>
      <c r="JZV10" s="21"/>
      <c r="JZW10" s="21"/>
      <c r="JZX10" s="21"/>
      <c r="JZY10" s="21"/>
      <c r="JZZ10" s="21"/>
      <c r="KAA10" s="21"/>
      <c r="KAB10" s="21"/>
      <c r="KAC10" s="21"/>
      <c r="KAD10" s="21"/>
      <c r="KAE10" s="21"/>
      <c r="KAF10" s="21"/>
      <c r="KAG10" s="21"/>
      <c r="KAH10" s="21"/>
      <c r="KAI10" s="21"/>
      <c r="KAJ10" s="21"/>
      <c r="KAK10" s="21"/>
      <c r="KAL10" s="21"/>
      <c r="KAM10" s="21"/>
      <c r="KAN10" s="21"/>
      <c r="KAO10" s="21"/>
      <c r="KAP10" s="21"/>
      <c r="KAQ10" s="21"/>
      <c r="KAR10" s="21"/>
      <c r="KAS10" s="21"/>
      <c r="KAT10" s="21"/>
      <c r="KAU10" s="21"/>
      <c r="KAV10" s="21"/>
      <c r="KAW10" s="21"/>
      <c r="KAX10" s="21"/>
      <c r="KAY10" s="21"/>
      <c r="KAZ10" s="21"/>
      <c r="KBA10" s="21"/>
      <c r="KBB10" s="21"/>
      <c r="KBC10" s="21"/>
      <c r="KBD10" s="21"/>
      <c r="KBE10" s="21"/>
      <c r="KBF10" s="21"/>
      <c r="KBG10" s="21"/>
      <c r="KBH10" s="21"/>
      <c r="KBI10" s="21"/>
      <c r="KBJ10" s="21"/>
      <c r="KBK10" s="21"/>
      <c r="KBL10" s="21"/>
      <c r="KBM10" s="21"/>
      <c r="KBN10" s="21"/>
      <c r="KBO10" s="21"/>
      <c r="KBP10" s="21"/>
      <c r="KBQ10" s="21"/>
      <c r="KBR10" s="21"/>
      <c r="KBS10" s="21"/>
      <c r="KBT10" s="21"/>
      <c r="KBU10" s="21"/>
      <c r="KBV10" s="21"/>
      <c r="KBW10" s="21"/>
      <c r="KBX10" s="21"/>
      <c r="KBY10" s="21"/>
      <c r="KBZ10" s="21"/>
      <c r="KCA10" s="21"/>
      <c r="KCB10" s="21"/>
      <c r="KCC10" s="21"/>
      <c r="KCD10" s="21"/>
      <c r="KCE10" s="21"/>
      <c r="KCF10" s="21"/>
      <c r="KCG10" s="21"/>
      <c r="KCH10" s="21"/>
      <c r="KCI10" s="21"/>
      <c r="KCJ10" s="21"/>
      <c r="KCK10" s="21"/>
      <c r="KCL10" s="21"/>
      <c r="KCM10" s="21"/>
      <c r="KCN10" s="21"/>
      <c r="KCO10" s="21"/>
      <c r="KCP10" s="21"/>
      <c r="KCQ10" s="21"/>
      <c r="KCR10" s="21"/>
      <c r="KCS10" s="21"/>
      <c r="KCT10" s="21"/>
      <c r="KCU10" s="21"/>
      <c r="KCV10" s="21"/>
      <c r="KCW10" s="21"/>
      <c r="KCX10" s="21"/>
      <c r="KCY10" s="21"/>
      <c r="KCZ10" s="21"/>
      <c r="KDA10" s="21"/>
      <c r="KDB10" s="21"/>
      <c r="KDC10" s="21"/>
      <c r="KDD10" s="21"/>
      <c r="KDE10" s="21"/>
      <c r="KDF10" s="21"/>
      <c r="KDG10" s="21"/>
      <c r="KDH10" s="21"/>
      <c r="KDI10" s="21"/>
      <c r="KDJ10" s="21"/>
      <c r="KDK10" s="21"/>
      <c r="KDL10" s="21"/>
      <c r="KDM10" s="21"/>
      <c r="KDN10" s="21"/>
      <c r="KDO10" s="21"/>
      <c r="KDP10" s="21"/>
      <c r="KDQ10" s="21"/>
      <c r="KDR10" s="21"/>
      <c r="KDS10" s="21"/>
      <c r="KDT10" s="21"/>
      <c r="KDU10" s="21"/>
      <c r="KDV10" s="21"/>
      <c r="KDW10" s="21"/>
      <c r="KDX10" s="21"/>
      <c r="KDY10" s="21"/>
      <c r="KDZ10" s="21"/>
      <c r="KEA10" s="21"/>
      <c r="KEB10" s="21"/>
      <c r="KEC10" s="21"/>
      <c r="KED10" s="21"/>
      <c r="KEE10" s="21"/>
      <c r="KEF10" s="21"/>
      <c r="KEG10" s="21"/>
      <c r="KEH10" s="21"/>
      <c r="KEI10" s="21"/>
      <c r="KEJ10" s="21"/>
      <c r="KEK10" s="21"/>
      <c r="KEL10" s="21"/>
      <c r="KEM10" s="21"/>
      <c r="KEN10" s="21"/>
      <c r="KEO10" s="21"/>
      <c r="KEP10" s="21"/>
      <c r="KEQ10" s="21"/>
      <c r="KER10" s="21"/>
      <c r="KES10" s="21"/>
      <c r="KET10" s="21"/>
      <c r="KEU10" s="21"/>
      <c r="KEV10" s="21"/>
      <c r="KEW10" s="21"/>
      <c r="KEX10" s="21"/>
      <c r="KEY10" s="21"/>
      <c r="KEZ10" s="21"/>
      <c r="KFA10" s="21"/>
      <c r="KFB10" s="21"/>
      <c r="KFC10" s="21"/>
      <c r="KFD10" s="21"/>
      <c r="KFE10" s="21"/>
      <c r="KFF10" s="21"/>
      <c r="KFG10" s="21"/>
      <c r="KFH10" s="21"/>
      <c r="KFI10" s="21"/>
      <c r="KFJ10" s="21"/>
      <c r="KFK10" s="21"/>
      <c r="KFL10" s="21"/>
      <c r="KFM10" s="21"/>
      <c r="KFN10" s="21"/>
      <c r="KFO10" s="21"/>
      <c r="KFP10" s="21"/>
      <c r="KFQ10" s="21"/>
      <c r="KFR10" s="21"/>
      <c r="KFS10" s="21"/>
      <c r="KFT10" s="21"/>
      <c r="KFU10" s="21"/>
      <c r="KFV10" s="21"/>
      <c r="KFW10" s="21"/>
      <c r="KFX10" s="21"/>
      <c r="KFY10" s="21"/>
      <c r="KFZ10" s="21"/>
      <c r="KGA10" s="21"/>
      <c r="KGB10" s="21"/>
      <c r="KGC10" s="21"/>
      <c r="KGD10" s="21"/>
      <c r="KGE10" s="21"/>
      <c r="KGF10" s="21"/>
      <c r="KGG10" s="21"/>
      <c r="KGH10" s="21"/>
      <c r="KGI10" s="21"/>
      <c r="KGJ10" s="21"/>
      <c r="KGK10" s="21"/>
      <c r="KGL10" s="21"/>
      <c r="KGM10" s="21"/>
      <c r="KGN10" s="21"/>
      <c r="KGO10" s="21"/>
      <c r="KGP10" s="21"/>
      <c r="KGQ10" s="21"/>
      <c r="KGR10" s="21"/>
      <c r="KGS10" s="21"/>
      <c r="KGT10" s="21"/>
      <c r="KGU10" s="21"/>
      <c r="KGV10" s="21"/>
      <c r="KGW10" s="21"/>
      <c r="KGX10" s="21"/>
      <c r="KGY10" s="21"/>
      <c r="KGZ10" s="21"/>
      <c r="KHA10" s="21"/>
      <c r="KHB10" s="21"/>
      <c r="KHC10" s="21"/>
      <c r="KHD10" s="21"/>
      <c r="KHE10" s="21"/>
      <c r="KHF10" s="21"/>
      <c r="KHG10" s="21"/>
      <c r="KHH10" s="21"/>
      <c r="KHI10" s="21"/>
      <c r="KHJ10" s="21"/>
      <c r="KHK10" s="21"/>
      <c r="KHL10" s="21"/>
      <c r="KHM10" s="21"/>
      <c r="KHN10" s="21"/>
      <c r="KHO10" s="21"/>
      <c r="KHP10" s="21"/>
      <c r="KHQ10" s="21"/>
      <c r="KHR10" s="21"/>
      <c r="KHS10" s="21"/>
      <c r="KHT10" s="21"/>
      <c r="KHU10" s="21"/>
      <c r="KHV10" s="21"/>
      <c r="KHW10" s="21"/>
      <c r="KHX10" s="21"/>
      <c r="KHY10" s="21"/>
      <c r="KHZ10" s="21"/>
      <c r="KIA10" s="21"/>
      <c r="KIB10" s="21"/>
      <c r="KIC10" s="21"/>
      <c r="KID10" s="21"/>
      <c r="KIE10" s="21"/>
      <c r="KIF10" s="21"/>
      <c r="KIG10" s="21"/>
      <c r="KIH10" s="21"/>
      <c r="KII10" s="21"/>
      <c r="KIJ10" s="21"/>
      <c r="KIK10" s="21"/>
      <c r="KIL10" s="21"/>
      <c r="KIM10" s="21"/>
      <c r="KIN10" s="21"/>
      <c r="KIO10" s="21"/>
      <c r="KIP10" s="21"/>
      <c r="KIQ10" s="21"/>
      <c r="KIR10" s="21"/>
      <c r="KIS10" s="21"/>
      <c r="KIT10" s="21"/>
      <c r="KIU10" s="21"/>
      <c r="KIV10" s="21"/>
      <c r="KIW10" s="21"/>
      <c r="KIX10" s="21"/>
      <c r="KIY10" s="21"/>
      <c r="KIZ10" s="21"/>
      <c r="KJA10" s="21"/>
      <c r="KJB10" s="21"/>
      <c r="KJC10" s="21"/>
      <c r="KJD10" s="21"/>
      <c r="KJE10" s="21"/>
      <c r="KJF10" s="21"/>
      <c r="KJG10" s="21"/>
      <c r="KJH10" s="21"/>
      <c r="KJI10" s="21"/>
      <c r="KJJ10" s="21"/>
      <c r="KJK10" s="21"/>
      <c r="KJL10" s="21"/>
      <c r="KJM10" s="21"/>
      <c r="KJN10" s="21"/>
      <c r="KJO10" s="21"/>
      <c r="KJP10" s="21"/>
      <c r="KJQ10" s="21"/>
      <c r="KJR10" s="21"/>
      <c r="KJS10" s="21"/>
      <c r="KJT10" s="21"/>
      <c r="KJU10" s="21"/>
      <c r="KJV10" s="21"/>
      <c r="KJW10" s="21"/>
      <c r="KJX10" s="21"/>
      <c r="KJY10" s="21"/>
      <c r="KJZ10" s="21"/>
      <c r="KKA10" s="21"/>
      <c r="KKB10" s="21"/>
      <c r="KKC10" s="21"/>
      <c r="KKD10" s="21"/>
      <c r="KKE10" s="21"/>
      <c r="KKF10" s="21"/>
      <c r="KKG10" s="21"/>
      <c r="KKH10" s="21"/>
      <c r="KKI10" s="21"/>
      <c r="KKJ10" s="21"/>
      <c r="KKK10" s="21"/>
      <c r="KKL10" s="21"/>
      <c r="KKM10" s="21"/>
      <c r="KKN10" s="21"/>
      <c r="KKO10" s="21"/>
      <c r="KKP10" s="21"/>
      <c r="KKQ10" s="21"/>
      <c r="KKR10" s="21"/>
      <c r="KKS10" s="21"/>
      <c r="KKT10" s="21"/>
      <c r="KKU10" s="21"/>
      <c r="KKV10" s="21"/>
      <c r="KKW10" s="21"/>
      <c r="KKX10" s="21"/>
      <c r="KKY10" s="21"/>
      <c r="KKZ10" s="21"/>
      <c r="KLA10" s="21"/>
      <c r="KLB10" s="21"/>
      <c r="KLC10" s="21"/>
      <c r="KLD10" s="21"/>
      <c r="KLE10" s="21"/>
      <c r="KLF10" s="21"/>
      <c r="KLG10" s="21"/>
      <c r="KLH10" s="21"/>
      <c r="KLI10" s="21"/>
      <c r="KLJ10" s="21"/>
      <c r="KLK10" s="21"/>
      <c r="KLL10" s="21"/>
      <c r="KLM10" s="21"/>
      <c r="KLN10" s="21"/>
      <c r="KLO10" s="21"/>
      <c r="KLP10" s="21"/>
      <c r="KLQ10" s="21"/>
      <c r="KLR10" s="21"/>
      <c r="KLS10" s="21"/>
      <c r="KLT10" s="21"/>
      <c r="KLU10" s="21"/>
      <c r="KLV10" s="21"/>
      <c r="KLW10" s="21"/>
      <c r="KLX10" s="21"/>
      <c r="KLY10" s="21"/>
      <c r="KLZ10" s="21"/>
      <c r="KMA10" s="21"/>
      <c r="KMB10" s="21"/>
      <c r="KMC10" s="21"/>
      <c r="KMD10" s="21"/>
      <c r="KME10" s="21"/>
      <c r="KMF10" s="21"/>
      <c r="KMG10" s="21"/>
      <c r="KMH10" s="21"/>
      <c r="KMI10" s="21"/>
      <c r="KMJ10" s="21"/>
      <c r="KMK10" s="21"/>
      <c r="KML10" s="21"/>
      <c r="KMM10" s="21"/>
      <c r="KMN10" s="21"/>
      <c r="KMO10" s="21"/>
      <c r="KMP10" s="21"/>
      <c r="KMQ10" s="21"/>
      <c r="KMR10" s="21"/>
      <c r="KMS10" s="21"/>
      <c r="KMT10" s="21"/>
      <c r="KMU10" s="21"/>
      <c r="KMV10" s="21"/>
      <c r="KMW10" s="21"/>
      <c r="KMX10" s="21"/>
      <c r="KMY10" s="21"/>
      <c r="KMZ10" s="21"/>
      <c r="KNA10" s="21"/>
      <c r="KNB10" s="21"/>
      <c r="KNC10" s="21"/>
      <c r="KND10" s="21"/>
      <c r="KNE10" s="21"/>
      <c r="KNF10" s="21"/>
      <c r="KNG10" s="21"/>
      <c r="KNH10" s="21"/>
      <c r="KNI10" s="21"/>
      <c r="KNJ10" s="21"/>
      <c r="KNK10" s="21"/>
      <c r="KNL10" s="21"/>
      <c r="KNM10" s="21"/>
      <c r="KNN10" s="21"/>
      <c r="KNO10" s="21"/>
      <c r="KNP10" s="21"/>
      <c r="KNQ10" s="21"/>
      <c r="KNR10" s="21"/>
      <c r="KNS10" s="21"/>
      <c r="KNT10" s="21"/>
      <c r="KNU10" s="21"/>
      <c r="KNV10" s="21"/>
      <c r="KNW10" s="21"/>
      <c r="KNX10" s="21"/>
      <c r="KNY10" s="21"/>
      <c r="KNZ10" s="21"/>
      <c r="KOA10" s="21"/>
      <c r="KOB10" s="21"/>
      <c r="KOC10" s="21"/>
      <c r="KOD10" s="21"/>
      <c r="KOE10" s="21"/>
      <c r="KOF10" s="21"/>
      <c r="KOG10" s="21"/>
      <c r="KOH10" s="21"/>
      <c r="KOI10" s="21"/>
      <c r="KOJ10" s="21"/>
      <c r="KOK10" s="21"/>
      <c r="KOL10" s="21"/>
      <c r="KOM10" s="21"/>
      <c r="KON10" s="21"/>
      <c r="KOO10" s="21"/>
      <c r="KOP10" s="21"/>
      <c r="KOQ10" s="21"/>
      <c r="KOR10" s="21"/>
      <c r="KOS10" s="21"/>
      <c r="KOT10" s="21"/>
      <c r="KOU10" s="21"/>
      <c r="KOV10" s="21"/>
      <c r="KOW10" s="21"/>
      <c r="KOX10" s="21"/>
      <c r="KOY10" s="21"/>
      <c r="KOZ10" s="21"/>
      <c r="KPA10" s="21"/>
      <c r="KPB10" s="21"/>
      <c r="KPC10" s="21"/>
      <c r="KPD10" s="21"/>
      <c r="KPE10" s="21"/>
      <c r="KPF10" s="21"/>
      <c r="KPG10" s="21"/>
      <c r="KPH10" s="21"/>
      <c r="KPI10" s="21"/>
      <c r="KPJ10" s="21"/>
      <c r="KPK10" s="21"/>
      <c r="KPL10" s="21"/>
      <c r="KPM10" s="21"/>
      <c r="KPN10" s="21"/>
      <c r="KPO10" s="21"/>
      <c r="KPP10" s="21"/>
      <c r="KPQ10" s="21"/>
      <c r="KPR10" s="21"/>
      <c r="KPS10" s="21"/>
      <c r="KPT10" s="21"/>
      <c r="KPU10" s="21"/>
      <c r="KPV10" s="21"/>
      <c r="KPW10" s="21"/>
      <c r="KPX10" s="21"/>
      <c r="KPY10" s="21"/>
      <c r="KPZ10" s="21"/>
      <c r="KQA10" s="21"/>
      <c r="KQB10" s="21"/>
      <c r="KQC10" s="21"/>
      <c r="KQD10" s="21"/>
      <c r="KQE10" s="21"/>
      <c r="KQF10" s="21"/>
      <c r="KQG10" s="21"/>
      <c r="KQH10" s="21"/>
      <c r="KQI10" s="21"/>
      <c r="KQJ10" s="21"/>
      <c r="KQK10" s="21"/>
      <c r="KQL10" s="21"/>
      <c r="KQM10" s="21"/>
      <c r="KQN10" s="21"/>
      <c r="KQO10" s="21"/>
      <c r="KQP10" s="21"/>
      <c r="KQQ10" s="21"/>
      <c r="KQR10" s="21"/>
      <c r="KQS10" s="21"/>
      <c r="KQT10" s="21"/>
      <c r="KQU10" s="21"/>
      <c r="KQV10" s="21"/>
      <c r="KQW10" s="21"/>
      <c r="KQX10" s="21"/>
      <c r="KQY10" s="21"/>
      <c r="KQZ10" s="21"/>
      <c r="KRA10" s="21"/>
      <c r="KRB10" s="21"/>
      <c r="KRC10" s="21"/>
      <c r="KRD10" s="21"/>
      <c r="KRE10" s="21"/>
      <c r="KRF10" s="21"/>
      <c r="KRG10" s="21"/>
      <c r="KRH10" s="21"/>
      <c r="KRI10" s="21"/>
      <c r="KRJ10" s="21"/>
      <c r="KRK10" s="21"/>
      <c r="KRL10" s="21"/>
      <c r="KRM10" s="21"/>
      <c r="KRN10" s="21"/>
      <c r="KRO10" s="21"/>
      <c r="KRP10" s="21"/>
      <c r="KRQ10" s="21"/>
      <c r="KRR10" s="21"/>
      <c r="KRS10" s="21"/>
      <c r="KRT10" s="21"/>
      <c r="KRU10" s="21"/>
      <c r="KRV10" s="21"/>
      <c r="KRW10" s="21"/>
      <c r="KRX10" s="21"/>
      <c r="KRY10" s="21"/>
      <c r="KRZ10" s="21"/>
      <c r="KSA10" s="21"/>
      <c r="KSB10" s="21"/>
      <c r="KSC10" s="21"/>
      <c r="KSD10" s="21"/>
      <c r="KSE10" s="21"/>
      <c r="KSF10" s="21"/>
      <c r="KSG10" s="21"/>
      <c r="KSH10" s="21"/>
      <c r="KSI10" s="21"/>
      <c r="KSJ10" s="21"/>
      <c r="KSK10" s="21"/>
      <c r="KSL10" s="21"/>
      <c r="KSM10" s="21"/>
      <c r="KSN10" s="21"/>
      <c r="KSO10" s="21"/>
      <c r="KSP10" s="21"/>
      <c r="KSQ10" s="21"/>
      <c r="KSR10" s="21"/>
      <c r="KSS10" s="21"/>
      <c r="KST10" s="21"/>
      <c r="KSU10" s="21"/>
      <c r="KSV10" s="21"/>
      <c r="KSW10" s="21"/>
      <c r="KSX10" s="21"/>
      <c r="KSY10" s="21"/>
      <c r="KSZ10" s="21"/>
      <c r="KTA10" s="21"/>
      <c r="KTB10" s="21"/>
      <c r="KTC10" s="21"/>
      <c r="KTD10" s="21"/>
      <c r="KTE10" s="21"/>
      <c r="KTF10" s="21"/>
      <c r="KTG10" s="21"/>
      <c r="KTH10" s="21"/>
      <c r="KTI10" s="21"/>
      <c r="KTJ10" s="21"/>
      <c r="KTK10" s="21"/>
      <c r="KTL10" s="21"/>
      <c r="KTM10" s="21"/>
      <c r="KTN10" s="21"/>
      <c r="KTO10" s="21"/>
      <c r="KTP10" s="21"/>
      <c r="KTQ10" s="21"/>
      <c r="KTR10" s="21"/>
      <c r="KTS10" s="21"/>
      <c r="KTT10" s="21"/>
      <c r="KTU10" s="21"/>
      <c r="KTV10" s="21"/>
      <c r="KTW10" s="21"/>
      <c r="KTX10" s="21"/>
      <c r="KTY10" s="21"/>
      <c r="KTZ10" s="21"/>
      <c r="KUA10" s="21"/>
      <c r="KUB10" s="21"/>
      <c r="KUC10" s="21"/>
      <c r="KUD10" s="21"/>
      <c r="KUE10" s="21"/>
      <c r="KUF10" s="21"/>
      <c r="KUG10" s="21"/>
      <c r="KUH10" s="21"/>
      <c r="KUI10" s="21"/>
      <c r="KUJ10" s="21"/>
      <c r="KUK10" s="21"/>
      <c r="KUL10" s="21"/>
      <c r="KUM10" s="21"/>
      <c r="KUN10" s="21"/>
      <c r="KUO10" s="21"/>
      <c r="KUP10" s="21"/>
      <c r="KUQ10" s="21"/>
      <c r="KUR10" s="21"/>
      <c r="KUS10" s="21"/>
      <c r="KUT10" s="21"/>
      <c r="KUU10" s="21"/>
      <c r="KUV10" s="21"/>
      <c r="KUW10" s="21"/>
      <c r="KUX10" s="21"/>
      <c r="KUY10" s="21"/>
      <c r="KUZ10" s="21"/>
      <c r="KVA10" s="21"/>
      <c r="KVB10" s="21"/>
      <c r="KVC10" s="21"/>
      <c r="KVD10" s="21"/>
      <c r="KVE10" s="21"/>
      <c r="KVF10" s="21"/>
      <c r="KVG10" s="21"/>
      <c r="KVH10" s="21"/>
      <c r="KVI10" s="21"/>
      <c r="KVJ10" s="21"/>
      <c r="KVK10" s="21"/>
      <c r="KVL10" s="21"/>
      <c r="KVM10" s="21"/>
      <c r="KVN10" s="21"/>
      <c r="KVO10" s="21"/>
      <c r="KVP10" s="21"/>
      <c r="KVQ10" s="21"/>
      <c r="KVR10" s="21"/>
      <c r="KVS10" s="21"/>
      <c r="KVT10" s="21"/>
      <c r="KVU10" s="21"/>
      <c r="KVV10" s="21"/>
      <c r="KVW10" s="21"/>
      <c r="KVX10" s="21"/>
      <c r="KVY10" s="21"/>
      <c r="KVZ10" s="21"/>
      <c r="KWA10" s="21"/>
      <c r="KWB10" s="21"/>
      <c r="KWC10" s="21"/>
      <c r="KWD10" s="21"/>
      <c r="KWE10" s="21"/>
      <c r="KWF10" s="21"/>
      <c r="KWG10" s="21"/>
      <c r="KWH10" s="21"/>
      <c r="KWI10" s="21"/>
      <c r="KWJ10" s="21"/>
      <c r="KWK10" s="21"/>
      <c r="KWL10" s="21"/>
      <c r="KWM10" s="21"/>
      <c r="KWN10" s="21"/>
      <c r="KWO10" s="21"/>
      <c r="KWP10" s="21"/>
      <c r="KWQ10" s="21"/>
      <c r="KWR10" s="21"/>
      <c r="KWS10" s="21"/>
      <c r="KWT10" s="21"/>
      <c r="KWU10" s="21"/>
      <c r="KWV10" s="21"/>
      <c r="KWW10" s="21"/>
      <c r="KWX10" s="21"/>
      <c r="KWY10" s="21"/>
      <c r="KWZ10" s="21"/>
      <c r="KXA10" s="21"/>
      <c r="KXB10" s="21"/>
      <c r="KXC10" s="21"/>
      <c r="KXD10" s="21"/>
      <c r="KXE10" s="21"/>
      <c r="KXF10" s="21"/>
      <c r="KXG10" s="21"/>
      <c r="KXH10" s="21"/>
      <c r="KXI10" s="21"/>
      <c r="KXJ10" s="21"/>
      <c r="KXK10" s="21"/>
      <c r="KXL10" s="21"/>
      <c r="KXM10" s="21"/>
      <c r="KXN10" s="21"/>
      <c r="KXO10" s="21"/>
      <c r="KXP10" s="21"/>
      <c r="KXQ10" s="21"/>
      <c r="KXR10" s="21"/>
      <c r="KXS10" s="21"/>
      <c r="KXT10" s="21"/>
      <c r="KXU10" s="21"/>
      <c r="KXV10" s="21"/>
      <c r="KXW10" s="21"/>
      <c r="KXX10" s="21"/>
      <c r="KXY10" s="21"/>
      <c r="KXZ10" s="21"/>
      <c r="KYA10" s="21"/>
      <c r="KYB10" s="21"/>
      <c r="KYC10" s="21"/>
      <c r="KYD10" s="21"/>
      <c r="KYE10" s="21"/>
      <c r="KYF10" s="21"/>
      <c r="KYG10" s="21"/>
      <c r="KYH10" s="21"/>
      <c r="KYI10" s="21"/>
      <c r="KYJ10" s="21"/>
      <c r="KYK10" s="21"/>
      <c r="KYL10" s="21"/>
      <c r="KYM10" s="21"/>
      <c r="KYN10" s="21"/>
      <c r="KYO10" s="21"/>
      <c r="KYP10" s="21"/>
      <c r="KYQ10" s="21"/>
      <c r="KYR10" s="21"/>
      <c r="KYS10" s="21"/>
      <c r="KYT10" s="21"/>
      <c r="KYU10" s="21"/>
      <c r="KYV10" s="21"/>
      <c r="KYW10" s="21"/>
      <c r="KYX10" s="21"/>
      <c r="KYY10" s="21"/>
      <c r="KYZ10" s="21"/>
      <c r="KZA10" s="21"/>
      <c r="KZB10" s="21"/>
      <c r="KZC10" s="21"/>
      <c r="KZD10" s="21"/>
      <c r="KZE10" s="21"/>
      <c r="KZF10" s="21"/>
      <c r="KZG10" s="21"/>
      <c r="KZH10" s="21"/>
      <c r="KZI10" s="21"/>
      <c r="KZJ10" s="21"/>
      <c r="KZK10" s="21"/>
      <c r="KZL10" s="21"/>
      <c r="KZM10" s="21"/>
      <c r="KZN10" s="21"/>
      <c r="KZO10" s="21"/>
      <c r="KZP10" s="21"/>
      <c r="KZQ10" s="21"/>
      <c r="KZR10" s="21"/>
      <c r="KZS10" s="21"/>
      <c r="KZT10" s="21"/>
      <c r="KZU10" s="21"/>
      <c r="KZV10" s="21"/>
      <c r="KZW10" s="21"/>
      <c r="KZX10" s="21"/>
      <c r="KZY10" s="21"/>
      <c r="KZZ10" s="21"/>
      <c r="LAA10" s="21"/>
      <c r="LAB10" s="21"/>
      <c r="LAC10" s="21"/>
      <c r="LAD10" s="21"/>
      <c r="LAE10" s="21"/>
      <c r="LAF10" s="21"/>
      <c r="LAG10" s="21"/>
      <c r="LAH10" s="21"/>
      <c r="LAI10" s="21"/>
      <c r="LAJ10" s="21"/>
      <c r="LAK10" s="21"/>
      <c r="LAL10" s="21"/>
      <c r="LAM10" s="21"/>
      <c r="LAN10" s="21"/>
      <c r="LAO10" s="21"/>
      <c r="LAP10" s="21"/>
      <c r="LAQ10" s="21"/>
      <c r="LAR10" s="21"/>
      <c r="LAS10" s="21"/>
      <c r="LAT10" s="21"/>
      <c r="LAU10" s="21"/>
      <c r="LAV10" s="21"/>
      <c r="LAW10" s="21"/>
      <c r="LAX10" s="21"/>
      <c r="LAY10" s="21"/>
      <c r="LAZ10" s="21"/>
      <c r="LBA10" s="21"/>
      <c r="LBB10" s="21"/>
      <c r="LBC10" s="21"/>
      <c r="LBD10" s="21"/>
      <c r="LBE10" s="21"/>
      <c r="LBF10" s="21"/>
      <c r="LBG10" s="21"/>
      <c r="LBH10" s="21"/>
      <c r="LBI10" s="21"/>
      <c r="LBJ10" s="21"/>
      <c r="LBK10" s="21"/>
      <c r="LBL10" s="21"/>
      <c r="LBM10" s="21"/>
      <c r="LBN10" s="21"/>
      <c r="LBO10" s="21"/>
      <c r="LBP10" s="21"/>
      <c r="LBQ10" s="21"/>
      <c r="LBR10" s="21"/>
      <c r="LBS10" s="21"/>
      <c r="LBT10" s="21"/>
      <c r="LBU10" s="21"/>
      <c r="LBV10" s="21"/>
      <c r="LBW10" s="21"/>
      <c r="LBX10" s="21"/>
      <c r="LBY10" s="21"/>
      <c r="LBZ10" s="21"/>
      <c r="LCA10" s="21"/>
      <c r="LCB10" s="21"/>
      <c r="LCC10" s="21"/>
      <c r="LCD10" s="21"/>
      <c r="LCE10" s="21"/>
      <c r="LCF10" s="21"/>
      <c r="LCG10" s="21"/>
      <c r="LCH10" s="21"/>
      <c r="LCI10" s="21"/>
      <c r="LCJ10" s="21"/>
      <c r="LCK10" s="21"/>
      <c r="LCL10" s="21"/>
      <c r="LCM10" s="21"/>
      <c r="LCN10" s="21"/>
      <c r="LCO10" s="21"/>
      <c r="LCP10" s="21"/>
      <c r="LCQ10" s="21"/>
      <c r="LCR10" s="21"/>
      <c r="LCS10" s="21"/>
      <c r="LCT10" s="21"/>
      <c r="LCU10" s="21"/>
      <c r="LCV10" s="21"/>
      <c r="LCW10" s="21"/>
      <c r="LCX10" s="21"/>
      <c r="LCY10" s="21"/>
      <c r="LCZ10" s="21"/>
      <c r="LDA10" s="21"/>
      <c r="LDB10" s="21"/>
      <c r="LDC10" s="21"/>
      <c r="LDD10" s="21"/>
      <c r="LDE10" s="21"/>
      <c r="LDF10" s="21"/>
      <c r="LDG10" s="21"/>
      <c r="LDH10" s="21"/>
      <c r="LDI10" s="21"/>
      <c r="LDJ10" s="21"/>
      <c r="LDK10" s="21"/>
      <c r="LDL10" s="21"/>
      <c r="LDM10" s="21"/>
      <c r="LDN10" s="21"/>
      <c r="LDO10" s="21"/>
      <c r="LDP10" s="21"/>
      <c r="LDQ10" s="21"/>
      <c r="LDR10" s="21"/>
      <c r="LDS10" s="21"/>
      <c r="LDT10" s="21"/>
      <c r="LDU10" s="21"/>
      <c r="LDV10" s="21"/>
      <c r="LDW10" s="21"/>
      <c r="LDX10" s="21"/>
      <c r="LDY10" s="21"/>
      <c r="LDZ10" s="21"/>
      <c r="LEA10" s="21"/>
      <c r="LEB10" s="21"/>
      <c r="LEC10" s="21"/>
      <c r="LED10" s="21"/>
      <c r="LEE10" s="21"/>
      <c r="LEF10" s="21"/>
      <c r="LEG10" s="21"/>
      <c r="LEH10" s="21"/>
      <c r="LEI10" s="21"/>
      <c r="LEJ10" s="21"/>
      <c r="LEK10" s="21"/>
      <c r="LEL10" s="21"/>
      <c r="LEM10" s="21"/>
      <c r="LEN10" s="21"/>
      <c r="LEO10" s="21"/>
      <c r="LEP10" s="21"/>
      <c r="LEQ10" s="21"/>
      <c r="LER10" s="21"/>
      <c r="LES10" s="21"/>
      <c r="LET10" s="21"/>
      <c r="LEU10" s="21"/>
      <c r="LEV10" s="21"/>
      <c r="LEW10" s="21"/>
      <c r="LEX10" s="21"/>
      <c r="LEY10" s="21"/>
      <c r="LEZ10" s="21"/>
      <c r="LFA10" s="21"/>
      <c r="LFB10" s="21"/>
      <c r="LFC10" s="21"/>
      <c r="LFD10" s="21"/>
      <c r="LFE10" s="21"/>
      <c r="LFF10" s="21"/>
      <c r="LFG10" s="21"/>
      <c r="LFH10" s="21"/>
      <c r="LFI10" s="21"/>
      <c r="LFJ10" s="21"/>
      <c r="LFK10" s="21"/>
      <c r="LFL10" s="21"/>
      <c r="LFM10" s="21"/>
      <c r="LFN10" s="21"/>
      <c r="LFO10" s="21"/>
      <c r="LFP10" s="21"/>
      <c r="LFQ10" s="21"/>
      <c r="LFR10" s="21"/>
      <c r="LFS10" s="21"/>
      <c r="LFT10" s="21"/>
      <c r="LFU10" s="21"/>
      <c r="LFV10" s="21"/>
      <c r="LFW10" s="21"/>
      <c r="LFX10" s="21"/>
      <c r="LFY10" s="21"/>
      <c r="LFZ10" s="21"/>
      <c r="LGA10" s="21"/>
      <c r="LGB10" s="21"/>
      <c r="LGC10" s="21"/>
      <c r="LGD10" s="21"/>
      <c r="LGE10" s="21"/>
      <c r="LGF10" s="21"/>
      <c r="LGG10" s="21"/>
      <c r="LGH10" s="21"/>
      <c r="LGI10" s="21"/>
      <c r="LGJ10" s="21"/>
      <c r="LGK10" s="21"/>
      <c r="LGL10" s="21"/>
      <c r="LGM10" s="21"/>
      <c r="LGN10" s="21"/>
      <c r="LGO10" s="21"/>
      <c r="LGP10" s="21"/>
      <c r="LGQ10" s="21"/>
      <c r="LGR10" s="21"/>
      <c r="LGS10" s="21"/>
      <c r="LGT10" s="21"/>
      <c r="LGU10" s="21"/>
      <c r="LGV10" s="21"/>
      <c r="LGW10" s="21"/>
      <c r="LGX10" s="21"/>
      <c r="LGY10" s="21"/>
      <c r="LGZ10" s="21"/>
      <c r="LHA10" s="21"/>
      <c r="LHB10" s="21"/>
      <c r="LHC10" s="21"/>
      <c r="LHD10" s="21"/>
      <c r="LHE10" s="21"/>
      <c r="LHF10" s="21"/>
      <c r="LHG10" s="21"/>
      <c r="LHH10" s="21"/>
      <c r="LHI10" s="21"/>
      <c r="LHJ10" s="21"/>
      <c r="LHK10" s="21"/>
      <c r="LHL10" s="21"/>
      <c r="LHM10" s="21"/>
      <c r="LHN10" s="21"/>
      <c r="LHO10" s="21"/>
      <c r="LHP10" s="21"/>
      <c r="LHQ10" s="21"/>
      <c r="LHR10" s="21"/>
      <c r="LHS10" s="21"/>
      <c r="LHT10" s="21"/>
      <c r="LHU10" s="21"/>
      <c r="LHV10" s="21"/>
      <c r="LHW10" s="21"/>
      <c r="LHX10" s="21"/>
      <c r="LHY10" s="21"/>
      <c r="LHZ10" s="21"/>
      <c r="LIA10" s="21"/>
      <c r="LIB10" s="21"/>
      <c r="LIC10" s="21"/>
      <c r="LID10" s="21"/>
      <c r="LIE10" s="21"/>
      <c r="LIF10" s="21"/>
      <c r="LIG10" s="21"/>
      <c r="LIH10" s="21"/>
      <c r="LII10" s="21"/>
      <c r="LIJ10" s="21"/>
      <c r="LIK10" s="21"/>
      <c r="LIL10" s="21"/>
      <c r="LIM10" s="21"/>
      <c r="LIN10" s="21"/>
      <c r="LIO10" s="21"/>
      <c r="LIP10" s="21"/>
      <c r="LIQ10" s="21"/>
      <c r="LIR10" s="21"/>
      <c r="LIS10" s="21"/>
      <c r="LIT10" s="21"/>
      <c r="LIU10" s="21"/>
      <c r="LIV10" s="21"/>
      <c r="LIW10" s="21"/>
      <c r="LIX10" s="21"/>
      <c r="LIY10" s="21"/>
      <c r="LIZ10" s="21"/>
      <c r="LJA10" s="21"/>
      <c r="LJB10" s="21"/>
      <c r="LJC10" s="21"/>
      <c r="LJD10" s="21"/>
      <c r="LJE10" s="21"/>
      <c r="LJF10" s="21"/>
      <c r="LJG10" s="21"/>
      <c r="LJH10" s="21"/>
      <c r="LJI10" s="21"/>
      <c r="LJJ10" s="21"/>
      <c r="LJK10" s="21"/>
      <c r="LJL10" s="21"/>
      <c r="LJM10" s="21"/>
      <c r="LJN10" s="21"/>
      <c r="LJO10" s="21"/>
      <c r="LJP10" s="21"/>
      <c r="LJQ10" s="21"/>
      <c r="LJR10" s="21"/>
      <c r="LJS10" s="21"/>
      <c r="LJT10" s="21"/>
      <c r="LJU10" s="21"/>
      <c r="LJV10" s="21"/>
      <c r="LJW10" s="21"/>
      <c r="LJX10" s="21"/>
      <c r="LJY10" s="21"/>
      <c r="LJZ10" s="21"/>
      <c r="LKA10" s="21"/>
      <c r="LKB10" s="21"/>
      <c r="LKC10" s="21"/>
      <c r="LKD10" s="21"/>
      <c r="LKE10" s="21"/>
      <c r="LKF10" s="21"/>
      <c r="LKG10" s="21"/>
      <c r="LKH10" s="21"/>
      <c r="LKI10" s="21"/>
      <c r="LKJ10" s="21"/>
      <c r="LKK10" s="21"/>
      <c r="LKL10" s="21"/>
      <c r="LKM10" s="21"/>
      <c r="LKN10" s="21"/>
      <c r="LKO10" s="21"/>
      <c r="LKP10" s="21"/>
      <c r="LKQ10" s="21"/>
      <c r="LKR10" s="21"/>
      <c r="LKS10" s="21"/>
      <c r="LKT10" s="21"/>
      <c r="LKU10" s="21"/>
      <c r="LKV10" s="21"/>
      <c r="LKW10" s="21"/>
      <c r="LKX10" s="21"/>
      <c r="LKY10" s="21"/>
      <c r="LKZ10" s="21"/>
      <c r="LLA10" s="21"/>
      <c r="LLB10" s="21"/>
      <c r="LLC10" s="21"/>
      <c r="LLD10" s="21"/>
      <c r="LLE10" s="21"/>
      <c r="LLF10" s="21"/>
      <c r="LLG10" s="21"/>
      <c r="LLH10" s="21"/>
      <c r="LLI10" s="21"/>
      <c r="LLJ10" s="21"/>
      <c r="LLK10" s="21"/>
      <c r="LLL10" s="21"/>
      <c r="LLM10" s="21"/>
      <c r="LLN10" s="21"/>
      <c r="LLO10" s="21"/>
      <c r="LLP10" s="21"/>
      <c r="LLQ10" s="21"/>
      <c r="LLR10" s="21"/>
      <c r="LLS10" s="21"/>
      <c r="LLT10" s="21"/>
      <c r="LLU10" s="21"/>
      <c r="LLV10" s="21"/>
      <c r="LLW10" s="21"/>
      <c r="LLX10" s="21"/>
      <c r="LLY10" s="21"/>
      <c r="LLZ10" s="21"/>
      <c r="LMA10" s="21"/>
      <c r="LMB10" s="21"/>
      <c r="LMC10" s="21"/>
      <c r="LMD10" s="21"/>
      <c r="LME10" s="21"/>
      <c r="LMF10" s="21"/>
      <c r="LMG10" s="21"/>
      <c r="LMH10" s="21"/>
      <c r="LMI10" s="21"/>
      <c r="LMJ10" s="21"/>
      <c r="LMK10" s="21"/>
      <c r="LML10" s="21"/>
      <c r="LMM10" s="21"/>
      <c r="LMN10" s="21"/>
      <c r="LMO10" s="21"/>
      <c r="LMP10" s="21"/>
      <c r="LMQ10" s="21"/>
      <c r="LMR10" s="21"/>
      <c r="LMS10" s="21"/>
      <c r="LMT10" s="21"/>
      <c r="LMU10" s="21"/>
      <c r="LMV10" s="21"/>
      <c r="LMW10" s="21"/>
      <c r="LMX10" s="21"/>
      <c r="LMY10" s="21"/>
      <c r="LMZ10" s="21"/>
      <c r="LNA10" s="21"/>
      <c r="LNB10" s="21"/>
      <c r="LNC10" s="21"/>
      <c r="LND10" s="21"/>
      <c r="LNE10" s="21"/>
      <c r="LNF10" s="21"/>
      <c r="LNG10" s="21"/>
      <c r="LNH10" s="21"/>
      <c r="LNI10" s="21"/>
      <c r="LNJ10" s="21"/>
      <c r="LNK10" s="21"/>
      <c r="LNL10" s="21"/>
      <c r="LNM10" s="21"/>
      <c r="LNN10" s="21"/>
      <c r="LNO10" s="21"/>
      <c r="LNP10" s="21"/>
      <c r="LNQ10" s="21"/>
      <c r="LNR10" s="21"/>
      <c r="LNS10" s="21"/>
      <c r="LNT10" s="21"/>
      <c r="LNU10" s="21"/>
      <c r="LNV10" s="21"/>
      <c r="LNW10" s="21"/>
      <c r="LNX10" s="21"/>
      <c r="LNY10" s="21"/>
      <c r="LNZ10" s="21"/>
      <c r="LOA10" s="21"/>
      <c r="LOB10" s="21"/>
      <c r="LOC10" s="21"/>
      <c r="LOD10" s="21"/>
      <c r="LOE10" s="21"/>
      <c r="LOF10" s="21"/>
      <c r="LOG10" s="21"/>
      <c r="LOH10" s="21"/>
      <c r="LOI10" s="21"/>
      <c r="LOJ10" s="21"/>
      <c r="LOK10" s="21"/>
      <c r="LOL10" s="21"/>
      <c r="LOM10" s="21"/>
      <c r="LON10" s="21"/>
      <c r="LOO10" s="21"/>
      <c r="LOP10" s="21"/>
      <c r="LOQ10" s="21"/>
      <c r="LOR10" s="21"/>
      <c r="LOS10" s="21"/>
      <c r="LOT10" s="21"/>
      <c r="LOU10" s="21"/>
      <c r="LOV10" s="21"/>
      <c r="LOW10" s="21"/>
      <c r="LOX10" s="21"/>
      <c r="LOY10" s="21"/>
      <c r="LOZ10" s="21"/>
      <c r="LPA10" s="21"/>
      <c r="LPB10" s="21"/>
      <c r="LPC10" s="21"/>
      <c r="LPD10" s="21"/>
      <c r="LPE10" s="21"/>
      <c r="LPF10" s="21"/>
      <c r="LPG10" s="21"/>
      <c r="LPH10" s="21"/>
      <c r="LPI10" s="21"/>
      <c r="LPJ10" s="21"/>
      <c r="LPK10" s="21"/>
      <c r="LPL10" s="21"/>
      <c r="LPM10" s="21"/>
      <c r="LPN10" s="21"/>
      <c r="LPO10" s="21"/>
      <c r="LPP10" s="21"/>
      <c r="LPQ10" s="21"/>
      <c r="LPR10" s="21"/>
      <c r="LPS10" s="21"/>
      <c r="LPT10" s="21"/>
      <c r="LPU10" s="21"/>
      <c r="LPV10" s="21"/>
      <c r="LPW10" s="21"/>
      <c r="LPX10" s="21"/>
      <c r="LPY10" s="21"/>
      <c r="LPZ10" s="21"/>
      <c r="LQA10" s="21"/>
      <c r="LQB10" s="21"/>
      <c r="LQC10" s="21"/>
      <c r="LQD10" s="21"/>
      <c r="LQE10" s="21"/>
      <c r="LQF10" s="21"/>
      <c r="LQG10" s="21"/>
      <c r="LQH10" s="21"/>
      <c r="LQI10" s="21"/>
      <c r="LQJ10" s="21"/>
      <c r="LQK10" s="21"/>
      <c r="LQL10" s="21"/>
      <c r="LQM10" s="21"/>
      <c r="LQN10" s="21"/>
      <c r="LQO10" s="21"/>
      <c r="LQP10" s="21"/>
      <c r="LQQ10" s="21"/>
      <c r="LQR10" s="21"/>
      <c r="LQS10" s="21"/>
      <c r="LQT10" s="21"/>
      <c r="LQU10" s="21"/>
      <c r="LQV10" s="21"/>
      <c r="LQW10" s="21"/>
      <c r="LQX10" s="21"/>
      <c r="LQY10" s="21"/>
      <c r="LQZ10" s="21"/>
      <c r="LRA10" s="21"/>
      <c r="LRB10" s="21"/>
      <c r="LRC10" s="21"/>
      <c r="LRD10" s="21"/>
      <c r="LRE10" s="21"/>
      <c r="LRF10" s="21"/>
      <c r="LRG10" s="21"/>
      <c r="LRH10" s="21"/>
      <c r="LRI10" s="21"/>
      <c r="LRJ10" s="21"/>
      <c r="LRK10" s="21"/>
      <c r="LRL10" s="21"/>
      <c r="LRM10" s="21"/>
      <c r="LRN10" s="21"/>
      <c r="LRO10" s="21"/>
      <c r="LRP10" s="21"/>
      <c r="LRQ10" s="21"/>
      <c r="LRR10" s="21"/>
      <c r="LRS10" s="21"/>
      <c r="LRT10" s="21"/>
      <c r="LRU10" s="21"/>
      <c r="LRV10" s="21"/>
      <c r="LRW10" s="21"/>
      <c r="LRX10" s="21"/>
      <c r="LRY10" s="21"/>
      <c r="LRZ10" s="21"/>
      <c r="LSA10" s="21"/>
      <c r="LSB10" s="21"/>
      <c r="LSC10" s="21"/>
      <c r="LSD10" s="21"/>
      <c r="LSE10" s="21"/>
      <c r="LSF10" s="21"/>
      <c r="LSG10" s="21"/>
      <c r="LSH10" s="21"/>
      <c r="LSI10" s="21"/>
      <c r="LSJ10" s="21"/>
      <c r="LSK10" s="21"/>
      <c r="LSL10" s="21"/>
      <c r="LSM10" s="21"/>
      <c r="LSN10" s="21"/>
      <c r="LSO10" s="21"/>
      <c r="LSP10" s="21"/>
      <c r="LSQ10" s="21"/>
      <c r="LSR10" s="21"/>
      <c r="LSS10" s="21"/>
      <c r="LST10" s="21"/>
      <c r="LSU10" s="21"/>
      <c r="LSV10" s="21"/>
      <c r="LSW10" s="21"/>
      <c r="LSX10" s="21"/>
      <c r="LSY10" s="21"/>
      <c r="LSZ10" s="21"/>
      <c r="LTA10" s="21"/>
      <c r="LTB10" s="21"/>
      <c r="LTC10" s="21"/>
      <c r="LTD10" s="21"/>
      <c r="LTE10" s="21"/>
      <c r="LTF10" s="21"/>
      <c r="LTG10" s="21"/>
      <c r="LTH10" s="21"/>
      <c r="LTI10" s="21"/>
      <c r="LTJ10" s="21"/>
      <c r="LTK10" s="21"/>
      <c r="LTL10" s="21"/>
      <c r="LTM10" s="21"/>
      <c r="LTN10" s="21"/>
      <c r="LTO10" s="21"/>
      <c r="LTP10" s="21"/>
      <c r="LTQ10" s="21"/>
      <c r="LTR10" s="21"/>
      <c r="LTS10" s="21"/>
      <c r="LTT10" s="21"/>
      <c r="LTU10" s="21"/>
      <c r="LTV10" s="21"/>
      <c r="LTW10" s="21"/>
      <c r="LTX10" s="21"/>
      <c r="LTY10" s="21"/>
      <c r="LTZ10" s="21"/>
      <c r="LUA10" s="21"/>
      <c r="LUB10" s="21"/>
      <c r="LUC10" s="21"/>
      <c r="LUD10" s="21"/>
      <c r="LUE10" s="21"/>
      <c r="LUF10" s="21"/>
      <c r="LUG10" s="21"/>
      <c r="LUH10" s="21"/>
      <c r="LUI10" s="21"/>
      <c r="LUJ10" s="21"/>
      <c r="LUK10" s="21"/>
      <c r="LUL10" s="21"/>
      <c r="LUM10" s="21"/>
      <c r="LUN10" s="21"/>
      <c r="LUO10" s="21"/>
      <c r="LUP10" s="21"/>
      <c r="LUQ10" s="21"/>
      <c r="LUR10" s="21"/>
      <c r="LUS10" s="21"/>
      <c r="LUT10" s="21"/>
      <c r="LUU10" s="21"/>
      <c r="LUV10" s="21"/>
      <c r="LUW10" s="21"/>
      <c r="LUX10" s="21"/>
      <c r="LUY10" s="21"/>
      <c r="LUZ10" s="21"/>
      <c r="LVA10" s="21"/>
      <c r="LVB10" s="21"/>
      <c r="LVC10" s="21"/>
      <c r="LVD10" s="21"/>
      <c r="LVE10" s="21"/>
      <c r="LVF10" s="21"/>
      <c r="LVG10" s="21"/>
      <c r="LVH10" s="21"/>
      <c r="LVI10" s="21"/>
      <c r="LVJ10" s="21"/>
      <c r="LVK10" s="21"/>
      <c r="LVL10" s="21"/>
      <c r="LVM10" s="21"/>
      <c r="LVN10" s="21"/>
      <c r="LVO10" s="21"/>
      <c r="LVP10" s="21"/>
      <c r="LVQ10" s="21"/>
      <c r="LVR10" s="21"/>
      <c r="LVS10" s="21"/>
      <c r="LVT10" s="21"/>
      <c r="LVU10" s="21"/>
      <c r="LVV10" s="21"/>
      <c r="LVW10" s="21"/>
      <c r="LVX10" s="21"/>
      <c r="LVY10" s="21"/>
      <c r="LVZ10" s="21"/>
      <c r="LWA10" s="21"/>
      <c r="LWB10" s="21"/>
      <c r="LWC10" s="21"/>
      <c r="LWD10" s="21"/>
      <c r="LWE10" s="21"/>
      <c r="LWF10" s="21"/>
      <c r="LWG10" s="21"/>
      <c r="LWH10" s="21"/>
      <c r="LWI10" s="21"/>
      <c r="LWJ10" s="21"/>
      <c r="LWK10" s="21"/>
      <c r="LWL10" s="21"/>
      <c r="LWM10" s="21"/>
      <c r="LWN10" s="21"/>
      <c r="LWO10" s="21"/>
      <c r="LWP10" s="21"/>
      <c r="LWQ10" s="21"/>
      <c r="LWR10" s="21"/>
      <c r="LWS10" s="21"/>
      <c r="LWT10" s="21"/>
      <c r="LWU10" s="21"/>
      <c r="LWV10" s="21"/>
      <c r="LWW10" s="21"/>
      <c r="LWX10" s="21"/>
      <c r="LWY10" s="21"/>
      <c r="LWZ10" s="21"/>
      <c r="LXA10" s="21"/>
      <c r="LXB10" s="21"/>
      <c r="LXC10" s="21"/>
      <c r="LXD10" s="21"/>
      <c r="LXE10" s="21"/>
      <c r="LXF10" s="21"/>
      <c r="LXG10" s="21"/>
      <c r="LXH10" s="21"/>
      <c r="LXI10" s="21"/>
      <c r="LXJ10" s="21"/>
      <c r="LXK10" s="21"/>
      <c r="LXL10" s="21"/>
      <c r="LXM10" s="21"/>
      <c r="LXN10" s="21"/>
      <c r="LXO10" s="21"/>
      <c r="LXP10" s="21"/>
      <c r="LXQ10" s="21"/>
      <c r="LXR10" s="21"/>
      <c r="LXS10" s="21"/>
      <c r="LXT10" s="21"/>
      <c r="LXU10" s="21"/>
      <c r="LXV10" s="21"/>
      <c r="LXW10" s="21"/>
      <c r="LXX10" s="21"/>
      <c r="LXY10" s="21"/>
      <c r="LXZ10" s="21"/>
      <c r="LYA10" s="21"/>
      <c r="LYB10" s="21"/>
      <c r="LYC10" s="21"/>
      <c r="LYD10" s="21"/>
      <c r="LYE10" s="21"/>
      <c r="LYF10" s="21"/>
      <c r="LYG10" s="21"/>
      <c r="LYH10" s="21"/>
      <c r="LYI10" s="21"/>
      <c r="LYJ10" s="21"/>
      <c r="LYK10" s="21"/>
      <c r="LYL10" s="21"/>
      <c r="LYM10" s="21"/>
      <c r="LYN10" s="21"/>
      <c r="LYO10" s="21"/>
      <c r="LYP10" s="21"/>
      <c r="LYQ10" s="21"/>
      <c r="LYR10" s="21"/>
      <c r="LYS10" s="21"/>
      <c r="LYT10" s="21"/>
      <c r="LYU10" s="21"/>
      <c r="LYV10" s="21"/>
      <c r="LYW10" s="21"/>
      <c r="LYX10" s="21"/>
      <c r="LYY10" s="21"/>
      <c r="LYZ10" s="21"/>
      <c r="LZA10" s="21"/>
      <c r="LZB10" s="21"/>
      <c r="LZC10" s="21"/>
      <c r="LZD10" s="21"/>
      <c r="LZE10" s="21"/>
      <c r="LZF10" s="21"/>
      <c r="LZG10" s="21"/>
      <c r="LZH10" s="21"/>
      <c r="LZI10" s="21"/>
      <c r="LZJ10" s="21"/>
      <c r="LZK10" s="21"/>
      <c r="LZL10" s="21"/>
      <c r="LZM10" s="21"/>
      <c r="LZN10" s="21"/>
      <c r="LZO10" s="21"/>
      <c r="LZP10" s="21"/>
      <c r="LZQ10" s="21"/>
      <c r="LZR10" s="21"/>
      <c r="LZS10" s="21"/>
      <c r="LZT10" s="21"/>
      <c r="LZU10" s="21"/>
      <c r="LZV10" s="21"/>
      <c r="LZW10" s="21"/>
      <c r="LZX10" s="21"/>
      <c r="LZY10" s="21"/>
      <c r="LZZ10" s="21"/>
      <c r="MAA10" s="21"/>
      <c r="MAB10" s="21"/>
      <c r="MAC10" s="21"/>
      <c r="MAD10" s="21"/>
      <c r="MAE10" s="21"/>
      <c r="MAF10" s="21"/>
      <c r="MAG10" s="21"/>
      <c r="MAH10" s="21"/>
      <c r="MAI10" s="21"/>
      <c r="MAJ10" s="21"/>
      <c r="MAK10" s="21"/>
      <c r="MAL10" s="21"/>
      <c r="MAM10" s="21"/>
      <c r="MAN10" s="21"/>
      <c r="MAO10" s="21"/>
      <c r="MAP10" s="21"/>
      <c r="MAQ10" s="21"/>
      <c r="MAR10" s="21"/>
      <c r="MAS10" s="21"/>
      <c r="MAT10" s="21"/>
      <c r="MAU10" s="21"/>
      <c r="MAV10" s="21"/>
      <c r="MAW10" s="21"/>
      <c r="MAX10" s="21"/>
      <c r="MAY10" s="21"/>
      <c r="MAZ10" s="21"/>
      <c r="MBA10" s="21"/>
      <c r="MBB10" s="21"/>
      <c r="MBC10" s="21"/>
      <c r="MBD10" s="21"/>
      <c r="MBE10" s="21"/>
      <c r="MBF10" s="21"/>
      <c r="MBG10" s="21"/>
      <c r="MBH10" s="21"/>
      <c r="MBI10" s="21"/>
      <c r="MBJ10" s="21"/>
      <c r="MBK10" s="21"/>
      <c r="MBL10" s="21"/>
      <c r="MBM10" s="21"/>
      <c r="MBN10" s="21"/>
      <c r="MBO10" s="21"/>
      <c r="MBP10" s="21"/>
      <c r="MBQ10" s="21"/>
      <c r="MBR10" s="21"/>
      <c r="MBS10" s="21"/>
      <c r="MBT10" s="21"/>
      <c r="MBU10" s="21"/>
      <c r="MBV10" s="21"/>
      <c r="MBW10" s="21"/>
      <c r="MBX10" s="21"/>
      <c r="MBY10" s="21"/>
      <c r="MBZ10" s="21"/>
      <c r="MCA10" s="21"/>
      <c r="MCB10" s="21"/>
      <c r="MCC10" s="21"/>
      <c r="MCD10" s="21"/>
      <c r="MCE10" s="21"/>
      <c r="MCF10" s="21"/>
      <c r="MCG10" s="21"/>
      <c r="MCH10" s="21"/>
      <c r="MCI10" s="21"/>
      <c r="MCJ10" s="21"/>
      <c r="MCK10" s="21"/>
      <c r="MCL10" s="21"/>
      <c r="MCM10" s="21"/>
      <c r="MCN10" s="21"/>
      <c r="MCO10" s="21"/>
      <c r="MCP10" s="21"/>
      <c r="MCQ10" s="21"/>
      <c r="MCR10" s="21"/>
      <c r="MCS10" s="21"/>
      <c r="MCT10" s="21"/>
      <c r="MCU10" s="21"/>
      <c r="MCV10" s="21"/>
      <c r="MCW10" s="21"/>
      <c r="MCX10" s="21"/>
      <c r="MCY10" s="21"/>
      <c r="MCZ10" s="21"/>
      <c r="MDA10" s="21"/>
      <c r="MDB10" s="21"/>
      <c r="MDC10" s="21"/>
      <c r="MDD10" s="21"/>
      <c r="MDE10" s="21"/>
      <c r="MDF10" s="21"/>
      <c r="MDG10" s="21"/>
      <c r="MDH10" s="21"/>
      <c r="MDI10" s="21"/>
      <c r="MDJ10" s="21"/>
      <c r="MDK10" s="21"/>
      <c r="MDL10" s="21"/>
      <c r="MDM10" s="21"/>
      <c r="MDN10" s="21"/>
      <c r="MDO10" s="21"/>
      <c r="MDP10" s="21"/>
      <c r="MDQ10" s="21"/>
      <c r="MDR10" s="21"/>
      <c r="MDS10" s="21"/>
      <c r="MDT10" s="21"/>
      <c r="MDU10" s="21"/>
      <c r="MDV10" s="21"/>
      <c r="MDW10" s="21"/>
      <c r="MDX10" s="21"/>
      <c r="MDY10" s="21"/>
      <c r="MDZ10" s="21"/>
      <c r="MEA10" s="21"/>
      <c r="MEB10" s="21"/>
      <c r="MEC10" s="21"/>
      <c r="MED10" s="21"/>
      <c r="MEE10" s="21"/>
      <c r="MEF10" s="21"/>
      <c r="MEG10" s="21"/>
      <c r="MEH10" s="21"/>
      <c r="MEI10" s="21"/>
      <c r="MEJ10" s="21"/>
      <c r="MEK10" s="21"/>
      <c r="MEL10" s="21"/>
      <c r="MEM10" s="21"/>
      <c r="MEN10" s="21"/>
      <c r="MEO10" s="21"/>
      <c r="MEP10" s="21"/>
      <c r="MEQ10" s="21"/>
      <c r="MER10" s="21"/>
      <c r="MES10" s="21"/>
      <c r="MET10" s="21"/>
      <c r="MEU10" s="21"/>
      <c r="MEV10" s="21"/>
      <c r="MEW10" s="21"/>
      <c r="MEX10" s="21"/>
      <c r="MEY10" s="21"/>
      <c r="MEZ10" s="21"/>
      <c r="MFA10" s="21"/>
      <c r="MFB10" s="21"/>
      <c r="MFC10" s="21"/>
      <c r="MFD10" s="21"/>
      <c r="MFE10" s="21"/>
      <c r="MFF10" s="21"/>
      <c r="MFG10" s="21"/>
      <c r="MFH10" s="21"/>
      <c r="MFI10" s="21"/>
      <c r="MFJ10" s="21"/>
      <c r="MFK10" s="21"/>
      <c r="MFL10" s="21"/>
      <c r="MFM10" s="21"/>
      <c r="MFN10" s="21"/>
      <c r="MFO10" s="21"/>
      <c r="MFP10" s="21"/>
      <c r="MFQ10" s="21"/>
      <c r="MFR10" s="21"/>
      <c r="MFS10" s="21"/>
      <c r="MFT10" s="21"/>
      <c r="MFU10" s="21"/>
      <c r="MFV10" s="21"/>
      <c r="MFW10" s="21"/>
      <c r="MFX10" s="21"/>
      <c r="MFY10" s="21"/>
      <c r="MFZ10" s="21"/>
      <c r="MGA10" s="21"/>
      <c r="MGB10" s="21"/>
      <c r="MGC10" s="21"/>
      <c r="MGD10" s="21"/>
      <c r="MGE10" s="21"/>
      <c r="MGF10" s="21"/>
      <c r="MGG10" s="21"/>
      <c r="MGH10" s="21"/>
      <c r="MGI10" s="21"/>
      <c r="MGJ10" s="21"/>
      <c r="MGK10" s="21"/>
      <c r="MGL10" s="21"/>
      <c r="MGM10" s="21"/>
      <c r="MGN10" s="21"/>
      <c r="MGO10" s="21"/>
      <c r="MGP10" s="21"/>
      <c r="MGQ10" s="21"/>
      <c r="MGR10" s="21"/>
      <c r="MGS10" s="21"/>
      <c r="MGT10" s="21"/>
      <c r="MGU10" s="21"/>
      <c r="MGV10" s="21"/>
      <c r="MGW10" s="21"/>
      <c r="MGX10" s="21"/>
      <c r="MGY10" s="21"/>
      <c r="MGZ10" s="21"/>
      <c r="MHA10" s="21"/>
      <c r="MHB10" s="21"/>
      <c r="MHC10" s="21"/>
      <c r="MHD10" s="21"/>
      <c r="MHE10" s="21"/>
      <c r="MHF10" s="21"/>
      <c r="MHG10" s="21"/>
      <c r="MHH10" s="21"/>
      <c r="MHI10" s="21"/>
      <c r="MHJ10" s="21"/>
      <c r="MHK10" s="21"/>
      <c r="MHL10" s="21"/>
      <c r="MHM10" s="21"/>
      <c r="MHN10" s="21"/>
      <c r="MHO10" s="21"/>
      <c r="MHP10" s="21"/>
      <c r="MHQ10" s="21"/>
      <c r="MHR10" s="21"/>
      <c r="MHS10" s="21"/>
      <c r="MHT10" s="21"/>
      <c r="MHU10" s="21"/>
      <c r="MHV10" s="21"/>
      <c r="MHW10" s="21"/>
      <c r="MHX10" s="21"/>
      <c r="MHY10" s="21"/>
      <c r="MHZ10" s="21"/>
      <c r="MIA10" s="21"/>
      <c r="MIB10" s="21"/>
      <c r="MIC10" s="21"/>
      <c r="MID10" s="21"/>
      <c r="MIE10" s="21"/>
      <c r="MIF10" s="21"/>
      <c r="MIG10" s="21"/>
      <c r="MIH10" s="21"/>
      <c r="MII10" s="21"/>
      <c r="MIJ10" s="21"/>
      <c r="MIK10" s="21"/>
      <c r="MIL10" s="21"/>
      <c r="MIM10" s="21"/>
      <c r="MIN10" s="21"/>
      <c r="MIO10" s="21"/>
      <c r="MIP10" s="21"/>
      <c r="MIQ10" s="21"/>
      <c r="MIR10" s="21"/>
      <c r="MIS10" s="21"/>
      <c r="MIT10" s="21"/>
      <c r="MIU10" s="21"/>
      <c r="MIV10" s="21"/>
      <c r="MIW10" s="21"/>
      <c r="MIX10" s="21"/>
      <c r="MIY10" s="21"/>
      <c r="MIZ10" s="21"/>
      <c r="MJA10" s="21"/>
      <c r="MJB10" s="21"/>
      <c r="MJC10" s="21"/>
      <c r="MJD10" s="21"/>
      <c r="MJE10" s="21"/>
      <c r="MJF10" s="21"/>
      <c r="MJG10" s="21"/>
      <c r="MJH10" s="21"/>
      <c r="MJI10" s="21"/>
      <c r="MJJ10" s="21"/>
      <c r="MJK10" s="21"/>
      <c r="MJL10" s="21"/>
      <c r="MJM10" s="21"/>
      <c r="MJN10" s="21"/>
      <c r="MJO10" s="21"/>
      <c r="MJP10" s="21"/>
      <c r="MJQ10" s="21"/>
      <c r="MJR10" s="21"/>
      <c r="MJS10" s="21"/>
      <c r="MJT10" s="21"/>
      <c r="MJU10" s="21"/>
      <c r="MJV10" s="21"/>
      <c r="MJW10" s="21"/>
      <c r="MJX10" s="21"/>
      <c r="MJY10" s="21"/>
      <c r="MJZ10" s="21"/>
      <c r="MKA10" s="21"/>
      <c r="MKB10" s="21"/>
      <c r="MKC10" s="21"/>
      <c r="MKD10" s="21"/>
      <c r="MKE10" s="21"/>
      <c r="MKF10" s="21"/>
      <c r="MKG10" s="21"/>
      <c r="MKH10" s="21"/>
      <c r="MKI10" s="21"/>
      <c r="MKJ10" s="21"/>
      <c r="MKK10" s="21"/>
      <c r="MKL10" s="21"/>
      <c r="MKM10" s="21"/>
      <c r="MKN10" s="21"/>
      <c r="MKO10" s="21"/>
      <c r="MKP10" s="21"/>
      <c r="MKQ10" s="21"/>
      <c r="MKR10" s="21"/>
      <c r="MKS10" s="21"/>
      <c r="MKT10" s="21"/>
      <c r="MKU10" s="21"/>
      <c r="MKV10" s="21"/>
      <c r="MKW10" s="21"/>
      <c r="MKX10" s="21"/>
      <c r="MKY10" s="21"/>
      <c r="MKZ10" s="21"/>
      <c r="MLA10" s="21"/>
      <c r="MLB10" s="21"/>
      <c r="MLC10" s="21"/>
      <c r="MLD10" s="21"/>
      <c r="MLE10" s="21"/>
      <c r="MLF10" s="21"/>
      <c r="MLG10" s="21"/>
      <c r="MLH10" s="21"/>
      <c r="MLI10" s="21"/>
      <c r="MLJ10" s="21"/>
      <c r="MLK10" s="21"/>
      <c r="MLL10" s="21"/>
      <c r="MLM10" s="21"/>
      <c r="MLN10" s="21"/>
      <c r="MLO10" s="21"/>
      <c r="MLP10" s="21"/>
      <c r="MLQ10" s="21"/>
      <c r="MLR10" s="21"/>
      <c r="MLS10" s="21"/>
      <c r="MLT10" s="21"/>
      <c r="MLU10" s="21"/>
      <c r="MLV10" s="21"/>
      <c r="MLW10" s="21"/>
      <c r="MLX10" s="21"/>
      <c r="MLY10" s="21"/>
      <c r="MLZ10" s="21"/>
      <c r="MMA10" s="21"/>
      <c r="MMB10" s="21"/>
      <c r="MMC10" s="21"/>
      <c r="MMD10" s="21"/>
      <c r="MME10" s="21"/>
      <c r="MMF10" s="21"/>
      <c r="MMG10" s="21"/>
      <c r="MMH10" s="21"/>
      <c r="MMI10" s="21"/>
      <c r="MMJ10" s="21"/>
      <c r="MMK10" s="21"/>
      <c r="MML10" s="21"/>
      <c r="MMM10" s="21"/>
      <c r="MMN10" s="21"/>
      <c r="MMO10" s="21"/>
      <c r="MMP10" s="21"/>
      <c r="MMQ10" s="21"/>
      <c r="MMR10" s="21"/>
      <c r="MMS10" s="21"/>
      <c r="MMT10" s="21"/>
      <c r="MMU10" s="21"/>
      <c r="MMV10" s="21"/>
      <c r="MMW10" s="21"/>
      <c r="MMX10" s="21"/>
      <c r="MMY10" s="21"/>
      <c r="MMZ10" s="21"/>
      <c r="MNA10" s="21"/>
      <c r="MNB10" s="21"/>
      <c r="MNC10" s="21"/>
      <c r="MND10" s="21"/>
      <c r="MNE10" s="21"/>
      <c r="MNF10" s="21"/>
      <c r="MNG10" s="21"/>
      <c r="MNH10" s="21"/>
      <c r="MNI10" s="21"/>
      <c r="MNJ10" s="21"/>
      <c r="MNK10" s="21"/>
      <c r="MNL10" s="21"/>
      <c r="MNM10" s="21"/>
      <c r="MNN10" s="21"/>
      <c r="MNO10" s="21"/>
      <c r="MNP10" s="21"/>
      <c r="MNQ10" s="21"/>
      <c r="MNR10" s="21"/>
      <c r="MNS10" s="21"/>
      <c r="MNT10" s="21"/>
      <c r="MNU10" s="21"/>
      <c r="MNV10" s="21"/>
      <c r="MNW10" s="21"/>
      <c r="MNX10" s="21"/>
      <c r="MNY10" s="21"/>
      <c r="MNZ10" s="21"/>
      <c r="MOA10" s="21"/>
      <c r="MOB10" s="21"/>
      <c r="MOC10" s="21"/>
      <c r="MOD10" s="21"/>
      <c r="MOE10" s="21"/>
      <c r="MOF10" s="21"/>
      <c r="MOG10" s="21"/>
      <c r="MOH10" s="21"/>
      <c r="MOI10" s="21"/>
      <c r="MOJ10" s="21"/>
      <c r="MOK10" s="21"/>
      <c r="MOL10" s="21"/>
      <c r="MOM10" s="21"/>
      <c r="MON10" s="21"/>
      <c r="MOO10" s="21"/>
      <c r="MOP10" s="21"/>
      <c r="MOQ10" s="21"/>
      <c r="MOR10" s="21"/>
      <c r="MOS10" s="21"/>
      <c r="MOT10" s="21"/>
      <c r="MOU10" s="21"/>
      <c r="MOV10" s="21"/>
      <c r="MOW10" s="21"/>
      <c r="MOX10" s="21"/>
      <c r="MOY10" s="21"/>
      <c r="MOZ10" s="21"/>
      <c r="MPA10" s="21"/>
      <c r="MPB10" s="21"/>
      <c r="MPC10" s="21"/>
      <c r="MPD10" s="21"/>
      <c r="MPE10" s="21"/>
      <c r="MPF10" s="21"/>
      <c r="MPG10" s="21"/>
      <c r="MPH10" s="21"/>
      <c r="MPI10" s="21"/>
      <c r="MPJ10" s="21"/>
      <c r="MPK10" s="21"/>
      <c r="MPL10" s="21"/>
      <c r="MPM10" s="21"/>
      <c r="MPN10" s="21"/>
      <c r="MPO10" s="21"/>
      <c r="MPP10" s="21"/>
      <c r="MPQ10" s="21"/>
      <c r="MPR10" s="21"/>
      <c r="MPS10" s="21"/>
      <c r="MPT10" s="21"/>
      <c r="MPU10" s="21"/>
      <c r="MPV10" s="21"/>
      <c r="MPW10" s="21"/>
      <c r="MPX10" s="21"/>
      <c r="MPY10" s="21"/>
      <c r="MPZ10" s="21"/>
      <c r="MQA10" s="21"/>
      <c r="MQB10" s="21"/>
      <c r="MQC10" s="21"/>
      <c r="MQD10" s="21"/>
      <c r="MQE10" s="21"/>
      <c r="MQF10" s="21"/>
      <c r="MQG10" s="21"/>
      <c r="MQH10" s="21"/>
      <c r="MQI10" s="21"/>
      <c r="MQJ10" s="21"/>
      <c r="MQK10" s="21"/>
      <c r="MQL10" s="21"/>
      <c r="MQM10" s="21"/>
      <c r="MQN10" s="21"/>
      <c r="MQO10" s="21"/>
      <c r="MQP10" s="21"/>
      <c r="MQQ10" s="21"/>
      <c r="MQR10" s="21"/>
      <c r="MQS10" s="21"/>
      <c r="MQT10" s="21"/>
      <c r="MQU10" s="21"/>
      <c r="MQV10" s="21"/>
      <c r="MQW10" s="21"/>
      <c r="MQX10" s="21"/>
      <c r="MQY10" s="21"/>
      <c r="MQZ10" s="21"/>
      <c r="MRA10" s="21"/>
      <c r="MRB10" s="21"/>
      <c r="MRC10" s="21"/>
      <c r="MRD10" s="21"/>
      <c r="MRE10" s="21"/>
      <c r="MRF10" s="21"/>
      <c r="MRG10" s="21"/>
      <c r="MRH10" s="21"/>
      <c r="MRI10" s="21"/>
      <c r="MRJ10" s="21"/>
      <c r="MRK10" s="21"/>
      <c r="MRL10" s="21"/>
      <c r="MRM10" s="21"/>
      <c r="MRN10" s="21"/>
      <c r="MRO10" s="21"/>
      <c r="MRP10" s="21"/>
      <c r="MRQ10" s="21"/>
      <c r="MRR10" s="21"/>
      <c r="MRS10" s="21"/>
      <c r="MRT10" s="21"/>
      <c r="MRU10" s="21"/>
      <c r="MRV10" s="21"/>
      <c r="MRW10" s="21"/>
      <c r="MRX10" s="21"/>
      <c r="MRY10" s="21"/>
      <c r="MRZ10" s="21"/>
      <c r="MSA10" s="21"/>
      <c r="MSB10" s="21"/>
      <c r="MSC10" s="21"/>
      <c r="MSD10" s="21"/>
      <c r="MSE10" s="21"/>
      <c r="MSF10" s="21"/>
      <c r="MSG10" s="21"/>
      <c r="MSH10" s="21"/>
      <c r="MSI10" s="21"/>
      <c r="MSJ10" s="21"/>
      <c r="MSK10" s="21"/>
      <c r="MSL10" s="21"/>
      <c r="MSM10" s="21"/>
      <c r="MSN10" s="21"/>
      <c r="MSO10" s="21"/>
      <c r="MSP10" s="21"/>
      <c r="MSQ10" s="21"/>
      <c r="MSR10" s="21"/>
      <c r="MSS10" s="21"/>
      <c r="MST10" s="21"/>
      <c r="MSU10" s="21"/>
      <c r="MSV10" s="21"/>
      <c r="MSW10" s="21"/>
      <c r="MSX10" s="21"/>
      <c r="MSY10" s="21"/>
      <c r="MSZ10" s="21"/>
      <c r="MTA10" s="21"/>
      <c r="MTB10" s="21"/>
      <c r="MTC10" s="21"/>
      <c r="MTD10" s="21"/>
      <c r="MTE10" s="21"/>
      <c r="MTF10" s="21"/>
      <c r="MTG10" s="21"/>
      <c r="MTH10" s="21"/>
      <c r="MTI10" s="21"/>
      <c r="MTJ10" s="21"/>
      <c r="MTK10" s="21"/>
      <c r="MTL10" s="21"/>
      <c r="MTM10" s="21"/>
      <c r="MTN10" s="21"/>
      <c r="MTO10" s="21"/>
      <c r="MTP10" s="21"/>
      <c r="MTQ10" s="21"/>
      <c r="MTR10" s="21"/>
      <c r="MTS10" s="21"/>
      <c r="MTT10" s="21"/>
      <c r="MTU10" s="21"/>
      <c r="MTV10" s="21"/>
      <c r="MTW10" s="21"/>
      <c r="MTX10" s="21"/>
      <c r="MTY10" s="21"/>
      <c r="MTZ10" s="21"/>
      <c r="MUA10" s="21"/>
      <c r="MUB10" s="21"/>
      <c r="MUC10" s="21"/>
      <c r="MUD10" s="21"/>
      <c r="MUE10" s="21"/>
      <c r="MUF10" s="21"/>
      <c r="MUG10" s="21"/>
      <c r="MUH10" s="21"/>
      <c r="MUI10" s="21"/>
      <c r="MUJ10" s="21"/>
      <c r="MUK10" s="21"/>
      <c r="MUL10" s="21"/>
      <c r="MUM10" s="21"/>
      <c r="MUN10" s="21"/>
      <c r="MUO10" s="21"/>
      <c r="MUP10" s="21"/>
      <c r="MUQ10" s="21"/>
      <c r="MUR10" s="21"/>
      <c r="MUS10" s="21"/>
      <c r="MUT10" s="21"/>
      <c r="MUU10" s="21"/>
      <c r="MUV10" s="21"/>
      <c r="MUW10" s="21"/>
      <c r="MUX10" s="21"/>
      <c r="MUY10" s="21"/>
      <c r="MUZ10" s="21"/>
      <c r="MVA10" s="21"/>
      <c r="MVB10" s="21"/>
      <c r="MVC10" s="21"/>
      <c r="MVD10" s="21"/>
      <c r="MVE10" s="21"/>
      <c r="MVF10" s="21"/>
      <c r="MVG10" s="21"/>
      <c r="MVH10" s="21"/>
      <c r="MVI10" s="21"/>
      <c r="MVJ10" s="21"/>
      <c r="MVK10" s="21"/>
      <c r="MVL10" s="21"/>
      <c r="MVM10" s="21"/>
      <c r="MVN10" s="21"/>
      <c r="MVO10" s="21"/>
      <c r="MVP10" s="21"/>
      <c r="MVQ10" s="21"/>
      <c r="MVR10" s="21"/>
      <c r="MVS10" s="21"/>
      <c r="MVT10" s="21"/>
      <c r="MVU10" s="21"/>
      <c r="MVV10" s="21"/>
      <c r="MVW10" s="21"/>
      <c r="MVX10" s="21"/>
      <c r="MVY10" s="21"/>
      <c r="MVZ10" s="21"/>
      <c r="MWA10" s="21"/>
      <c r="MWB10" s="21"/>
      <c r="MWC10" s="21"/>
      <c r="MWD10" s="21"/>
      <c r="MWE10" s="21"/>
      <c r="MWF10" s="21"/>
      <c r="MWG10" s="21"/>
      <c r="MWH10" s="21"/>
      <c r="MWI10" s="21"/>
      <c r="MWJ10" s="21"/>
      <c r="MWK10" s="21"/>
      <c r="MWL10" s="21"/>
      <c r="MWM10" s="21"/>
      <c r="MWN10" s="21"/>
      <c r="MWO10" s="21"/>
      <c r="MWP10" s="21"/>
      <c r="MWQ10" s="21"/>
      <c r="MWR10" s="21"/>
      <c r="MWS10" s="21"/>
      <c r="MWT10" s="21"/>
      <c r="MWU10" s="21"/>
      <c r="MWV10" s="21"/>
      <c r="MWW10" s="21"/>
      <c r="MWX10" s="21"/>
      <c r="MWY10" s="21"/>
      <c r="MWZ10" s="21"/>
      <c r="MXA10" s="21"/>
      <c r="MXB10" s="21"/>
      <c r="MXC10" s="21"/>
      <c r="MXD10" s="21"/>
      <c r="MXE10" s="21"/>
      <c r="MXF10" s="21"/>
      <c r="MXG10" s="21"/>
      <c r="MXH10" s="21"/>
      <c r="MXI10" s="21"/>
      <c r="MXJ10" s="21"/>
      <c r="MXK10" s="21"/>
      <c r="MXL10" s="21"/>
      <c r="MXM10" s="21"/>
      <c r="MXN10" s="21"/>
      <c r="MXO10" s="21"/>
      <c r="MXP10" s="21"/>
      <c r="MXQ10" s="21"/>
      <c r="MXR10" s="21"/>
      <c r="MXS10" s="21"/>
      <c r="MXT10" s="21"/>
      <c r="MXU10" s="21"/>
      <c r="MXV10" s="21"/>
      <c r="MXW10" s="21"/>
      <c r="MXX10" s="21"/>
      <c r="MXY10" s="21"/>
      <c r="MXZ10" s="21"/>
      <c r="MYA10" s="21"/>
      <c r="MYB10" s="21"/>
      <c r="MYC10" s="21"/>
      <c r="MYD10" s="21"/>
      <c r="MYE10" s="21"/>
      <c r="MYF10" s="21"/>
      <c r="MYG10" s="21"/>
      <c r="MYH10" s="21"/>
      <c r="MYI10" s="21"/>
      <c r="MYJ10" s="21"/>
      <c r="MYK10" s="21"/>
      <c r="MYL10" s="21"/>
      <c r="MYM10" s="21"/>
      <c r="MYN10" s="21"/>
      <c r="MYO10" s="21"/>
      <c r="MYP10" s="21"/>
      <c r="MYQ10" s="21"/>
      <c r="MYR10" s="21"/>
      <c r="MYS10" s="21"/>
      <c r="MYT10" s="21"/>
      <c r="MYU10" s="21"/>
      <c r="MYV10" s="21"/>
      <c r="MYW10" s="21"/>
      <c r="MYX10" s="21"/>
      <c r="MYY10" s="21"/>
      <c r="MYZ10" s="21"/>
      <c r="MZA10" s="21"/>
      <c r="MZB10" s="21"/>
      <c r="MZC10" s="21"/>
      <c r="MZD10" s="21"/>
      <c r="MZE10" s="21"/>
      <c r="MZF10" s="21"/>
      <c r="MZG10" s="21"/>
      <c r="MZH10" s="21"/>
      <c r="MZI10" s="21"/>
      <c r="MZJ10" s="21"/>
      <c r="MZK10" s="21"/>
      <c r="MZL10" s="21"/>
      <c r="MZM10" s="21"/>
      <c r="MZN10" s="21"/>
      <c r="MZO10" s="21"/>
      <c r="MZP10" s="21"/>
      <c r="MZQ10" s="21"/>
      <c r="MZR10" s="21"/>
      <c r="MZS10" s="21"/>
      <c r="MZT10" s="21"/>
      <c r="MZU10" s="21"/>
      <c r="MZV10" s="21"/>
      <c r="MZW10" s="21"/>
      <c r="MZX10" s="21"/>
      <c r="MZY10" s="21"/>
      <c r="MZZ10" s="21"/>
      <c r="NAA10" s="21"/>
      <c r="NAB10" s="21"/>
      <c r="NAC10" s="21"/>
      <c r="NAD10" s="21"/>
      <c r="NAE10" s="21"/>
      <c r="NAF10" s="21"/>
      <c r="NAG10" s="21"/>
      <c r="NAH10" s="21"/>
      <c r="NAI10" s="21"/>
      <c r="NAJ10" s="21"/>
      <c r="NAK10" s="21"/>
      <c r="NAL10" s="21"/>
      <c r="NAM10" s="21"/>
      <c r="NAN10" s="21"/>
      <c r="NAO10" s="21"/>
      <c r="NAP10" s="21"/>
      <c r="NAQ10" s="21"/>
      <c r="NAR10" s="21"/>
      <c r="NAS10" s="21"/>
      <c r="NAT10" s="21"/>
      <c r="NAU10" s="21"/>
      <c r="NAV10" s="21"/>
      <c r="NAW10" s="21"/>
      <c r="NAX10" s="21"/>
      <c r="NAY10" s="21"/>
      <c r="NAZ10" s="21"/>
      <c r="NBA10" s="21"/>
      <c r="NBB10" s="21"/>
      <c r="NBC10" s="21"/>
      <c r="NBD10" s="21"/>
      <c r="NBE10" s="21"/>
      <c r="NBF10" s="21"/>
      <c r="NBG10" s="21"/>
      <c r="NBH10" s="21"/>
      <c r="NBI10" s="21"/>
      <c r="NBJ10" s="21"/>
      <c r="NBK10" s="21"/>
      <c r="NBL10" s="21"/>
      <c r="NBM10" s="21"/>
      <c r="NBN10" s="21"/>
      <c r="NBO10" s="21"/>
      <c r="NBP10" s="21"/>
      <c r="NBQ10" s="21"/>
      <c r="NBR10" s="21"/>
      <c r="NBS10" s="21"/>
      <c r="NBT10" s="21"/>
      <c r="NBU10" s="21"/>
      <c r="NBV10" s="21"/>
      <c r="NBW10" s="21"/>
      <c r="NBX10" s="21"/>
      <c r="NBY10" s="21"/>
      <c r="NBZ10" s="21"/>
      <c r="NCA10" s="21"/>
      <c r="NCB10" s="21"/>
      <c r="NCC10" s="21"/>
      <c r="NCD10" s="21"/>
      <c r="NCE10" s="21"/>
      <c r="NCF10" s="21"/>
      <c r="NCG10" s="21"/>
      <c r="NCH10" s="21"/>
      <c r="NCI10" s="21"/>
      <c r="NCJ10" s="21"/>
      <c r="NCK10" s="21"/>
      <c r="NCL10" s="21"/>
      <c r="NCM10" s="21"/>
      <c r="NCN10" s="21"/>
      <c r="NCO10" s="21"/>
      <c r="NCP10" s="21"/>
      <c r="NCQ10" s="21"/>
      <c r="NCR10" s="21"/>
      <c r="NCS10" s="21"/>
      <c r="NCT10" s="21"/>
      <c r="NCU10" s="21"/>
      <c r="NCV10" s="21"/>
      <c r="NCW10" s="21"/>
      <c r="NCX10" s="21"/>
      <c r="NCY10" s="21"/>
      <c r="NCZ10" s="21"/>
      <c r="NDA10" s="21"/>
      <c r="NDB10" s="21"/>
      <c r="NDC10" s="21"/>
      <c r="NDD10" s="21"/>
      <c r="NDE10" s="21"/>
      <c r="NDF10" s="21"/>
      <c r="NDG10" s="21"/>
      <c r="NDH10" s="21"/>
      <c r="NDI10" s="21"/>
      <c r="NDJ10" s="21"/>
      <c r="NDK10" s="21"/>
      <c r="NDL10" s="21"/>
      <c r="NDM10" s="21"/>
      <c r="NDN10" s="21"/>
      <c r="NDO10" s="21"/>
      <c r="NDP10" s="21"/>
      <c r="NDQ10" s="21"/>
      <c r="NDR10" s="21"/>
      <c r="NDS10" s="21"/>
      <c r="NDT10" s="21"/>
      <c r="NDU10" s="21"/>
      <c r="NDV10" s="21"/>
      <c r="NDW10" s="21"/>
      <c r="NDX10" s="21"/>
      <c r="NDY10" s="21"/>
      <c r="NDZ10" s="21"/>
      <c r="NEA10" s="21"/>
      <c r="NEB10" s="21"/>
      <c r="NEC10" s="21"/>
      <c r="NED10" s="21"/>
      <c r="NEE10" s="21"/>
      <c r="NEF10" s="21"/>
      <c r="NEG10" s="21"/>
      <c r="NEH10" s="21"/>
      <c r="NEI10" s="21"/>
      <c r="NEJ10" s="21"/>
      <c r="NEK10" s="21"/>
      <c r="NEL10" s="21"/>
      <c r="NEM10" s="21"/>
      <c r="NEN10" s="21"/>
      <c r="NEO10" s="21"/>
      <c r="NEP10" s="21"/>
      <c r="NEQ10" s="21"/>
      <c r="NER10" s="21"/>
      <c r="NES10" s="21"/>
      <c r="NET10" s="21"/>
      <c r="NEU10" s="21"/>
      <c r="NEV10" s="21"/>
      <c r="NEW10" s="21"/>
      <c r="NEX10" s="21"/>
      <c r="NEY10" s="21"/>
      <c r="NEZ10" s="21"/>
      <c r="NFA10" s="21"/>
      <c r="NFB10" s="21"/>
      <c r="NFC10" s="21"/>
      <c r="NFD10" s="21"/>
      <c r="NFE10" s="21"/>
      <c r="NFF10" s="21"/>
      <c r="NFG10" s="21"/>
      <c r="NFH10" s="21"/>
      <c r="NFI10" s="21"/>
      <c r="NFJ10" s="21"/>
      <c r="NFK10" s="21"/>
      <c r="NFL10" s="21"/>
      <c r="NFM10" s="21"/>
      <c r="NFN10" s="21"/>
      <c r="NFO10" s="21"/>
      <c r="NFP10" s="21"/>
      <c r="NFQ10" s="21"/>
      <c r="NFR10" s="21"/>
      <c r="NFS10" s="21"/>
      <c r="NFT10" s="21"/>
      <c r="NFU10" s="21"/>
      <c r="NFV10" s="21"/>
      <c r="NFW10" s="21"/>
      <c r="NFX10" s="21"/>
      <c r="NFY10" s="21"/>
      <c r="NFZ10" s="21"/>
      <c r="NGA10" s="21"/>
      <c r="NGB10" s="21"/>
      <c r="NGC10" s="21"/>
      <c r="NGD10" s="21"/>
      <c r="NGE10" s="21"/>
      <c r="NGF10" s="21"/>
      <c r="NGG10" s="21"/>
      <c r="NGH10" s="21"/>
      <c r="NGI10" s="21"/>
      <c r="NGJ10" s="21"/>
      <c r="NGK10" s="21"/>
      <c r="NGL10" s="21"/>
      <c r="NGM10" s="21"/>
      <c r="NGN10" s="21"/>
      <c r="NGO10" s="21"/>
      <c r="NGP10" s="21"/>
      <c r="NGQ10" s="21"/>
      <c r="NGR10" s="21"/>
      <c r="NGS10" s="21"/>
      <c r="NGT10" s="21"/>
      <c r="NGU10" s="21"/>
      <c r="NGV10" s="21"/>
      <c r="NGW10" s="21"/>
      <c r="NGX10" s="21"/>
      <c r="NGY10" s="21"/>
      <c r="NGZ10" s="21"/>
      <c r="NHA10" s="21"/>
      <c r="NHB10" s="21"/>
      <c r="NHC10" s="21"/>
      <c r="NHD10" s="21"/>
      <c r="NHE10" s="21"/>
      <c r="NHF10" s="21"/>
      <c r="NHG10" s="21"/>
      <c r="NHH10" s="21"/>
      <c r="NHI10" s="21"/>
      <c r="NHJ10" s="21"/>
      <c r="NHK10" s="21"/>
      <c r="NHL10" s="21"/>
      <c r="NHM10" s="21"/>
      <c r="NHN10" s="21"/>
      <c r="NHO10" s="21"/>
      <c r="NHP10" s="21"/>
      <c r="NHQ10" s="21"/>
      <c r="NHR10" s="21"/>
      <c r="NHS10" s="21"/>
      <c r="NHT10" s="21"/>
      <c r="NHU10" s="21"/>
      <c r="NHV10" s="21"/>
      <c r="NHW10" s="21"/>
      <c r="NHX10" s="21"/>
      <c r="NHY10" s="21"/>
      <c r="NHZ10" s="21"/>
      <c r="NIA10" s="21"/>
      <c r="NIB10" s="21"/>
      <c r="NIC10" s="21"/>
      <c r="NID10" s="21"/>
      <c r="NIE10" s="21"/>
      <c r="NIF10" s="21"/>
      <c r="NIG10" s="21"/>
      <c r="NIH10" s="21"/>
      <c r="NII10" s="21"/>
      <c r="NIJ10" s="21"/>
      <c r="NIK10" s="21"/>
      <c r="NIL10" s="21"/>
      <c r="NIM10" s="21"/>
      <c r="NIN10" s="21"/>
      <c r="NIO10" s="21"/>
      <c r="NIP10" s="21"/>
      <c r="NIQ10" s="21"/>
      <c r="NIR10" s="21"/>
      <c r="NIS10" s="21"/>
      <c r="NIT10" s="21"/>
      <c r="NIU10" s="21"/>
      <c r="NIV10" s="21"/>
      <c r="NIW10" s="21"/>
      <c r="NIX10" s="21"/>
      <c r="NIY10" s="21"/>
      <c r="NIZ10" s="21"/>
      <c r="NJA10" s="21"/>
      <c r="NJB10" s="21"/>
      <c r="NJC10" s="21"/>
      <c r="NJD10" s="21"/>
      <c r="NJE10" s="21"/>
      <c r="NJF10" s="21"/>
      <c r="NJG10" s="21"/>
      <c r="NJH10" s="21"/>
      <c r="NJI10" s="21"/>
      <c r="NJJ10" s="21"/>
      <c r="NJK10" s="21"/>
      <c r="NJL10" s="21"/>
      <c r="NJM10" s="21"/>
      <c r="NJN10" s="21"/>
      <c r="NJO10" s="21"/>
      <c r="NJP10" s="21"/>
      <c r="NJQ10" s="21"/>
      <c r="NJR10" s="21"/>
      <c r="NJS10" s="21"/>
      <c r="NJT10" s="21"/>
      <c r="NJU10" s="21"/>
      <c r="NJV10" s="21"/>
      <c r="NJW10" s="21"/>
      <c r="NJX10" s="21"/>
      <c r="NJY10" s="21"/>
      <c r="NJZ10" s="21"/>
      <c r="NKA10" s="21"/>
      <c r="NKB10" s="21"/>
      <c r="NKC10" s="21"/>
      <c r="NKD10" s="21"/>
      <c r="NKE10" s="21"/>
      <c r="NKF10" s="21"/>
      <c r="NKG10" s="21"/>
      <c r="NKH10" s="21"/>
      <c r="NKI10" s="21"/>
      <c r="NKJ10" s="21"/>
      <c r="NKK10" s="21"/>
      <c r="NKL10" s="21"/>
      <c r="NKM10" s="21"/>
      <c r="NKN10" s="21"/>
      <c r="NKO10" s="21"/>
      <c r="NKP10" s="21"/>
      <c r="NKQ10" s="21"/>
      <c r="NKR10" s="21"/>
      <c r="NKS10" s="21"/>
      <c r="NKT10" s="21"/>
      <c r="NKU10" s="21"/>
      <c r="NKV10" s="21"/>
      <c r="NKW10" s="21"/>
      <c r="NKX10" s="21"/>
      <c r="NKY10" s="21"/>
      <c r="NKZ10" s="21"/>
      <c r="NLA10" s="21"/>
      <c r="NLB10" s="21"/>
      <c r="NLC10" s="21"/>
      <c r="NLD10" s="21"/>
      <c r="NLE10" s="21"/>
      <c r="NLF10" s="21"/>
      <c r="NLG10" s="21"/>
      <c r="NLH10" s="21"/>
      <c r="NLI10" s="21"/>
      <c r="NLJ10" s="21"/>
      <c r="NLK10" s="21"/>
      <c r="NLL10" s="21"/>
      <c r="NLM10" s="21"/>
      <c r="NLN10" s="21"/>
      <c r="NLO10" s="21"/>
      <c r="NLP10" s="21"/>
      <c r="NLQ10" s="21"/>
      <c r="NLR10" s="21"/>
      <c r="NLS10" s="21"/>
      <c r="NLT10" s="21"/>
      <c r="NLU10" s="21"/>
      <c r="NLV10" s="21"/>
      <c r="NLW10" s="21"/>
      <c r="NLX10" s="21"/>
      <c r="NLY10" s="21"/>
      <c r="NLZ10" s="21"/>
      <c r="NMA10" s="21"/>
      <c r="NMB10" s="21"/>
      <c r="NMC10" s="21"/>
      <c r="NMD10" s="21"/>
      <c r="NME10" s="21"/>
      <c r="NMF10" s="21"/>
      <c r="NMG10" s="21"/>
      <c r="NMH10" s="21"/>
      <c r="NMI10" s="21"/>
      <c r="NMJ10" s="21"/>
      <c r="NMK10" s="21"/>
      <c r="NML10" s="21"/>
      <c r="NMM10" s="21"/>
      <c r="NMN10" s="21"/>
      <c r="NMO10" s="21"/>
      <c r="NMP10" s="21"/>
      <c r="NMQ10" s="21"/>
      <c r="NMR10" s="21"/>
      <c r="NMS10" s="21"/>
      <c r="NMT10" s="21"/>
      <c r="NMU10" s="21"/>
      <c r="NMV10" s="21"/>
      <c r="NMW10" s="21"/>
      <c r="NMX10" s="21"/>
      <c r="NMY10" s="21"/>
      <c r="NMZ10" s="21"/>
      <c r="NNA10" s="21"/>
      <c r="NNB10" s="21"/>
      <c r="NNC10" s="21"/>
      <c r="NND10" s="21"/>
      <c r="NNE10" s="21"/>
      <c r="NNF10" s="21"/>
      <c r="NNG10" s="21"/>
      <c r="NNH10" s="21"/>
      <c r="NNI10" s="21"/>
      <c r="NNJ10" s="21"/>
      <c r="NNK10" s="21"/>
      <c r="NNL10" s="21"/>
      <c r="NNM10" s="21"/>
      <c r="NNN10" s="21"/>
      <c r="NNO10" s="21"/>
      <c r="NNP10" s="21"/>
      <c r="NNQ10" s="21"/>
      <c r="NNR10" s="21"/>
      <c r="NNS10" s="21"/>
      <c r="NNT10" s="21"/>
      <c r="NNU10" s="21"/>
      <c r="NNV10" s="21"/>
      <c r="NNW10" s="21"/>
      <c r="NNX10" s="21"/>
      <c r="NNY10" s="21"/>
      <c r="NNZ10" s="21"/>
      <c r="NOA10" s="21"/>
      <c r="NOB10" s="21"/>
      <c r="NOC10" s="21"/>
      <c r="NOD10" s="21"/>
      <c r="NOE10" s="21"/>
      <c r="NOF10" s="21"/>
      <c r="NOG10" s="21"/>
      <c r="NOH10" s="21"/>
      <c r="NOI10" s="21"/>
      <c r="NOJ10" s="21"/>
      <c r="NOK10" s="21"/>
      <c r="NOL10" s="21"/>
      <c r="NOM10" s="21"/>
      <c r="NON10" s="21"/>
      <c r="NOO10" s="21"/>
      <c r="NOP10" s="21"/>
      <c r="NOQ10" s="21"/>
      <c r="NOR10" s="21"/>
      <c r="NOS10" s="21"/>
      <c r="NOT10" s="21"/>
      <c r="NOU10" s="21"/>
      <c r="NOV10" s="21"/>
      <c r="NOW10" s="21"/>
      <c r="NOX10" s="21"/>
      <c r="NOY10" s="21"/>
      <c r="NOZ10" s="21"/>
      <c r="NPA10" s="21"/>
      <c r="NPB10" s="21"/>
      <c r="NPC10" s="21"/>
      <c r="NPD10" s="21"/>
      <c r="NPE10" s="21"/>
      <c r="NPF10" s="21"/>
      <c r="NPG10" s="21"/>
      <c r="NPH10" s="21"/>
      <c r="NPI10" s="21"/>
      <c r="NPJ10" s="21"/>
      <c r="NPK10" s="21"/>
      <c r="NPL10" s="21"/>
      <c r="NPM10" s="21"/>
      <c r="NPN10" s="21"/>
      <c r="NPO10" s="21"/>
      <c r="NPP10" s="21"/>
      <c r="NPQ10" s="21"/>
      <c r="NPR10" s="21"/>
      <c r="NPS10" s="21"/>
      <c r="NPT10" s="21"/>
      <c r="NPU10" s="21"/>
      <c r="NPV10" s="21"/>
      <c r="NPW10" s="21"/>
      <c r="NPX10" s="21"/>
      <c r="NPY10" s="21"/>
      <c r="NPZ10" s="21"/>
      <c r="NQA10" s="21"/>
      <c r="NQB10" s="21"/>
      <c r="NQC10" s="21"/>
      <c r="NQD10" s="21"/>
      <c r="NQE10" s="21"/>
      <c r="NQF10" s="21"/>
      <c r="NQG10" s="21"/>
      <c r="NQH10" s="21"/>
      <c r="NQI10" s="21"/>
      <c r="NQJ10" s="21"/>
      <c r="NQK10" s="21"/>
      <c r="NQL10" s="21"/>
      <c r="NQM10" s="21"/>
      <c r="NQN10" s="21"/>
      <c r="NQO10" s="21"/>
      <c r="NQP10" s="21"/>
      <c r="NQQ10" s="21"/>
      <c r="NQR10" s="21"/>
      <c r="NQS10" s="21"/>
      <c r="NQT10" s="21"/>
      <c r="NQU10" s="21"/>
      <c r="NQV10" s="21"/>
      <c r="NQW10" s="21"/>
      <c r="NQX10" s="21"/>
      <c r="NQY10" s="21"/>
      <c r="NQZ10" s="21"/>
      <c r="NRA10" s="21"/>
      <c r="NRB10" s="21"/>
      <c r="NRC10" s="21"/>
      <c r="NRD10" s="21"/>
      <c r="NRE10" s="21"/>
      <c r="NRF10" s="21"/>
      <c r="NRG10" s="21"/>
      <c r="NRH10" s="21"/>
      <c r="NRI10" s="21"/>
      <c r="NRJ10" s="21"/>
      <c r="NRK10" s="21"/>
      <c r="NRL10" s="21"/>
      <c r="NRM10" s="21"/>
      <c r="NRN10" s="21"/>
      <c r="NRO10" s="21"/>
      <c r="NRP10" s="21"/>
      <c r="NRQ10" s="21"/>
      <c r="NRR10" s="21"/>
      <c r="NRS10" s="21"/>
      <c r="NRT10" s="21"/>
      <c r="NRU10" s="21"/>
      <c r="NRV10" s="21"/>
      <c r="NRW10" s="21"/>
      <c r="NRX10" s="21"/>
      <c r="NRY10" s="21"/>
      <c r="NRZ10" s="21"/>
      <c r="NSA10" s="21"/>
      <c r="NSB10" s="21"/>
      <c r="NSC10" s="21"/>
      <c r="NSD10" s="21"/>
      <c r="NSE10" s="21"/>
      <c r="NSF10" s="21"/>
      <c r="NSG10" s="21"/>
      <c r="NSH10" s="21"/>
      <c r="NSI10" s="21"/>
      <c r="NSJ10" s="21"/>
      <c r="NSK10" s="21"/>
      <c r="NSL10" s="21"/>
      <c r="NSM10" s="21"/>
      <c r="NSN10" s="21"/>
      <c r="NSO10" s="21"/>
      <c r="NSP10" s="21"/>
      <c r="NSQ10" s="21"/>
      <c r="NSR10" s="21"/>
      <c r="NSS10" s="21"/>
      <c r="NST10" s="21"/>
      <c r="NSU10" s="21"/>
      <c r="NSV10" s="21"/>
      <c r="NSW10" s="21"/>
      <c r="NSX10" s="21"/>
      <c r="NSY10" s="21"/>
      <c r="NSZ10" s="21"/>
      <c r="NTA10" s="21"/>
      <c r="NTB10" s="21"/>
      <c r="NTC10" s="21"/>
      <c r="NTD10" s="21"/>
      <c r="NTE10" s="21"/>
      <c r="NTF10" s="21"/>
      <c r="NTG10" s="21"/>
      <c r="NTH10" s="21"/>
      <c r="NTI10" s="21"/>
      <c r="NTJ10" s="21"/>
      <c r="NTK10" s="21"/>
      <c r="NTL10" s="21"/>
      <c r="NTM10" s="21"/>
      <c r="NTN10" s="21"/>
      <c r="NTO10" s="21"/>
      <c r="NTP10" s="21"/>
      <c r="NTQ10" s="21"/>
      <c r="NTR10" s="21"/>
      <c r="NTS10" s="21"/>
      <c r="NTT10" s="21"/>
      <c r="NTU10" s="21"/>
      <c r="NTV10" s="21"/>
      <c r="NTW10" s="21"/>
      <c r="NTX10" s="21"/>
      <c r="NTY10" s="21"/>
      <c r="NTZ10" s="21"/>
      <c r="NUA10" s="21"/>
      <c r="NUB10" s="21"/>
      <c r="NUC10" s="21"/>
      <c r="NUD10" s="21"/>
      <c r="NUE10" s="21"/>
      <c r="NUF10" s="21"/>
      <c r="NUG10" s="21"/>
      <c r="NUH10" s="21"/>
      <c r="NUI10" s="21"/>
      <c r="NUJ10" s="21"/>
      <c r="NUK10" s="21"/>
      <c r="NUL10" s="21"/>
      <c r="NUM10" s="21"/>
      <c r="NUN10" s="21"/>
      <c r="NUO10" s="21"/>
      <c r="NUP10" s="21"/>
      <c r="NUQ10" s="21"/>
      <c r="NUR10" s="21"/>
      <c r="NUS10" s="21"/>
      <c r="NUT10" s="21"/>
      <c r="NUU10" s="21"/>
      <c r="NUV10" s="21"/>
      <c r="NUW10" s="21"/>
      <c r="NUX10" s="21"/>
      <c r="NUY10" s="21"/>
      <c r="NUZ10" s="21"/>
      <c r="NVA10" s="21"/>
      <c r="NVB10" s="21"/>
      <c r="NVC10" s="21"/>
      <c r="NVD10" s="21"/>
      <c r="NVE10" s="21"/>
      <c r="NVF10" s="21"/>
      <c r="NVG10" s="21"/>
      <c r="NVH10" s="21"/>
      <c r="NVI10" s="21"/>
      <c r="NVJ10" s="21"/>
      <c r="NVK10" s="21"/>
      <c r="NVL10" s="21"/>
      <c r="NVM10" s="21"/>
      <c r="NVN10" s="21"/>
      <c r="NVO10" s="21"/>
      <c r="NVP10" s="21"/>
      <c r="NVQ10" s="21"/>
      <c r="NVR10" s="21"/>
      <c r="NVS10" s="21"/>
      <c r="NVT10" s="21"/>
      <c r="NVU10" s="21"/>
      <c r="NVV10" s="21"/>
      <c r="NVW10" s="21"/>
      <c r="NVX10" s="21"/>
      <c r="NVY10" s="21"/>
      <c r="NVZ10" s="21"/>
      <c r="NWA10" s="21"/>
      <c r="NWB10" s="21"/>
      <c r="NWC10" s="21"/>
      <c r="NWD10" s="21"/>
      <c r="NWE10" s="21"/>
      <c r="NWF10" s="21"/>
      <c r="NWG10" s="21"/>
      <c r="NWH10" s="21"/>
      <c r="NWI10" s="21"/>
      <c r="NWJ10" s="21"/>
      <c r="NWK10" s="21"/>
      <c r="NWL10" s="21"/>
      <c r="NWM10" s="21"/>
      <c r="NWN10" s="21"/>
      <c r="NWO10" s="21"/>
      <c r="NWP10" s="21"/>
      <c r="NWQ10" s="21"/>
      <c r="NWR10" s="21"/>
      <c r="NWS10" s="21"/>
      <c r="NWT10" s="21"/>
      <c r="NWU10" s="21"/>
      <c r="NWV10" s="21"/>
      <c r="NWW10" s="21"/>
      <c r="NWX10" s="21"/>
      <c r="NWY10" s="21"/>
      <c r="NWZ10" s="21"/>
      <c r="NXA10" s="21"/>
      <c r="NXB10" s="21"/>
      <c r="NXC10" s="21"/>
      <c r="NXD10" s="21"/>
      <c r="NXE10" s="21"/>
      <c r="NXF10" s="21"/>
      <c r="NXG10" s="21"/>
      <c r="NXH10" s="21"/>
      <c r="NXI10" s="21"/>
      <c r="NXJ10" s="21"/>
      <c r="NXK10" s="21"/>
      <c r="NXL10" s="21"/>
      <c r="NXM10" s="21"/>
      <c r="NXN10" s="21"/>
      <c r="NXO10" s="21"/>
      <c r="NXP10" s="21"/>
      <c r="NXQ10" s="21"/>
      <c r="NXR10" s="21"/>
      <c r="NXS10" s="21"/>
      <c r="NXT10" s="21"/>
      <c r="NXU10" s="21"/>
      <c r="NXV10" s="21"/>
      <c r="NXW10" s="21"/>
      <c r="NXX10" s="21"/>
      <c r="NXY10" s="21"/>
      <c r="NXZ10" s="21"/>
      <c r="NYA10" s="21"/>
      <c r="NYB10" s="21"/>
      <c r="NYC10" s="21"/>
      <c r="NYD10" s="21"/>
      <c r="NYE10" s="21"/>
      <c r="NYF10" s="21"/>
      <c r="NYG10" s="21"/>
      <c r="NYH10" s="21"/>
      <c r="NYI10" s="21"/>
      <c r="NYJ10" s="21"/>
      <c r="NYK10" s="21"/>
      <c r="NYL10" s="21"/>
      <c r="NYM10" s="21"/>
      <c r="NYN10" s="21"/>
      <c r="NYO10" s="21"/>
      <c r="NYP10" s="21"/>
      <c r="NYQ10" s="21"/>
      <c r="NYR10" s="21"/>
      <c r="NYS10" s="21"/>
      <c r="NYT10" s="21"/>
      <c r="NYU10" s="21"/>
      <c r="NYV10" s="21"/>
      <c r="NYW10" s="21"/>
      <c r="NYX10" s="21"/>
      <c r="NYY10" s="21"/>
      <c r="NYZ10" s="21"/>
      <c r="NZA10" s="21"/>
      <c r="NZB10" s="21"/>
      <c r="NZC10" s="21"/>
      <c r="NZD10" s="21"/>
      <c r="NZE10" s="21"/>
      <c r="NZF10" s="21"/>
      <c r="NZG10" s="21"/>
      <c r="NZH10" s="21"/>
      <c r="NZI10" s="21"/>
      <c r="NZJ10" s="21"/>
      <c r="NZK10" s="21"/>
      <c r="NZL10" s="21"/>
      <c r="NZM10" s="21"/>
      <c r="NZN10" s="21"/>
      <c r="NZO10" s="21"/>
      <c r="NZP10" s="21"/>
      <c r="NZQ10" s="21"/>
      <c r="NZR10" s="21"/>
      <c r="NZS10" s="21"/>
      <c r="NZT10" s="21"/>
      <c r="NZU10" s="21"/>
      <c r="NZV10" s="21"/>
      <c r="NZW10" s="21"/>
      <c r="NZX10" s="21"/>
      <c r="NZY10" s="21"/>
      <c r="NZZ10" s="21"/>
      <c r="OAA10" s="21"/>
      <c r="OAB10" s="21"/>
      <c r="OAC10" s="21"/>
      <c r="OAD10" s="21"/>
      <c r="OAE10" s="21"/>
      <c r="OAF10" s="21"/>
      <c r="OAG10" s="21"/>
      <c r="OAH10" s="21"/>
      <c r="OAI10" s="21"/>
      <c r="OAJ10" s="21"/>
      <c r="OAK10" s="21"/>
      <c r="OAL10" s="21"/>
      <c r="OAM10" s="21"/>
      <c r="OAN10" s="21"/>
      <c r="OAO10" s="21"/>
      <c r="OAP10" s="21"/>
      <c r="OAQ10" s="21"/>
      <c r="OAR10" s="21"/>
      <c r="OAS10" s="21"/>
      <c r="OAT10" s="21"/>
      <c r="OAU10" s="21"/>
      <c r="OAV10" s="21"/>
      <c r="OAW10" s="21"/>
      <c r="OAX10" s="21"/>
      <c r="OAY10" s="21"/>
      <c r="OAZ10" s="21"/>
      <c r="OBA10" s="21"/>
      <c r="OBB10" s="21"/>
      <c r="OBC10" s="21"/>
      <c r="OBD10" s="21"/>
      <c r="OBE10" s="21"/>
      <c r="OBF10" s="21"/>
      <c r="OBG10" s="21"/>
      <c r="OBH10" s="21"/>
      <c r="OBI10" s="21"/>
      <c r="OBJ10" s="21"/>
      <c r="OBK10" s="21"/>
      <c r="OBL10" s="21"/>
      <c r="OBM10" s="21"/>
      <c r="OBN10" s="21"/>
      <c r="OBO10" s="21"/>
      <c r="OBP10" s="21"/>
      <c r="OBQ10" s="21"/>
      <c r="OBR10" s="21"/>
      <c r="OBS10" s="21"/>
      <c r="OBT10" s="21"/>
      <c r="OBU10" s="21"/>
      <c r="OBV10" s="21"/>
      <c r="OBW10" s="21"/>
      <c r="OBX10" s="21"/>
      <c r="OBY10" s="21"/>
      <c r="OBZ10" s="21"/>
      <c r="OCA10" s="21"/>
      <c r="OCB10" s="21"/>
      <c r="OCC10" s="21"/>
      <c r="OCD10" s="21"/>
      <c r="OCE10" s="21"/>
      <c r="OCF10" s="21"/>
      <c r="OCG10" s="21"/>
      <c r="OCH10" s="21"/>
      <c r="OCI10" s="21"/>
      <c r="OCJ10" s="21"/>
      <c r="OCK10" s="21"/>
      <c r="OCL10" s="21"/>
      <c r="OCM10" s="21"/>
      <c r="OCN10" s="21"/>
      <c r="OCO10" s="21"/>
      <c r="OCP10" s="21"/>
      <c r="OCQ10" s="21"/>
      <c r="OCR10" s="21"/>
      <c r="OCS10" s="21"/>
      <c r="OCT10" s="21"/>
      <c r="OCU10" s="21"/>
      <c r="OCV10" s="21"/>
      <c r="OCW10" s="21"/>
      <c r="OCX10" s="21"/>
      <c r="OCY10" s="21"/>
      <c r="OCZ10" s="21"/>
      <c r="ODA10" s="21"/>
      <c r="ODB10" s="21"/>
      <c r="ODC10" s="21"/>
      <c r="ODD10" s="21"/>
      <c r="ODE10" s="21"/>
      <c r="ODF10" s="21"/>
      <c r="ODG10" s="21"/>
      <c r="ODH10" s="21"/>
      <c r="ODI10" s="21"/>
      <c r="ODJ10" s="21"/>
      <c r="ODK10" s="21"/>
      <c r="ODL10" s="21"/>
      <c r="ODM10" s="21"/>
      <c r="ODN10" s="21"/>
      <c r="ODO10" s="21"/>
      <c r="ODP10" s="21"/>
      <c r="ODQ10" s="21"/>
      <c r="ODR10" s="21"/>
      <c r="ODS10" s="21"/>
      <c r="ODT10" s="21"/>
      <c r="ODU10" s="21"/>
      <c r="ODV10" s="21"/>
      <c r="ODW10" s="21"/>
      <c r="ODX10" s="21"/>
      <c r="ODY10" s="21"/>
      <c r="ODZ10" s="21"/>
      <c r="OEA10" s="21"/>
      <c r="OEB10" s="21"/>
      <c r="OEC10" s="21"/>
      <c r="OED10" s="21"/>
      <c r="OEE10" s="21"/>
      <c r="OEF10" s="21"/>
      <c r="OEG10" s="21"/>
      <c r="OEH10" s="21"/>
      <c r="OEI10" s="21"/>
      <c r="OEJ10" s="21"/>
      <c r="OEK10" s="21"/>
      <c r="OEL10" s="21"/>
      <c r="OEM10" s="21"/>
      <c r="OEN10" s="21"/>
      <c r="OEO10" s="21"/>
      <c r="OEP10" s="21"/>
      <c r="OEQ10" s="21"/>
      <c r="OER10" s="21"/>
      <c r="OES10" s="21"/>
      <c r="OET10" s="21"/>
      <c r="OEU10" s="21"/>
      <c r="OEV10" s="21"/>
      <c r="OEW10" s="21"/>
      <c r="OEX10" s="21"/>
      <c r="OEY10" s="21"/>
      <c r="OEZ10" s="21"/>
      <c r="OFA10" s="21"/>
      <c r="OFB10" s="21"/>
      <c r="OFC10" s="21"/>
      <c r="OFD10" s="21"/>
      <c r="OFE10" s="21"/>
      <c r="OFF10" s="21"/>
      <c r="OFG10" s="21"/>
      <c r="OFH10" s="21"/>
      <c r="OFI10" s="21"/>
      <c r="OFJ10" s="21"/>
      <c r="OFK10" s="21"/>
      <c r="OFL10" s="21"/>
      <c r="OFM10" s="21"/>
      <c r="OFN10" s="21"/>
      <c r="OFO10" s="21"/>
      <c r="OFP10" s="21"/>
      <c r="OFQ10" s="21"/>
      <c r="OFR10" s="21"/>
      <c r="OFS10" s="21"/>
      <c r="OFT10" s="21"/>
      <c r="OFU10" s="21"/>
      <c r="OFV10" s="21"/>
      <c r="OFW10" s="21"/>
      <c r="OFX10" s="21"/>
      <c r="OFY10" s="21"/>
      <c r="OFZ10" s="21"/>
      <c r="OGA10" s="21"/>
      <c r="OGB10" s="21"/>
      <c r="OGC10" s="21"/>
      <c r="OGD10" s="21"/>
      <c r="OGE10" s="21"/>
      <c r="OGF10" s="21"/>
      <c r="OGG10" s="21"/>
      <c r="OGH10" s="21"/>
      <c r="OGI10" s="21"/>
      <c r="OGJ10" s="21"/>
      <c r="OGK10" s="21"/>
      <c r="OGL10" s="21"/>
      <c r="OGM10" s="21"/>
      <c r="OGN10" s="21"/>
      <c r="OGO10" s="21"/>
      <c r="OGP10" s="21"/>
      <c r="OGQ10" s="21"/>
      <c r="OGR10" s="21"/>
      <c r="OGS10" s="21"/>
      <c r="OGT10" s="21"/>
      <c r="OGU10" s="21"/>
      <c r="OGV10" s="21"/>
      <c r="OGW10" s="21"/>
      <c r="OGX10" s="21"/>
      <c r="OGY10" s="21"/>
      <c r="OGZ10" s="21"/>
      <c r="OHA10" s="21"/>
      <c r="OHB10" s="21"/>
      <c r="OHC10" s="21"/>
      <c r="OHD10" s="21"/>
      <c r="OHE10" s="21"/>
      <c r="OHF10" s="21"/>
      <c r="OHG10" s="21"/>
      <c r="OHH10" s="21"/>
      <c r="OHI10" s="21"/>
      <c r="OHJ10" s="21"/>
      <c r="OHK10" s="21"/>
      <c r="OHL10" s="21"/>
      <c r="OHM10" s="21"/>
      <c r="OHN10" s="21"/>
      <c r="OHO10" s="21"/>
      <c r="OHP10" s="21"/>
      <c r="OHQ10" s="21"/>
      <c r="OHR10" s="21"/>
      <c r="OHS10" s="21"/>
      <c r="OHT10" s="21"/>
      <c r="OHU10" s="21"/>
      <c r="OHV10" s="21"/>
      <c r="OHW10" s="21"/>
      <c r="OHX10" s="21"/>
      <c r="OHY10" s="21"/>
      <c r="OHZ10" s="21"/>
      <c r="OIA10" s="21"/>
      <c r="OIB10" s="21"/>
      <c r="OIC10" s="21"/>
      <c r="OID10" s="21"/>
      <c r="OIE10" s="21"/>
      <c r="OIF10" s="21"/>
      <c r="OIG10" s="21"/>
      <c r="OIH10" s="21"/>
      <c r="OII10" s="21"/>
      <c r="OIJ10" s="21"/>
      <c r="OIK10" s="21"/>
      <c r="OIL10" s="21"/>
      <c r="OIM10" s="21"/>
      <c r="OIN10" s="21"/>
      <c r="OIO10" s="21"/>
      <c r="OIP10" s="21"/>
      <c r="OIQ10" s="21"/>
      <c r="OIR10" s="21"/>
      <c r="OIS10" s="21"/>
      <c r="OIT10" s="21"/>
      <c r="OIU10" s="21"/>
      <c r="OIV10" s="21"/>
      <c r="OIW10" s="21"/>
      <c r="OIX10" s="21"/>
      <c r="OIY10" s="21"/>
      <c r="OIZ10" s="21"/>
      <c r="OJA10" s="21"/>
      <c r="OJB10" s="21"/>
      <c r="OJC10" s="21"/>
      <c r="OJD10" s="21"/>
      <c r="OJE10" s="21"/>
      <c r="OJF10" s="21"/>
      <c r="OJG10" s="21"/>
      <c r="OJH10" s="21"/>
      <c r="OJI10" s="21"/>
      <c r="OJJ10" s="21"/>
      <c r="OJK10" s="21"/>
      <c r="OJL10" s="21"/>
      <c r="OJM10" s="21"/>
      <c r="OJN10" s="21"/>
      <c r="OJO10" s="21"/>
      <c r="OJP10" s="21"/>
      <c r="OJQ10" s="21"/>
      <c r="OJR10" s="21"/>
      <c r="OJS10" s="21"/>
      <c r="OJT10" s="21"/>
      <c r="OJU10" s="21"/>
      <c r="OJV10" s="21"/>
      <c r="OJW10" s="21"/>
      <c r="OJX10" s="21"/>
      <c r="OJY10" s="21"/>
      <c r="OJZ10" s="21"/>
      <c r="OKA10" s="21"/>
      <c r="OKB10" s="21"/>
      <c r="OKC10" s="21"/>
      <c r="OKD10" s="21"/>
      <c r="OKE10" s="21"/>
      <c r="OKF10" s="21"/>
      <c r="OKG10" s="21"/>
      <c r="OKH10" s="21"/>
      <c r="OKI10" s="21"/>
      <c r="OKJ10" s="21"/>
      <c r="OKK10" s="21"/>
      <c r="OKL10" s="21"/>
      <c r="OKM10" s="21"/>
      <c r="OKN10" s="21"/>
      <c r="OKO10" s="21"/>
      <c r="OKP10" s="21"/>
      <c r="OKQ10" s="21"/>
      <c r="OKR10" s="21"/>
      <c r="OKS10" s="21"/>
      <c r="OKT10" s="21"/>
      <c r="OKU10" s="21"/>
      <c r="OKV10" s="21"/>
      <c r="OKW10" s="21"/>
      <c r="OKX10" s="21"/>
      <c r="OKY10" s="21"/>
      <c r="OKZ10" s="21"/>
      <c r="OLA10" s="21"/>
      <c r="OLB10" s="21"/>
      <c r="OLC10" s="21"/>
      <c r="OLD10" s="21"/>
      <c r="OLE10" s="21"/>
      <c r="OLF10" s="21"/>
      <c r="OLG10" s="21"/>
      <c r="OLH10" s="21"/>
      <c r="OLI10" s="21"/>
      <c r="OLJ10" s="21"/>
      <c r="OLK10" s="21"/>
      <c r="OLL10" s="21"/>
      <c r="OLM10" s="21"/>
      <c r="OLN10" s="21"/>
      <c r="OLO10" s="21"/>
      <c r="OLP10" s="21"/>
      <c r="OLQ10" s="21"/>
      <c r="OLR10" s="21"/>
      <c r="OLS10" s="21"/>
      <c r="OLT10" s="21"/>
      <c r="OLU10" s="21"/>
      <c r="OLV10" s="21"/>
      <c r="OLW10" s="21"/>
      <c r="OLX10" s="21"/>
      <c r="OLY10" s="21"/>
      <c r="OLZ10" s="21"/>
      <c r="OMA10" s="21"/>
      <c r="OMB10" s="21"/>
      <c r="OMC10" s="21"/>
      <c r="OMD10" s="21"/>
      <c r="OME10" s="21"/>
      <c r="OMF10" s="21"/>
      <c r="OMG10" s="21"/>
      <c r="OMH10" s="21"/>
      <c r="OMI10" s="21"/>
      <c r="OMJ10" s="21"/>
      <c r="OMK10" s="21"/>
      <c r="OML10" s="21"/>
      <c r="OMM10" s="21"/>
      <c r="OMN10" s="21"/>
      <c r="OMO10" s="21"/>
      <c r="OMP10" s="21"/>
      <c r="OMQ10" s="21"/>
      <c r="OMR10" s="21"/>
      <c r="OMS10" s="21"/>
      <c r="OMT10" s="21"/>
      <c r="OMU10" s="21"/>
      <c r="OMV10" s="21"/>
      <c r="OMW10" s="21"/>
      <c r="OMX10" s="21"/>
      <c r="OMY10" s="21"/>
      <c r="OMZ10" s="21"/>
      <c r="ONA10" s="21"/>
      <c r="ONB10" s="21"/>
      <c r="ONC10" s="21"/>
      <c r="OND10" s="21"/>
      <c r="ONE10" s="21"/>
      <c r="ONF10" s="21"/>
      <c r="ONG10" s="21"/>
      <c r="ONH10" s="21"/>
      <c r="ONI10" s="21"/>
      <c r="ONJ10" s="21"/>
      <c r="ONK10" s="21"/>
      <c r="ONL10" s="21"/>
      <c r="ONM10" s="21"/>
      <c r="ONN10" s="21"/>
      <c r="ONO10" s="21"/>
      <c r="ONP10" s="21"/>
      <c r="ONQ10" s="21"/>
      <c r="ONR10" s="21"/>
      <c r="ONS10" s="21"/>
      <c r="ONT10" s="21"/>
      <c r="ONU10" s="21"/>
      <c r="ONV10" s="21"/>
      <c r="ONW10" s="21"/>
      <c r="ONX10" s="21"/>
      <c r="ONY10" s="21"/>
      <c r="ONZ10" s="21"/>
      <c r="OOA10" s="21"/>
      <c r="OOB10" s="21"/>
      <c r="OOC10" s="21"/>
      <c r="OOD10" s="21"/>
      <c r="OOE10" s="21"/>
      <c r="OOF10" s="21"/>
      <c r="OOG10" s="21"/>
      <c r="OOH10" s="21"/>
      <c r="OOI10" s="21"/>
      <c r="OOJ10" s="21"/>
      <c r="OOK10" s="21"/>
      <c r="OOL10" s="21"/>
      <c r="OOM10" s="21"/>
      <c r="OON10" s="21"/>
      <c r="OOO10" s="21"/>
      <c r="OOP10" s="21"/>
      <c r="OOQ10" s="21"/>
      <c r="OOR10" s="21"/>
      <c r="OOS10" s="21"/>
      <c r="OOT10" s="21"/>
      <c r="OOU10" s="21"/>
      <c r="OOV10" s="21"/>
      <c r="OOW10" s="21"/>
      <c r="OOX10" s="21"/>
      <c r="OOY10" s="21"/>
      <c r="OOZ10" s="21"/>
      <c r="OPA10" s="21"/>
      <c r="OPB10" s="21"/>
      <c r="OPC10" s="21"/>
      <c r="OPD10" s="21"/>
      <c r="OPE10" s="21"/>
      <c r="OPF10" s="21"/>
      <c r="OPG10" s="21"/>
      <c r="OPH10" s="21"/>
      <c r="OPI10" s="21"/>
      <c r="OPJ10" s="21"/>
      <c r="OPK10" s="21"/>
      <c r="OPL10" s="21"/>
      <c r="OPM10" s="21"/>
      <c r="OPN10" s="21"/>
      <c r="OPO10" s="21"/>
      <c r="OPP10" s="21"/>
      <c r="OPQ10" s="21"/>
      <c r="OPR10" s="21"/>
      <c r="OPS10" s="21"/>
      <c r="OPT10" s="21"/>
      <c r="OPU10" s="21"/>
      <c r="OPV10" s="21"/>
      <c r="OPW10" s="21"/>
      <c r="OPX10" s="21"/>
      <c r="OPY10" s="21"/>
      <c r="OPZ10" s="21"/>
      <c r="OQA10" s="21"/>
      <c r="OQB10" s="21"/>
      <c r="OQC10" s="21"/>
      <c r="OQD10" s="21"/>
      <c r="OQE10" s="21"/>
      <c r="OQF10" s="21"/>
      <c r="OQG10" s="21"/>
      <c r="OQH10" s="21"/>
      <c r="OQI10" s="21"/>
      <c r="OQJ10" s="21"/>
      <c r="OQK10" s="21"/>
      <c r="OQL10" s="21"/>
      <c r="OQM10" s="21"/>
      <c r="OQN10" s="21"/>
      <c r="OQO10" s="21"/>
      <c r="OQP10" s="21"/>
      <c r="OQQ10" s="21"/>
      <c r="OQR10" s="21"/>
      <c r="OQS10" s="21"/>
      <c r="OQT10" s="21"/>
      <c r="OQU10" s="21"/>
      <c r="OQV10" s="21"/>
      <c r="OQW10" s="21"/>
      <c r="OQX10" s="21"/>
      <c r="OQY10" s="21"/>
      <c r="OQZ10" s="21"/>
      <c r="ORA10" s="21"/>
      <c r="ORB10" s="21"/>
      <c r="ORC10" s="21"/>
      <c r="ORD10" s="21"/>
      <c r="ORE10" s="21"/>
      <c r="ORF10" s="21"/>
      <c r="ORG10" s="21"/>
      <c r="ORH10" s="21"/>
      <c r="ORI10" s="21"/>
      <c r="ORJ10" s="21"/>
      <c r="ORK10" s="21"/>
      <c r="ORL10" s="21"/>
      <c r="ORM10" s="21"/>
      <c r="ORN10" s="21"/>
      <c r="ORO10" s="21"/>
      <c r="ORP10" s="21"/>
      <c r="ORQ10" s="21"/>
      <c r="ORR10" s="21"/>
      <c r="ORS10" s="21"/>
      <c r="ORT10" s="21"/>
      <c r="ORU10" s="21"/>
      <c r="ORV10" s="21"/>
      <c r="ORW10" s="21"/>
      <c r="ORX10" s="21"/>
      <c r="ORY10" s="21"/>
      <c r="ORZ10" s="21"/>
      <c r="OSA10" s="21"/>
      <c r="OSB10" s="21"/>
      <c r="OSC10" s="21"/>
      <c r="OSD10" s="21"/>
      <c r="OSE10" s="21"/>
      <c r="OSF10" s="21"/>
      <c r="OSG10" s="21"/>
      <c r="OSH10" s="21"/>
      <c r="OSI10" s="21"/>
      <c r="OSJ10" s="21"/>
      <c r="OSK10" s="21"/>
      <c r="OSL10" s="21"/>
      <c r="OSM10" s="21"/>
      <c r="OSN10" s="21"/>
      <c r="OSO10" s="21"/>
      <c r="OSP10" s="21"/>
      <c r="OSQ10" s="21"/>
      <c r="OSR10" s="21"/>
      <c r="OSS10" s="21"/>
      <c r="OST10" s="21"/>
      <c r="OSU10" s="21"/>
      <c r="OSV10" s="21"/>
      <c r="OSW10" s="21"/>
      <c r="OSX10" s="21"/>
      <c r="OSY10" s="21"/>
      <c r="OSZ10" s="21"/>
      <c r="OTA10" s="21"/>
      <c r="OTB10" s="21"/>
      <c r="OTC10" s="21"/>
      <c r="OTD10" s="21"/>
      <c r="OTE10" s="21"/>
      <c r="OTF10" s="21"/>
      <c r="OTG10" s="21"/>
      <c r="OTH10" s="21"/>
      <c r="OTI10" s="21"/>
      <c r="OTJ10" s="21"/>
      <c r="OTK10" s="21"/>
      <c r="OTL10" s="21"/>
      <c r="OTM10" s="21"/>
      <c r="OTN10" s="21"/>
      <c r="OTO10" s="21"/>
      <c r="OTP10" s="21"/>
      <c r="OTQ10" s="21"/>
      <c r="OTR10" s="21"/>
      <c r="OTS10" s="21"/>
      <c r="OTT10" s="21"/>
      <c r="OTU10" s="21"/>
      <c r="OTV10" s="21"/>
      <c r="OTW10" s="21"/>
      <c r="OTX10" s="21"/>
      <c r="OTY10" s="21"/>
      <c r="OTZ10" s="21"/>
      <c r="OUA10" s="21"/>
      <c r="OUB10" s="21"/>
      <c r="OUC10" s="21"/>
      <c r="OUD10" s="21"/>
      <c r="OUE10" s="21"/>
      <c r="OUF10" s="21"/>
      <c r="OUG10" s="21"/>
      <c r="OUH10" s="21"/>
      <c r="OUI10" s="21"/>
      <c r="OUJ10" s="21"/>
      <c r="OUK10" s="21"/>
      <c r="OUL10" s="21"/>
      <c r="OUM10" s="21"/>
      <c r="OUN10" s="21"/>
      <c r="OUO10" s="21"/>
      <c r="OUP10" s="21"/>
      <c r="OUQ10" s="21"/>
      <c r="OUR10" s="21"/>
      <c r="OUS10" s="21"/>
      <c r="OUT10" s="21"/>
      <c r="OUU10" s="21"/>
      <c r="OUV10" s="21"/>
      <c r="OUW10" s="21"/>
      <c r="OUX10" s="21"/>
      <c r="OUY10" s="21"/>
      <c r="OUZ10" s="21"/>
      <c r="OVA10" s="21"/>
      <c r="OVB10" s="21"/>
      <c r="OVC10" s="21"/>
      <c r="OVD10" s="21"/>
      <c r="OVE10" s="21"/>
      <c r="OVF10" s="21"/>
      <c r="OVG10" s="21"/>
      <c r="OVH10" s="21"/>
      <c r="OVI10" s="21"/>
      <c r="OVJ10" s="21"/>
      <c r="OVK10" s="21"/>
      <c r="OVL10" s="21"/>
      <c r="OVM10" s="21"/>
      <c r="OVN10" s="21"/>
      <c r="OVO10" s="21"/>
      <c r="OVP10" s="21"/>
      <c r="OVQ10" s="21"/>
      <c r="OVR10" s="21"/>
      <c r="OVS10" s="21"/>
      <c r="OVT10" s="21"/>
      <c r="OVU10" s="21"/>
      <c r="OVV10" s="21"/>
      <c r="OVW10" s="21"/>
      <c r="OVX10" s="21"/>
      <c r="OVY10" s="21"/>
      <c r="OVZ10" s="21"/>
      <c r="OWA10" s="21"/>
      <c r="OWB10" s="21"/>
      <c r="OWC10" s="21"/>
      <c r="OWD10" s="21"/>
      <c r="OWE10" s="21"/>
      <c r="OWF10" s="21"/>
      <c r="OWG10" s="21"/>
      <c r="OWH10" s="21"/>
      <c r="OWI10" s="21"/>
      <c r="OWJ10" s="21"/>
      <c r="OWK10" s="21"/>
      <c r="OWL10" s="21"/>
      <c r="OWM10" s="21"/>
      <c r="OWN10" s="21"/>
      <c r="OWO10" s="21"/>
      <c r="OWP10" s="21"/>
      <c r="OWQ10" s="21"/>
      <c r="OWR10" s="21"/>
      <c r="OWS10" s="21"/>
      <c r="OWT10" s="21"/>
      <c r="OWU10" s="21"/>
      <c r="OWV10" s="21"/>
      <c r="OWW10" s="21"/>
      <c r="OWX10" s="21"/>
      <c r="OWY10" s="21"/>
      <c r="OWZ10" s="21"/>
      <c r="OXA10" s="21"/>
      <c r="OXB10" s="21"/>
      <c r="OXC10" s="21"/>
      <c r="OXD10" s="21"/>
      <c r="OXE10" s="21"/>
      <c r="OXF10" s="21"/>
      <c r="OXG10" s="21"/>
      <c r="OXH10" s="21"/>
      <c r="OXI10" s="21"/>
      <c r="OXJ10" s="21"/>
      <c r="OXK10" s="21"/>
      <c r="OXL10" s="21"/>
      <c r="OXM10" s="21"/>
      <c r="OXN10" s="21"/>
      <c r="OXO10" s="21"/>
      <c r="OXP10" s="21"/>
      <c r="OXQ10" s="21"/>
      <c r="OXR10" s="21"/>
      <c r="OXS10" s="21"/>
      <c r="OXT10" s="21"/>
      <c r="OXU10" s="21"/>
      <c r="OXV10" s="21"/>
      <c r="OXW10" s="21"/>
      <c r="OXX10" s="21"/>
      <c r="OXY10" s="21"/>
      <c r="OXZ10" s="21"/>
      <c r="OYA10" s="21"/>
      <c r="OYB10" s="21"/>
      <c r="OYC10" s="21"/>
      <c r="OYD10" s="21"/>
      <c r="OYE10" s="21"/>
      <c r="OYF10" s="21"/>
      <c r="OYG10" s="21"/>
      <c r="OYH10" s="21"/>
      <c r="OYI10" s="21"/>
      <c r="OYJ10" s="21"/>
      <c r="OYK10" s="21"/>
      <c r="OYL10" s="21"/>
      <c r="OYM10" s="21"/>
      <c r="OYN10" s="21"/>
      <c r="OYO10" s="21"/>
      <c r="OYP10" s="21"/>
      <c r="OYQ10" s="21"/>
      <c r="OYR10" s="21"/>
      <c r="OYS10" s="21"/>
      <c r="OYT10" s="21"/>
      <c r="OYU10" s="21"/>
      <c r="OYV10" s="21"/>
      <c r="OYW10" s="21"/>
      <c r="OYX10" s="21"/>
      <c r="OYY10" s="21"/>
      <c r="OYZ10" s="21"/>
      <c r="OZA10" s="21"/>
      <c r="OZB10" s="21"/>
      <c r="OZC10" s="21"/>
      <c r="OZD10" s="21"/>
      <c r="OZE10" s="21"/>
      <c r="OZF10" s="21"/>
      <c r="OZG10" s="21"/>
      <c r="OZH10" s="21"/>
      <c r="OZI10" s="21"/>
      <c r="OZJ10" s="21"/>
      <c r="OZK10" s="21"/>
      <c r="OZL10" s="21"/>
      <c r="OZM10" s="21"/>
      <c r="OZN10" s="21"/>
      <c r="OZO10" s="21"/>
      <c r="OZP10" s="21"/>
      <c r="OZQ10" s="21"/>
      <c r="OZR10" s="21"/>
      <c r="OZS10" s="21"/>
      <c r="OZT10" s="21"/>
      <c r="OZU10" s="21"/>
      <c r="OZV10" s="21"/>
      <c r="OZW10" s="21"/>
      <c r="OZX10" s="21"/>
      <c r="OZY10" s="21"/>
      <c r="OZZ10" s="21"/>
      <c r="PAA10" s="21"/>
      <c r="PAB10" s="21"/>
      <c r="PAC10" s="21"/>
      <c r="PAD10" s="21"/>
      <c r="PAE10" s="21"/>
      <c r="PAF10" s="21"/>
      <c r="PAG10" s="21"/>
      <c r="PAH10" s="21"/>
      <c r="PAI10" s="21"/>
      <c r="PAJ10" s="21"/>
      <c r="PAK10" s="21"/>
      <c r="PAL10" s="21"/>
      <c r="PAM10" s="21"/>
      <c r="PAN10" s="21"/>
      <c r="PAO10" s="21"/>
      <c r="PAP10" s="21"/>
      <c r="PAQ10" s="21"/>
      <c r="PAR10" s="21"/>
      <c r="PAS10" s="21"/>
      <c r="PAT10" s="21"/>
      <c r="PAU10" s="21"/>
      <c r="PAV10" s="21"/>
      <c r="PAW10" s="21"/>
      <c r="PAX10" s="21"/>
      <c r="PAY10" s="21"/>
      <c r="PAZ10" s="21"/>
      <c r="PBA10" s="21"/>
      <c r="PBB10" s="21"/>
      <c r="PBC10" s="21"/>
      <c r="PBD10" s="21"/>
      <c r="PBE10" s="21"/>
      <c r="PBF10" s="21"/>
      <c r="PBG10" s="21"/>
      <c r="PBH10" s="21"/>
      <c r="PBI10" s="21"/>
      <c r="PBJ10" s="21"/>
      <c r="PBK10" s="21"/>
      <c r="PBL10" s="21"/>
      <c r="PBM10" s="21"/>
      <c r="PBN10" s="21"/>
      <c r="PBO10" s="21"/>
      <c r="PBP10" s="21"/>
      <c r="PBQ10" s="21"/>
      <c r="PBR10" s="21"/>
      <c r="PBS10" s="21"/>
      <c r="PBT10" s="21"/>
      <c r="PBU10" s="21"/>
      <c r="PBV10" s="21"/>
      <c r="PBW10" s="21"/>
      <c r="PBX10" s="21"/>
      <c r="PBY10" s="21"/>
      <c r="PBZ10" s="21"/>
      <c r="PCA10" s="21"/>
      <c r="PCB10" s="21"/>
      <c r="PCC10" s="21"/>
      <c r="PCD10" s="21"/>
      <c r="PCE10" s="21"/>
      <c r="PCF10" s="21"/>
      <c r="PCG10" s="21"/>
      <c r="PCH10" s="21"/>
      <c r="PCI10" s="21"/>
      <c r="PCJ10" s="21"/>
      <c r="PCK10" s="21"/>
      <c r="PCL10" s="21"/>
      <c r="PCM10" s="21"/>
      <c r="PCN10" s="21"/>
      <c r="PCO10" s="21"/>
      <c r="PCP10" s="21"/>
      <c r="PCQ10" s="21"/>
      <c r="PCR10" s="21"/>
      <c r="PCS10" s="21"/>
      <c r="PCT10" s="21"/>
      <c r="PCU10" s="21"/>
      <c r="PCV10" s="21"/>
      <c r="PCW10" s="21"/>
      <c r="PCX10" s="21"/>
      <c r="PCY10" s="21"/>
      <c r="PCZ10" s="21"/>
      <c r="PDA10" s="21"/>
      <c r="PDB10" s="21"/>
      <c r="PDC10" s="21"/>
      <c r="PDD10" s="21"/>
      <c r="PDE10" s="21"/>
      <c r="PDF10" s="21"/>
      <c r="PDG10" s="21"/>
      <c r="PDH10" s="21"/>
      <c r="PDI10" s="21"/>
      <c r="PDJ10" s="21"/>
      <c r="PDK10" s="21"/>
      <c r="PDL10" s="21"/>
      <c r="PDM10" s="21"/>
      <c r="PDN10" s="21"/>
      <c r="PDO10" s="21"/>
      <c r="PDP10" s="21"/>
      <c r="PDQ10" s="21"/>
      <c r="PDR10" s="21"/>
      <c r="PDS10" s="21"/>
      <c r="PDT10" s="21"/>
      <c r="PDU10" s="21"/>
      <c r="PDV10" s="21"/>
      <c r="PDW10" s="21"/>
      <c r="PDX10" s="21"/>
      <c r="PDY10" s="21"/>
      <c r="PDZ10" s="21"/>
      <c r="PEA10" s="21"/>
      <c r="PEB10" s="21"/>
      <c r="PEC10" s="21"/>
      <c r="PED10" s="21"/>
      <c r="PEE10" s="21"/>
      <c r="PEF10" s="21"/>
      <c r="PEG10" s="21"/>
      <c r="PEH10" s="21"/>
      <c r="PEI10" s="21"/>
      <c r="PEJ10" s="21"/>
      <c r="PEK10" s="21"/>
      <c r="PEL10" s="21"/>
      <c r="PEM10" s="21"/>
      <c r="PEN10" s="21"/>
      <c r="PEO10" s="21"/>
      <c r="PEP10" s="21"/>
      <c r="PEQ10" s="21"/>
      <c r="PER10" s="21"/>
      <c r="PES10" s="21"/>
      <c r="PET10" s="21"/>
      <c r="PEU10" s="21"/>
      <c r="PEV10" s="21"/>
      <c r="PEW10" s="21"/>
      <c r="PEX10" s="21"/>
      <c r="PEY10" s="21"/>
      <c r="PEZ10" s="21"/>
      <c r="PFA10" s="21"/>
      <c r="PFB10" s="21"/>
      <c r="PFC10" s="21"/>
      <c r="PFD10" s="21"/>
      <c r="PFE10" s="21"/>
      <c r="PFF10" s="21"/>
      <c r="PFG10" s="21"/>
      <c r="PFH10" s="21"/>
      <c r="PFI10" s="21"/>
      <c r="PFJ10" s="21"/>
      <c r="PFK10" s="21"/>
      <c r="PFL10" s="21"/>
      <c r="PFM10" s="21"/>
      <c r="PFN10" s="21"/>
      <c r="PFO10" s="21"/>
      <c r="PFP10" s="21"/>
      <c r="PFQ10" s="21"/>
      <c r="PFR10" s="21"/>
      <c r="PFS10" s="21"/>
      <c r="PFT10" s="21"/>
      <c r="PFU10" s="21"/>
      <c r="PFV10" s="21"/>
      <c r="PFW10" s="21"/>
      <c r="PFX10" s="21"/>
      <c r="PFY10" s="21"/>
      <c r="PFZ10" s="21"/>
      <c r="PGA10" s="21"/>
      <c r="PGB10" s="21"/>
      <c r="PGC10" s="21"/>
      <c r="PGD10" s="21"/>
      <c r="PGE10" s="21"/>
      <c r="PGF10" s="21"/>
      <c r="PGG10" s="21"/>
      <c r="PGH10" s="21"/>
      <c r="PGI10" s="21"/>
      <c r="PGJ10" s="21"/>
      <c r="PGK10" s="21"/>
      <c r="PGL10" s="21"/>
      <c r="PGM10" s="21"/>
      <c r="PGN10" s="21"/>
      <c r="PGO10" s="21"/>
      <c r="PGP10" s="21"/>
      <c r="PGQ10" s="21"/>
      <c r="PGR10" s="21"/>
      <c r="PGS10" s="21"/>
      <c r="PGT10" s="21"/>
      <c r="PGU10" s="21"/>
      <c r="PGV10" s="21"/>
      <c r="PGW10" s="21"/>
      <c r="PGX10" s="21"/>
      <c r="PGY10" s="21"/>
      <c r="PGZ10" s="21"/>
      <c r="PHA10" s="21"/>
      <c r="PHB10" s="21"/>
      <c r="PHC10" s="21"/>
      <c r="PHD10" s="21"/>
      <c r="PHE10" s="21"/>
      <c r="PHF10" s="21"/>
      <c r="PHG10" s="21"/>
      <c r="PHH10" s="21"/>
      <c r="PHI10" s="21"/>
      <c r="PHJ10" s="21"/>
      <c r="PHK10" s="21"/>
      <c r="PHL10" s="21"/>
      <c r="PHM10" s="21"/>
      <c r="PHN10" s="21"/>
      <c r="PHO10" s="21"/>
      <c r="PHP10" s="21"/>
      <c r="PHQ10" s="21"/>
      <c r="PHR10" s="21"/>
      <c r="PHS10" s="21"/>
      <c r="PHT10" s="21"/>
      <c r="PHU10" s="21"/>
      <c r="PHV10" s="21"/>
      <c r="PHW10" s="21"/>
      <c r="PHX10" s="21"/>
      <c r="PHY10" s="21"/>
      <c r="PHZ10" s="21"/>
      <c r="PIA10" s="21"/>
      <c r="PIB10" s="21"/>
      <c r="PIC10" s="21"/>
      <c r="PID10" s="21"/>
      <c r="PIE10" s="21"/>
      <c r="PIF10" s="21"/>
      <c r="PIG10" s="21"/>
      <c r="PIH10" s="21"/>
      <c r="PII10" s="21"/>
      <c r="PIJ10" s="21"/>
      <c r="PIK10" s="21"/>
      <c r="PIL10" s="21"/>
      <c r="PIM10" s="21"/>
      <c r="PIN10" s="21"/>
      <c r="PIO10" s="21"/>
      <c r="PIP10" s="21"/>
      <c r="PIQ10" s="21"/>
      <c r="PIR10" s="21"/>
      <c r="PIS10" s="21"/>
      <c r="PIT10" s="21"/>
      <c r="PIU10" s="21"/>
      <c r="PIV10" s="21"/>
      <c r="PIW10" s="21"/>
      <c r="PIX10" s="21"/>
      <c r="PIY10" s="21"/>
      <c r="PIZ10" s="21"/>
      <c r="PJA10" s="21"/>
      <c r="PJB10" s="21"/>
      <c r="PJC10" s="21"/>
      <c r="PJD10" s="21"/>
      <c r="PJE10" s="21"/>
      <c r="PJF10" s="21"/>
      <c r="PJG10" s="21"/>
      <c r="PJH10" s="21"/>
      <c r="PJI10" s="21"/>
      <c r="PJJ10" s="21"/>
      <c r="PJK10" s="21"/>
      <c r="PJL10" s="21"/>
      <c r="PJM10" s="21"/>
      <c r="PJN10" s="21"/>
      <c r="PJO10" s="21"/>
      <c r="PJP10" s="21"/>
      <c r="PJQ10" s="21"/>
      <c r="PJR10" s="21"/>
      <c r="PJS10" s="21"/>
      <c r="PJT10" s="21"/>
      <c r="PJU10" s="21"/>
      <c r="PJV10" s="21"/>
      <c r="PJW10" s="21"/>
      <c r="PJX10" s="21"/>
      <c r="PJY10" s="21"/>
      <c r="PJZ10" s="21"/>
      <c r="PKA10" s="21"/>
      <c r="PKB10" s="21"/>
      <c r="PKC10" s="21"/>
      <c r="PKD10" s="21"/>
      <c r="PKE10" s="21"/>
      <c r="PKF10" s="21"/>
      <c r="PKG10" s="21"/>
      <c r="PKH10" s="21"/>
      <c r="PKI10" s="21"/>
      <c r="PKJ10" s="21"/>
      <c r="PKK10" s="21"/>
      <c r="PKL10" s="21"/>
      <c r="PKM10" s="21"/>
      <c r="PKN10" s="21"/>
      <c r="PKO10" s="21"/>
      <c r="PKP10" s="21"/>
      <c r="PKQ10" s="21"/>
      <c r="PKR10" s="21"/>
      <c r="PKS10" s="21"/>
      <c r="PKT10" s="21"/>
      <c r="PKU10" s="21"/>
      <c r="PKV10" s="21"/>
      <c r="PKW10" s="21"/>
      <c r="PKX10" s="21"/>
      <c r="PKY10" s="21"/>
      <c r="PKZ10" s="21"/>
      <c r="PLA10" s="21"/>
      <c r="PLB10" s="21"/>
      <c r="PLC10" s="21"/>
      <c r="PLD10" s="21"/>
      <c r="PLE10" s="21"/>
      <c r="PLF10" s="21"/>
      <c r="PLG10" s="21"/>
      <c r="PLH10" s="21"/>
      <c r="PLI10" s="21"/>
      <c r="PLJ10" s="21"/>
      <c r="PLK10" s="21"/>
      <c r="PLL10" s="21"/>
      <c r="PLM10" s="21"/>
      <c r="PLN10" s="21"/>
      <c r="PLO10" s="21"/>
      <c r="PLP10" s="21"/>
      <c r="PLQ10" s="21"/>
      <c r="PLR10" s="21"/>
      <c r="PLS10" s="21"/>
      <c r="PLT10" s="21"/>
      <c r="PLU10" s="21"/>
      <c r="PLV10" s="21"/>
      <c r="PLW10" s="21"/>
      <c r="PLX10" s="21"/>
      <c r="PLY10" s="21"/>
      <c r="PLZ10" s="21"/>
      <c r="PMA10" s="21"/>
      <c r="PMB10" s="21"/>
      <c r="PMC10" s="21"/>
      <c r="PMD10" s="21"/>
      <c r="PME10" s="21"/>
      <c r="PMF10" s="21"/>
      <c r="PMG10" s="21"/>
      <c r="PMH10" s="21"/>
      <c r="PMI10" s="21"/>
      <c r="PMJ10" s="21"/>
      <c r="PMK10" s="21"/>
      <c r="PML10" s="21"/>
      <c r="PMM10" s="21"/>
      <c r="PMN10" s="21"/>
      <c r="PMO10" s="21"/>
      <c r="PMP10" s="21"/>
      <c r="PMQ10" s="21"/>
      <c r="PMR10" s="21"/>
      <c r="PMS10" s="21"/>
      <c r="PMT10" s="21"/>
      <c r="PMU10" s="21"/>
      <c r="PMV10" s="21"/>
      <c r="PMW10" s="21"/>
      <c r="PMX10" s="21"/>
      <c r="PMY10" s="21"/>
      <c r="PMZ10" s="21"/>
      <c r="PNA10" s="21"/>
      <c r="PNB10" s="21"/>
      <c r="PNC10" s="21"/>
      <c r="PND10" s="21"/>
      <c r="PNE10" s="21"/>
      <c r="PNF10" s="21"/>
      <c r="PNG10" s="21"/>
      <c r="PNH10" s="21"/>
      <c r="PNI10" s="21"/>
      <c r="PNJ10" s="21"/>
      <c r="PNK10" s="21"/>
      <c r="PNL10" s="21"/>
      <c r="PNM10" s="21"/>
      <c r="PNN10" s="21"/>
      <c r="PNO10" s="21"/>
      <c r="PNP10" s="21"/>
      <c r="PNQ10" s="21"/>
      <c r="PNR10" s="21"/>
      <c r="PNS10" s="21"/>
      <c r="PNT10" s="21"/>
      <c r="PNU10" s="21"/>
      <c r="PNV10" s="21"/>
      <c r="PNW10" s="21"/>
      <c r="PNX10" s="21"/>
      <c r="PNY10" s="21"/>
      <c r="PNZ10" s="21"/>
      <c r="POA10" s="21"/>
      <c r="POB10" s="21"/>
      <c r="POC10" s="21"/>
      <c r="POD10" s="21"/>
      <c r="POE10" s="21"/>
      <c r="POF10" s="21"/>
      <c r="POG10" s="21"/>
      <c r="POH10" s="21"/>
      <c r="POI10" s="21"/>
      <c r="POJ10" s="21"/>
      <c r="POK10" s="21"/>
      <c r="POL10" s="21"/>
      <c r="POM10" s="21"/>
      <c r="PON10" s="21"/>
      <c r="POO10" s="21"/>
      <c r="POP10" s="21"/>
      <c r="POQ10" s="21"/>
      <c r="POR10" s="21"/>
      <c r="POS10" s="21"/>
      <c r="POT10" s="21"/>
      <c r="POU10" s="21"/>
      <c r="POV10" s="21"/>
      <c r="POW10" s="21"/>
      <c r="POX10" s="21"/>
      <c r="POY10" s="21"/>
      <c r="POZ10" s="21"/>
      <c r="PPA10" s="21"/>
      <c r="PPB10" s="21"/>
      <c r="PPC10" s="21"/>
      <c r="PPD10" s="21"/>
      <c r="PPE10" s="21"/>
      <c r="PPF10" s="21"/>
      <c r="PPG10" s="21"/>
      <c r="PPH10" s="21"/>
      <c r="PPI10" s="21"/>
      <c r="PPJ10" s="21"/>
      <c r="PPK10" s="21"/>
      <c r="PPL10" s="21"/>
      <c r="PPM10" s="21"/>
      <c r="PPN10" s="21"/>
      <c r="PPO10" s="21"/>
      <c r="PPP10" s="21"/>
      <c r="PPQ10" s="21"/>
      <c r="PPR10" s="21"/>
      <c r="PPS10" s="21"/>
      <c r="PPT10" s="21"/>
      <c r="PPU10" s="21"/>
      <c r="PPV10" s="21"/>
      <c r="PPW10" s="21"/>
      <c r="PPX10" s="21"/>
      <c r="PPY10" s="21"/>
      <c r="PPZ10" s="21"/>
      <c r="PQA10" s="21"/>
      <c r="PQB10" s="21"/>
      <c r="PQC10" s="21"/>
      <c r="PQD10" s="21"/>
      <c r="PQE10" s="21"/>
      <c r="PQF10" s="21"/>
      <c r="PQG10" s="21"/>
      <c r="PQH10" s="21"/>
      <c r="PQI10" s="21"/>
      <c r="PQJ10" s="21"/>
      <c r="PQK10" s="21"/>
      <c r="PQL10" s="21"/>
      <c r="PQM10" s="21"/>
      <c r="PQN10" s="21"/>
      <c r="PQO10" s="21"/>
      <c r="PQP10" s="21"/>
      <c r="PQQ10" s="21"/>
      <c r="PQR10" s="21"/>
      <c r="PQS10" s="21"/>
      <c r="PQT10" s="21"/>
      <c r="PQU10" s="21"/>
      <c r="PQV10" s="21"/>
      <c r="PQW10" s="21"/>
      <c r="PQX10" s="21"/>
      <c r="PQY10" s="21"/>
      <c r="PQZ10" s="21"/>
      <c r="PRA10" s="21"/>
      <c r="PRB10" s="21"/>
      <c r="PRC10" s="21"/>
      <c r="PRD10" s="21"/>
      <c r="PRE10" s="21"/>
      <c r="PRF10" s="21"/>
      <c r="PRG10" s="21"/>
      <c r="PRH10" s="21"/>
      <c r="PRI10" s="21"/>
      <c r="PRJ10" s="21"/>
      <c r="PRK10" s="21"/>
      <c r="PRL10" s="21"/>
      <c r="PRM10" s="21"/>
      <c r="PRN10" s="21"/>
      <c r="PRO10" s="21"/>
      <c r="PRP10" s="21"/>
      <c r="PRQ10" s="21"/>
      <c r="PRR10" s="21"/>
      <c r="PRS10" s="21"/>
      <c r="PRT10" s="21"/>
      <c r="PRU10" s="21"/>
      <c r="PRV10" s="21"/>
      <c r="PRW10" s="21"/>
      <c r="PRX10" s="21"/>
      <c r="PRY10" s="21"/>
      <c r="PRZ10" s="21"/>
      <c r="PSA10" s="21"/>
      <c r="PSB10" s="21"/>
      <c r="PSC10" s="21"/>
      <c r="PSD10" s="21"/>
      <c r="PSE10" s="21"/>
      <c r="PSF10" s="21"/>
      <c r="PSG10" s="21"/>
      <c r="PSH10" s="21"/>
      <c r="PSI10" s="21"/>
      <c r="PSJ10" s="21"/>
      <c r="PSK10" s="21"/>
      <c r="PSL10" s="21"/>
      <c r="PSM10" s="21"/>
      <c r="PSN10" s="21"/>
      <c r="PSO10" s="21"/>
      <c r="PSP10" s="21"/>
      <c r="PSQ10" s="21"/>
      <c r="PSR10" s="21"/>
      <c r="PSS10" s="21"/>
      <c r="PST10" s="21"/>
      <c r="PSU10" s="21"/>
      <c r="PSV10" s="21"/>
      <c r="PSW10" s="21"/>
      <c r="PSX10" s="21"/>
      <c r="PSY10" s="21"/>
      <c r="PSZ10" s="21"/>
      <c r="PTA10" s="21"/>
      <c r="PTB10" s="21"/>
      <c r="PTC10" s="21"/>
      <c r="PTD10" s="21"/>
      <c r="PTE10" s="21"/>
      <c r="PTF10" s="21"/>
      <c r="PTG10" s="21"/>
      <c r="PTH10" s="21"/>
      <c r="PTI10" s="21"/>
      <c r="PTJ10" s="21"/>
      <c r="PTK10" s="21"/>
      <c r="PTL10" s="21"/>
      <c r="PTM10" s="21"/>
      <c r="PTN10" s="21"/>
      <c r="PTO10" s="21"/>
      <c r="PTP10" s="21"/>
      <c r="PTQ10" s="21"/>
      <c r="PTR10" s="21"/>
      <c r="PTS10" s="21"/>
      <c r="PTT10" s="21"/>
      <c r="PTU10" s="21"/>
      <c r="PTV10" s="21"/>
      <c r="PTW10" s="21"/>
      <c r="PTX10" s="21"/>
      <c r="PTY10" s="21"/>
      <c r="PTZ10" s="21"/>
      <c r="PUA10" s="21"/>
      <c r="PUB10" s="21"/>
      <c r="PUC10" s="21"/>
      <c r="PUD10" s="21"/>
      <c r="PUE10" s="21"/>
      <c r="PUF10" s="21"/>
      <c r="PUG10" s="21"/>
      <c r="PUH10" s="21"/>
      <c r="PUI10" s="21"/>
      <c r="PUJ10" s="21"/>
      <c r="PUK10" s="21"/>
      <c r="PUL10" s="21"/>
      <c r="PUM10" s="21"/>
      <c r="PUN10" s="21"/>
      <c r="PUO10" s="21"/>
      <c r="PUP10" s="21"/>
      <c r="PUQ10" s="21"/>
      <c r="PUR10" s="21"/>
      <c r="PUS10" s="21"/>
      <c r="PUT10" s="21"/>
      <c r="PUU10" s="21"/>
      <c r="PUV10" s="21"/>
      <c r="PUW10" s="21"/>
      <c r="PUX10" s="21"/>
      <c r="PUY10" s="21"/>
      <c r="PUZ10" s="21"/>
      <c r="PVA10" s="21"/>
      <c r="PVB10" s="21"/>
      <c r="PVC10" s="21"/>
      <c r="PVD10" s="21"/>
      <c r="PVE10" s="21"/>
      <c r="PVF10" s="21"/>
      <c r="PVG10" s="21"/>
      <c r="PVH10" s="21"/>
      <c r="PVI10" s="21"/>
      <c r="PVJ10" s="21"/>
      <c r="PVK10" s="21"/>
      <c r="PVL10" s="21"/>
      <c r="PVM10" s="21"/>
      <c r="PVN10" s="21"/>
      <c r="PVO10" s="21"/>
      <c r="PVP10" s="21"/>
      <c r="PVQ10" s="21"/>
      <c r="PVR10" s="21"/>
      <c r="PVS10" s="21"/>
      <c r="PVT10" s="21"/>
      <c r="PVU10" s="21"/>
      <c r="PVV10" s="21"/>
      <c r="PVW10" s="21"/>
      <c r="PVX10" s="21"/>
      <c r="PVY10" s="21"/>
      <c r="PVZ10" s="21"/>
      <c r="PWA10" s="21"/>
      <c r="PWB10" s="21"/>
      <c r="PWC10" s="21"/>
      <c r="PWD10" s="21"/>
      <c r="PWE10" s="21"/>
      <c r="PWF10" s="21"/>
      <c r="PWG10" s="21"/>
      <c r="PWH10" s="21"/>
      <c r="PWI10" s="21"/>
      <c r="PWJ10" s="21"/>
      <c r="PWK10" s="21"/>
      <c r="PWL10" s="21"/>
      <c r="PWM10" s="21"/>
      <c r="PWN10" s="21"/>
      <c r="PWO10" s="21"/>
      <c r="PWP10" s="21"/>
      <c r="PWQ10" s="21"/>
      <c r="PWR10" s="21"/>
      <c r="PWS10" s="21"/>
      <c r="PWT10" s="21"/>
      <c r="PWU10" s="21"/>
      <c r="PWV10" s="21"/>
      <c r="PWW10" s="21"/>
      <c r="PWX10" s="21"/>
      <c r="PWY10" s="21"/>
      <c r="PWZ10" s="21"/>
      <c r="PXA10" s="21"/>
      <c r="PXB10" s="21"/>
      <c r="PXC10" s="21"/>
      <c r="PXD10" s="21"/>
      <c r="PXE10" s="21"/>
      <c r="PXF10" s="21"/>
      <c r="PXG10" s="21"/>
      <c r="PXH10" s="21"/>
      <c r="PXI10" s="21"/>
      <c r="PXJ10" s="21"/>
      <c r="PXK10" s="21"/>
      <c r="PXL10" s="21"/>
      <c r="PXM10" s="21"/>
      <c r="PXN10" s="21"/>
      <c r="PXO10" s="21"/>
      <c r="PXP10" s="21"/>
      <c r="PXQ10" s="21"/>
      <c r="PXR10" s="21"/>
      <c r="PXS10" s="21"/>
      <c r="PXT10" s="21"/>
      <c r="PXU10" s="21"/>
      <c r="PXV10" s="21"/>
      <c r="PXW10" s="21"/>
      <c r="PXX10" s="21"/>
      <c r="PXY10" s="21"/>
      <c r="PXZ10" s="21"/>
      <c r="PYA10" s="21"/>
      <c r="PYB10" s="21"/>
      <c r="PYC10" s="21"/>
      <c r="PYD10" s="21"/>
      <c r="PYE10" s="21"/>
      <c r="PYF10" s="21"/>
      <c r="PYG10" s="21"/>
      <c r="PYH10" s="21"/>
      <c r="PYI10" s="21"/>
      <c r="PYJ10" s="21"/>
      <c r="PYK10" s="21"/>
      <c r="PYL10" s="21"/>
      <c r="PYM10" s="21"/>
      <c r="PYN10" s="21"/>
      <c r="PYO10" s="21"/>
      <c r="PYP10" s="21"/>
      <c r="PYQ10" s="21"/>
      <c r="PYR10" s="21"/>
      <c r="PYS10" s="21"/>
      <c r="PYT10" s="21"/>
      <c r="PYU10" s="21"/>
      <c r="PYV10" s="21"/>
      <c r="PYW10" s="21"/>
      <c r="PYX10" s="21"/>
      <c r="PYY10" s="21"/>
      <c r="PYZ10" s="21"/>
      <c r="PZA10" s="21"/>
      <c r="PZB10" s="21"/>
      <c r="PZC10" s="21"/>
      <c r="PZD10" s="21"/>
      <c r="PZE10" s="21"/>
      <c r="PZF10" s="21"/>
      <c r="PZG10" s="21"/>
      <c r="PZH10" s="21"/>
      <c r="PZI10" s="21"/>
      <c r="PZJ10" s="21"/>
      <c r="PZK10" s="21"/>
      <c r="PZL10" s="21"/>
      <c r="PZM10" s="21"/>
      <c r="PZN10" s="21"/>
      <c r="PZO10" s="21"/>
      <c r="PZP10" s="21"/>
      <c r="PZQ10" s="21"/>
      <c r="PZR10" s="21"/>
      <c r="PZS10" s="21"/>
      <c r="PZT10" s="21"/>
      <c r="PZU10" s="21"/>
      <c r="PZV10" s="21"/>
      <c r="PZW10" s="21"/>
      <c r="PZX10" s="21"/>
      <c r="PZY10" s="21"/>
      <c r="PZZ10" s="21"/>
      <c r="QAA10" s="21"/>
      <c r="QAB10" s="21"/>
      <c r="QAC10" s="21"/>
      <c r="QAD10" s="21"/>
      <c r="QAE10" s="21"/>
      <c r="QAF10" s="21"/>
      <c r="QAG10" s="21"/>
      <c r="QAH10" s="21"/>
      <c r="QAI10" s="21"/>
      <c r="QAJ10" s="21"/>
      <c r="QAK10" s="21"/>
      <c r="QAL10" s="21"/>
      <c r="QAM10" s="21"/>
      <c r="QAN10" s="21"/>
      <c r="QAO10" s="21"/>
      <c r="QAP10" s="21"/>
      <c r="QAQ10" s="21"/>
      <c r="QAR10" s="21"/>
      <c r="QAS10" s="21"/>
      <c r="QAT10" s="21"/>
      <c r="QAU10" s="21"/>
      <c r="QAV10" s="21"/>
      <c r="QAW10" s="21"/>
      <c r="QAX10" s="21"/>
      <c r="QAY10" s="21"/>
      <c r="QAZ10" s="21"/>
      <c r="QBA10" s="21"/>
      <c r="QBB10" s="21"/>
      <c r="QBC10" s="21"/>
      <c r="QBD10" s="21"/>
      <c r="QBE10" s="21"/>
      <c r="QBF10" s="21"/>
      <c r="QBG10" s="21"/>
      <c r="QBH10" s="21"/>
      <c r="QBI10" s="21"/>
      <c r="QBJ10" s="21"/>
      <c r="QBK10" s="21"/>
      <c r="QBL10" s="21"/>
      <c r="QBM10" s="21"/>
      <c r="QBN10" s="21"/>
      <c r="QBO10" s="21"/>
      <c r="QBP10" s="21"/>
      <c r="QBQ10" s="21"/>
      <c r="QBR10" s="21"/>
      <c r="QBS10" s="21"/>
      <c r="QBT10" s="21"/>
      <c r="QBU10" s="21"/>
      <c r="QBV10" s="21"/>
      <c r="QBW10" s="21"/>
      <c r="QBX10" s="21"/>
      <c r="QBY10" s="21"/>
      <c r="QBZ10" s="21"/>
      <c r="QCA10" s="21"/>
      <c r="QCB10" s="21"/>
      <c r="QCC10" s="21"/>
      <c r="QCD10" s="21"/>
      <c r="QCE10" s="21"/>
      <c r="QCF10" s="21"/>
      <c r="QCG10" s="21"/>
      <c r="QCH10" s="21"/>
      <c r="QCI10" s="21"/>
      <c r="QCJ10" s="21"/>
      <c r="QCK10" s="21"/>
      <c r="QCL10" s="21"/>
      <c r="QCM10" s="21"/>
      <c r="QCN10" s="21"/>
      <c r="QCO10" s="21"/>
      <c r="QCP10" s="21"/>
      <c r="QCQ10" s="21"/>
      <c r="QCR10" s="21"/>
      <c r="QCS10" s="21"/>
      <c r="QCT10" s="21"/>
      <c r="QCU10" s="21"/>
      <c r="QCV10" s="21"/>
      <c r="QCW10" s="21"/>
      <c r="QCX10" s="21"/>
      <c r="QCY10" s="21"/>
      <c r="QCZ10" s="21"/>
      <c r="QDA10" s="21"/>
      <c r="QDB10" s="21"/>
      <c r="QDC10" s="21"/>
      <c r="QDD10" s="21"/>
      <c r="QDE10" s="21"/>
      <c r="QDF10" s="21"/>
      <c r="QDG10" s="21"/>
      <c r="QDH10" s="21"/>
      <c r="QDI10" s="21"/>
      <c r="QDJ10" s="21"/>
      <c r="QDK10" s="21"/>
      <c r="QDL10" s="21"/>
      <c r="QDM10" s="21"/>
      <c r="QDN10" s="21"/>
      <c r="QDO10" s="21"/>
      <c r="QDP10" s="21"/>
      <c r="QDQ10" s="21"/>
      <c r="QDR10" s="21"/>
      <c r="QDS10" s="21"/>
      <c r="QDT10" s="21"/>
      <c r="QDU10" s="21"/>
      <c r="QDV10" s="21"/>
      <c r="QDW10" s="21"/>
      <c r="QDX10" s="21"/>
      <c r="QDY10" s="21"/>
      <c r="QDZ10" s="21"/>
      <c r="QEA10" s="21"/>
      <c r="QEB10" s="21"/>
      <c r="QEC10" s="21"/>
      <c r="QED10" s="21"/>
      <c r="QEE10" s="21"/>
      <c r="QEF10" s="21"/>
      <c r="QEG10" s="21"/>
      <c r="QEH10" s="21"/>
      <c r="QEI10" s="21"/>
      <c r="QEJ10" s="21"/>
      <c r="QEK10" s="21"/>
      <c r="QEL10" s="21"/>
      <c r="QEM10" s="21"/>
      <c r="QEN10" s="21"/>
      <c r="QEO10" s="21"/>
      <c r="QEP10" s="21"/>
      <c r="QEQ10" s="21"/>
      <c r="QER10" s="21"/>
      <c r="QES10" s="21"/>
      <c r="QET10" s="21"/>
      <c r="QEU10" s="21"/>
      <c r="QEV10" s="21"/>
      <c r="QEW10" s="21"/>
      <c r="QEX10" s="21"/>
      <c r="QEY10" s="21"/>
      <c r="QEZ10" s="21"/>
      <c r="QFA10" s="21"/>
      <c r="QFB10" s="21"/>
      <c r="QFC10" s="21"/>
      <c r="QFD10" s="21"/>
      <c r="QFE10" s="21"/>
      <c r="QFF10" s="21"/>
      <c r="QFG10" s="21"/>
      <c r="QFH10" s="21"/>
      <c r="QFI10" s="21"/>
      <c r="QFJ10" s="21"/>
      <c r="QFK10" s="21"/>
      <c r="QFL10" s="21"/>
      <c r="QFM10" s="21"/>
      <c r="QFN10" s="21"/>
      <c r="QFO10" s="21"/>
      <c r="QFP10" s="21"/>
      <c r="QFQ10" s="21"/>
      <c r="QFR10" s="21"/>
      <c r="QFS10" s="21"/>
      <c r="QFT10" s="21"/>
      <c r="QFU10" s="21"/>
      <c r="QFV10" s="21"/>
      <c r="QFW10" s="21"/>
      <c r="QFX10" s="21"/>
      <c r="QFY10" s="21"/>
      <c r="QFZ10" s="21"/>
      <c r="QGA10" s="21"/>
      <c r="QGB10" s="21"/>
      <c r="QGC10" s="21"/>
      <c r="QGD10" s="21"/>
      <c r="QGE10" s="21"/>
      <c r="QGF10" s="21"/>
      <c r="QGG10" s="21"/>
      <c r="QGH10" s="21"/>
      <c r="QGI10" s="21"/>
      <c r="QGJ10" s="21"/>
      <c r="QGK10" s="21"/>
      <c r="QGL10" s="21"/>
      <c r="QGM10" s="21"/>
      <c r="QGN10" s="21"/>
      <c r="QGO10" s="21"/>
      <c r="QGP10" s="21"/>
      <c r="QGQ10" s="21"/>
      <c r="QGR10" s="21"/>
      <c r="QGS10" s="21"/>
      <c r="QGT10" s="21"/>
      <c r="QGU10" s="21"/>
      <c r="QGV10" s="21"/>
      <c r="QGW10" s="21"/>
      <c r="QGX10" s="21"/>
      <c r="QGY10" s="21"/>
      <c r="QGZ10" s="21"/>
      <c r="QHA10" s="21"/>
      <c r="QHB10" s="21"/>
      <c r="QHC10" s="21"/>
      <c r="QHD10" s="21"/>
      <c r="QHE10" s="21"/>
      <c r="QHF10" s="21"/>
      <c r="QHG10" s="21"/>
      <c r="QHH10" s="21"/>
      <c r="QHI10" s="21"/>
      <c r="QHJ10" s="21"/>
      <c r="QHK10" s="21"/>
      <c r="QHL10" s="21"/>
      <c r="QHM10" s="21"/>
      <c r="QHN10" s="21"/>
      <c r="QHO10" s="21"/>
      <c r="QHP10" s="21"/>
      <c r="QHQ10" s="21"/>
      <c r="QHR10" s="21"/>
      <c r="QHS10" s="21"/>
      <c r="QHT10" s="21"/>
      <c r="QHU10" s="21"/>
      <c r="QHV10" s="21"/>
      <c r="QHW10" s="21"/>
      <c r="QHX10" s="21"/>
      <c r="QHY10" s="21"/>
      <c r="QHZ10" s="21"/>
      <c r="QIA10" s="21"/>
      <c r="QIB10" s="21"/>
      <c r="QIC10" s="21"/>
      <c r="QID10" s="21"/>
      <c r="QIE10" s="21"/>
      <c r="QIF10" s="21"/>
      <c r="QIG10" s="21"/>
      <c r="QIH10" s="21"/>
      <c r="QII10" s="21"/>
      <c r="QIJ10" s="21"/>
      <c r="QIK10" s="21"/>
      <c r="QIL10" s="21"/>
      <c r="QIM10" s="21"/>
      <c r="QIN10" s="21"/>
      <c r="QIO10" s="21"/>
      <c r="QIP10" s="21"/>
      <c r="QIQ10" s="21"/>
      <c r="QIR10" s="21"/>
      <c r="QIS10" s="21"/>
      <c r="QIT10" s="21"/>
      <c r="QIU10" s="21"/>
      <c r="QIV10" s="21"/>
      <c r="QIW10" s="21"/>
      <c r="QIX10" s="21"/>
      <c r="QIY10" s="21"/>
      <c r="QIZ10" s="21"/>
      <c r="QJA10" s="21"/>
      <c r="QJB10" s="21"/>
      <c r="QJC10" s="21"/>
      <c r="QJD10" s="21"/>
      <c r="QJE10" s="21"/>
      <c r="QJF10" s="21"/>
      <c r="QJG10" s="21"/>
      <c r="QJH10" s="21"/>
      <c r="QJI10" s="21"/>
      <c r="QJJ10" s="21"/>
      <c r="QJK10" s="21"/>
      <c r="QJL10" s="21"/>
      <c r="QJM10" s="21"/>
      <c r="QJN10" s="21"/>
      <c r="QJO10" s="21"/>
      <c r="QJP10" s="21"/>
      <c r="QJQ10" s="21"/>
      <c r="QJR10" s="21"/>
      <c r="QJS10" s="21"/>
      <c r="QJT10" s="21"/>
      <c r="QJU10" s="21"/>
      <c r="QJV10" s="21"/>
      <c r="QJW10" s="21"/>
      <c r="QJX10" s="21"/>
      <c r="QJY10" s="21"/>
      <c r="QJZ10" s="21"/>
      <c r="QKA10" s="21"/>
      <c r="QKB10" s="21"/>
      <c r="QKC10" s="21"/>
      <c r="QKD10" s="21"/>
      <c r="QKE10" s="21"/>
      <c r="QKF10" s="21"/>
      <c r="QKG10" s="21"/>
      <c r="QKH10" s="21"/>
      <c r="QKI10" s="21"/>
      <c r="QKJ10" s="21"/>
      <c r="QKK10" s="21"/>
      <c r="QKL10" s="21"/>
      <c r="QKM10" s="21"/>
      <c r="QKN10" s="21"/>
      <c r="QKO10" s="21"/>
      <c r="QKP10" s="21"/>
      <c r="QKQ10" s="21"/>
      <c r="QKR10" s="21"/>
      <c r="QKS10" s="21"/>
      <c r="QKT10" s="21"/>
      <c r="QKU10" s="21"/>
      <c r="QKV10" s="21"/>
      <c r="QKW10" s="21"/>
      <c r="QKX10" s="21"/>
      <c r="QKY10" s="21"/>
      <c r="QKZ10" s="21"/>
      <c r="QLA10" s="21"/>
      <c r="QLB10" s="21"/>
      <c r="QLC10" s="21"/>
      <c r="QLD10" s="21"/>
      <c r="QLE10" s="21"/>
      <c r="QLF10" s="21"/>
      <c r="QLG10" s="21"/>
      <c r="QLH10" s="21"/>
      <c r="QLI10" s="21"/>
      <c r="QLJ10" s="21"/>
      <c r="QLK10" s="21"/>
      <c r="QLL10" s="21"/>
      <c r="QLM10" s="21"/>
      <c r="QLN10" s="21"/>
      <c r="QLO10" s="21"/>
      <c r="QLP10" s="21"/>
      <c r="QLQ10" s="21"/>
      <c r="QLR10" s="21"/>
      <c r="QLS10" s="21"/>
      <c r="QLT10" s="21"/>
      <c r="QLU10" s="21"/>
      <c r="QLV10" s="21"/>
      <c r="QLW10" s="21"/>
      <c r="QLX10" s="21"/>
      <c r="QLY10" s="21"/>
      <c r="QLZ10" s="21"/>
      <c r="QMA10" s="21"/>
      <c r="QMB10" s="21"/>
      <c r="QMC10" s="21"/>
      <c r="QMD10" s="21"/>
      <c r="QME10" s="21"/>
      <c r="QMF10" s="21"/>
      <c r="QMG10" s="21"/>
      <c r="QMH10" s="21"/>
      <c r="QMI10" s="21"/>
      <c r="QMJ10" s="21"/>
      <c r="QMK10" s="21"/>
      <c r="QML10" s="21"/>
      <c r="QMM10" s="21"/>
      <c r="QMN10" s="21"/>
      <c r="QMO10" s="21"/>
      <c r="QMP10" s="21"/>
      <c r="QMQ10" s="21"/>
      <c r="QMR10" s="21"/>
      <c r="QMS10" s="21"/>
      <c r="QMT10" s="21"/>
      <c r="QMU10" s="21"/>
      <c r="QMV10" s="21"/>
      <c r="QMW10" s="21"/>
      <c r="QMX10" s="21"/>
      <c r="QMY10" s="21"/>
      <c r="QMZ10" s="21"/>
      <c r="QNA10" s="21"/>
      <c r="QNB10" s="21"/>
      <c r="QNC10" s="21"/>
      <c r="QND10" s="21"/>
      <c r="QNE10" s="21"/>
      <c r="QNF10" s="21"/>
      <c r="QNG10" s="21"/>
      <c r="QNH10" s="21"/>
      <c r="QNI10" s="21"/>
      <c r="QNJ10" s="21"/>
      <c r="QNK10" s="21"/>
      <c r="QNL10" s="21"/>
      <c r="QNM10" s="21"/>
      <c r="QNN10" s="21"/>
      <c r="QNO10" s="21"/>
      <c r="QNP10" s="21"/>
      <c r="QNQ10" s="21"/>
      <c r="QNR10" s="21"/>
      <c r="QNS10" s="21"/>
      <c r="QNT10" s="21"/>
      <c r="QNU10" s="21"/>
      <c r="QNV10" s="21"/>
      <c r="QNW10" s="21"/>
      <c r="QNX10" s="21"/>
      <c r="QNY10" s="21"/>
      <c r="QNZ10" s="21"/>
      <c r="QOA10" s="21"/>
      <c r="QOB10" s="21"/>
      <c r="QOC10" s="21"/>
      <c r="QOD10" s="21"/>
      <c r="QOE10" s="21"/>
      <c r="QOF10" s="21"/>
      <c r="QOG10" s="21"/>
      <c r="QOH10" s="21"/>
      <c r="QOI10" s="21"/>
      <c r="QOJ10" s="21"/>
      <c r="QOK10" s="21"/>
      <c r="QOL10" s="21"/>
      <c r="QOM10" s="21"/>
      <c r="QON10" s="21"/>
      <c r="QOO10" s="21"/>
      <c r="QOP10" s="21"/>
      <c r="QOQ10" s="21"/>
      <c r="QOR10" s="21"/>
      <c r="QOS10" s="21"/>
      <c r="QOT10" s="21"/>
      <c r="QOU10" s="21"/>
      <c r="QOV10" s="21"/>
      <c r="QOW10" s="21"/>
      <c r="QOX10" s="21"/>
      <c r="QOY10" s="21"/>
      <c r="QOZ10" s="21"/>
      <c r="QPA10" s="21"/>
      <c r="QPB10" s="21"/>
      <c r="QPC10" s="21"/>
      <c r="QPD10" s="21"/>
      <c r="QPE10" s="21"/>
      <c r="QPF10" s="21"/>
      <c r="QPG10" s="21"/>
      <c r="QPH10" s="21"/>
      <c r="QPI10" s="21"/>
      <c r="QPJ10" s="21"/>
      <c r="QPK10" s="21"/>
      <c r="QPL10" s="21"/>
      <c r="QPM10" s="21"/>
      <c r="QPN10" s="21"/>
      <c r="QPO10" s="21"/>
      <c r="QPP10" s="21"/>
      <c r="QPQ10" s="21"/>
      <c r="QPR10" s="21"/>
      <c r="QPS10" s="21"/>
      <c r="QPT10" s="21"/>
      <c r="QPU10" s="21"/>
      <c r="QPV10" s="21"/>
      <c r="QPW10" s="21"/>
      <c r="QPX10" s="21"/>
      <c r="QPY10" s="21"/>
      <c r="QPZ10" s="21"/>
      <c r="QQA10" s="21"/>
      <c r="QQB10" s="21"/>
      <c r="QQC10" s="21"/>
      <c r="QQD10" s="21"/>
      <c r="QQE10" s="21"/>
      <c r="QQF10" s="21"/>
      <c r="QQG10" s="21"/>
      <c r="QQH10" s="21"/>
      <c r="QQI10" s="21"/>
      <c r="QQJ10" s="21"/>
      <c r="QQK10" s="21"/>
      <c r="QQL10" s="21"/>
      <c r="QQM10" s="21"/>
      <c r="QQN10" s="21"/>
      <c r="QQO10" s="21"/>
      <c r="QQP10" s="21"/>
      <c r="QQQ10" s="21"/>
      <c r="QQR10" s="21"/>
      <c r="QQS10" s="21"/>
      <c r="QQT10" s="21"/>
      <c r="QQU10" s="21"/>
      <c r="QQV10" s="21"/>
      <c r="QQW10" s="21"/>
      <c r="QQX10" s="21"/>
      <c r="QQY10" s="21"/>
      <c r="QQZ10" s="21"/>
      <c r="QRA10" s="21"/>
      <c r="QRB10" s="21"/>
      <c r="QRC10" s="21"/>
      <c r="QRD10" s="21"/>
      <c r="QRE10" s="21"/>
      <c r="QRF10" s="21"/>
      <c r="QRG10" s="21"/>
      <c r="QRH10" s="21"/>
      <c r="QRI10" s="21"/>
      <c r="QRJ10" s="21"/>
      <c r="QRK10" s="21"/>
      <c r="QRL10" s="21"/>
      <c r="QRM10" s="21"/>
      <c r="QRN10" s="21"/>
      <c r="QRO10" s="21"/>
      <c r="QRP10" s="21"/>
      <c r="QRQ10" s="21"/>
      <c r="QRR10" s="21"/>
      <c r="QRS10" s="21"/>
      <c r="QRT10" s="21"/>
      <c r="QRU10" s="21"/>
      <c r="QRV10" s="21"/>
      <c r="QRW10" s="21"/>
      <c r="QRX10" s="21"/>
      <c r="QRY10" s="21"/>
      <c r="QRZ10" s="21"/>
      <c r="QSA10" s="21"/>
      <c r="QSB10" s="21"/>
      <c r="QSC10" s="21"/>
      <c r="QSD10" s="21"/>
      <c r="QSE10" s="21"/>
      <c r="QSF10" s="21"/>
      <c r="QSG10" s="21"/>
      <c r="QSH10" s="21"/>
      <c r="QSI10" s="21"/>
      <c r="QSJ10" s="21"/>
      <c r="QSK10" s="21"/>
      <c r="QSL10" s="21"/>
      <c r="QSM10" s="21"/>
      <c r="QSN10" s="21"/>
      <c r="QSO10" s="21"/>
      <c r="QSP10" s="21"/>
      <c r="QSQ10" s="21"/>
      <c r="QSR10" s="21"/>
      <c r="QSS10" s="21"/>
      <c r="QST10" s="21"/>
      <c r="QSU10" s="21"/>
      <c r="QSV10" s="21"/>
      <c r="QSW10" s="21"/>
      <c r="QSX10" s="21"/>
      <c r="QSY10" s="21"/>
      <c r="QSZ10" s="21"/>
      <c r="QTA10" s="21"/>
      <c r="QTB10" s="21"/>
      <c r="QTC10" s="21"/>
      <c r="QTD10" s="21"/>
      <c r="QTE10" s="21"/>
      <c r="QTF10" s="21"/>
      <c r="QTG10" s="21"/>
      <c r="QTH10" s="21"/>
      <c r="QTI10" s="21"/>
      <c r="QTJ10" s="21"/>
      <c r="QTK10" s="21"/>
      <c r="QTL10" s="21"/>
      <c r="QTM10" s="21"/>
      <c r="QTN10" s="21"/>
      <c r="QTO10" s="21"/>
      <c r="QTP10" s="21"/>
      <c r="QTQ10" s="21"/>
      <c r="QTR10" s="21"/>
      <c r="QTS10" s="21"/>
      <c r="QTT10" s="21"/>
      <c r="QTU10" s="21"/>
      <c r="QTV10" s="21"/>
      <c r="QTW10" s="21"/>
      <c r="QTX10" s="21"/>
      <c r="QTY10" s="21"/>
      <c r="QTZ10" s="21"/>
      <c r="QUA10" s="21"/>
      <c r="QUB10" s="21"/>
      <c r="QUC10" s="21"/>
      <c r="QUD10" s="21"/>
      <c r="QUE10" s="21"/>
      <c r="QUF10" s="21"/>
      <c r="QUG10" s="21"/>
      <c r="QUH10" s="21"/>
      <c r="QUI10" s="21"/>
      <c r="QUJ10" s="21"/>
      <c r="QUK10" s="21"/>
      <c r="QUL10" s="21"/>
      <c r="QUM10" s="21"/>
      <c r="QUN10" s="21"/>
      <c r="QUO10" s="21"/>
      <c r="QUP10" s="21"/>
      <c r="QUQ10" s="21"/>
      <c r="QUR10" s="21"/>
      <c r="QUS10" s="21"/>
      <c r="QUT10" s="21"/>
      <c r="QUU10" s="21"/>
      <c r="QUV10" s="21"/>
      <c r="QUW10" s="21"/>
      <c r="QUX10" s="21"/>
      <c r="QUY10" s="21"/>
      <c r="QUZ10" s="21"/>
      <c r="QVA10" s="21"/>
      <c r="QVB10" s="21"/>
      <c r="QVC10" s="21"/>
      <c r="QVD10" s="21"/>
      <c r="QVE10" s="21"/>
      <c r="QVF10" s="21"/>
      <c r="QVG10" s="21"/>
      <c r="QVH10" s="21"/>
      <c r="QVI10" s="21"/>
      <c r="QVJ10" s="21"/>
      <c r="QVK10" s="21"/>
      <c r="QVL10" s="21"/>
      <c r="QVM10" s="21"/>
      <c r="QVN10" s="21"/>
      <c r="QVO10" s="21"/>
      <c r="QVP10" s="21"/>
      <c r="QVQ10" s="21"/>
      <c r="QVR10" s="21"/>
      <c r="QVS10" s="21"/>
      <c r="QVT10" s="21"/>
      <c r="QVU10" s="21"/>
      <c r="QVV10" s="21"/>
      <c r="QVW10" s="21"/>
      <c r="QVX10" s="21"/>
      <c r="QVY10" s="21"/>
      <c r="QVZ10" s="21"/>
      <c r="QWA10" s="21"/>
      <c r="QWB10" s="21"/>
      <c r="QWC10" s="21"/>
      <c r="QWD10" s="21"/>
      <c r="QWE10" s="21"/>
      <c r="QWF10" s="21"/>
      <c r="QWG10" s="21"/>
      <c r="QWH10" s="21"/>
      <c r="QWI10" s="21"/>
      <c r="QWJ10" s="21"/>
      <c r="QWK10" s="21"/>
      <c r="QWL10" s="21"/>
      <c r="QWM10" s="21"/>
      <c r="QWN10" s="21"/>
      <c r="QWO10" s="21"/>
      <c r="QWP10" s="21"/>
      <c r="QWQ10" s="21"/>
      <c r="QWR10" s="21"/>
      <c r="QWS10" s="21"/>
      <c r="QWT10" s="21"/>
      <c r="QWU10" s="21"/>
      <c r="QWV10" s="21"/>
      <c r="QWW10" s="21"/>
      <c r="QWX10" s="21"/>
      <c r="QWY10" s="21"/>
      <c r="QWZ10" s="21"/>
      <c r="QXA10" s="21"/>
      <c r="QXB10" s="21"/>
      <c r="QXC10" s="21"/>
      <c r="QXD10" s="21"/>
      <c r="QXE10" s="21"/>
      <c r="QXF10" s="21"/>
      <c r="QXG10" s="21"/>
      <c r="QXH10" s="21"/>
      <c r="QXI10" s="21"/>
      <c r="QXJ10" s="21"/>
      <c r="QXK10" s="21"/>
      <c r="QXL10" s="21"/>
      <c r="QXM10" s="21"/>
      <c r="QXN10" s="21"/>
      <c r="QXO10" s="21"/>
      <c r="QXP10" s="21"/>
      <c r="QXQ10" s="21"/>
      <c r="QXR10" s="21"/>
      <c r="QXS10" s="21"/>
      <c r="QXT10" s="21"/>
      <c r="QXU10" s="21"/>
      <c r="QXV10" s="21"/>
      <c r="QXW10" s="21"/>
      <c r="QXX10" s="21"/>
      <c r="QXY10" s="21"/>
      <c r="QXZ10" s="21"/>
      <c r="QYA10" s="21"/>
      <c r="QYB10" s="21"/>
      <c r="QYC10" s="21"/>
      <c r="QYD10" s="21"/>
      <c r="QYE10" s="21"/>
      <c r="QYF10" s="21"/>
      <c r="QYG10" s="21"/>
      <c r="QYH10" s="21"/>
      <c r="QYI10" s="21"/>
      <c r="QYJ10" s="21"/>
      <c r="QYK10" s="21"/>
      <c r="QYL10" s="21"/>
      <c r="QYM10" s="21"/>
      <c r="QYN10" s="21"/>
      <c r="QYO10" s="21"/>
      <c r="QYP10" s="21"/>
      <c r="QYQ10" s="21"/>
      <c r="QYR10" s="21"/>
      <c r="QYS10" s="21"/>
      <c r="QYT10" s="21"/>
      <c r="QYU10" s="21"/>
      <c r="QYV10" s="21"/>
      <c r="QYW10" s="21"/>
      <c r="QYX10" s="21"/>
      <c r="QYY10" s="21"/>
      <c r="QYZ10" s="21"/>
      <c r="QZA10" s="21"/>
      <c r="QZB10" s="21"/>
      <c r="QZC10" s="21"/>
      <c r="QZD10" s="21"/>
      <c r="QZE10" s="21"/>
      <c r="QZF10" s="21"/>
      <c r="QZG10" s="21"/>
      <c r="QZH10" s="21"/>
      <c r="QZI10" s="21"/>
      <c r="QZJ10" s="21"/>
      <c r="QZK10" s="21"/>
      <c r="QZL10" s="21"/>
      <c r="QZM10" s="21"/>
      <c r="QZN10" s="21"/>
      <c r="QZO10" s="21"/>
      <c r="QZP10" s="21"/>
      <c r="QZQ10" s="21"/>
      <c r="QZR10" s="21"/>
      <c r="QZS10" s="21"/>
      <c r="QZT10" s="21"/>
      <c r="QZU10" s="21"/>
      <c r="QZV10" s="21"/>
      <c r="QZW10" s="21"/>
      <c r="QZX10" s="21"/>
      <c r="QZY10" s="21"/>
      <c r="QZZ10" s="21"/>
      <c r="RAA10" s="21"/>
      <c r="RAB10" s="21"/>
      <c r="RAC10" s="21"/>
      <c r="RAD10" s="21"/>
      <c r="RAE10" s="21"/>
      <c r="RAF10" s="21"/>
      <c r="RAG10" s="21"/>
      <c r="RAH10" s="21"/>
      <c r="RAI10" s="21"/>
      <c r="RAJ10" s="21"/>
      <c r="RAK10" s="21"/>
      <c r="RAL10" s="21"/>
      <c r="RAM10" s="21"/>
      <c r="RAN10" s="21"/>
      <c r="RAO10" s="21"/>
      <c r="RAP10" s="21"/>
      <c r="RAQ10" s="21"/>
      <c r="RAR10" s="21"/>
      <c r="RAS10" s="21"/>
      <c r="RAT10" s="21"/>
      <c r="RAU10" s="21"/>
      <c r="RAV10" s="21"/>
      <c r="RAW10" s="21"/>
      <c r="RAX10" s="21"/>
      <c r="RAY10" s="21"/>
      <c r="RAZ10" s="21"/>
      <c r="RBA10" s="21"/>
      <c r="RBB10" s="21"/>
      <c r="RBC10" s="21"/>
      <c r="RBD10" s="21"/>
      <c r="RBE10" s="21"/>
      <c r="RBF10" s="21"/>
      <c r="RBG10" s="21"/>
      <c r="RBH10" s="21"/>
      <c r="RBI10" s="21"/>
      <c r="RBJ10" s="21"/>
      <c r="RBK10" s="21"/>
      <c r="RBL10" s="21"/>
      <c r="RBM10" s="21"/>
      <c r="RBN10" s="21"/>
      <c r="RBO10" s="21"/>
      <c r="RBP10" s="21"/>
      <c r="RBQ10" s="21"/>
      <c r="RBR10" s="21"/>
      <c r="RBS10" s="21"/>
      <c r="RBT10" s="21"/>
      <c r="RBU10" s="21"/>
      <c r="RBV10" s="21"/>
      <c r="RBW10" s="21"/>
      <c r="RBX10" s="21"/>
      <c r="RBY10" s="21"/>
      <c r="RBZ10" s="21"/>
      <c r="RCA10" s="21"/>
      <c r="RCB10" s="21"/>
      <c r="RCC10" s="21"/>
      <c r="RCD10" s="21"/>
      <c r="RCE10" s="21"/>
      <c r="RCF10" s="21"/>
      <c r="RCG10" s="21"/>
      <c r="RCH10" s="21"/>
      <c r="RCI10" s="21"/>
      <c r="RCJ10" s="21"/>
      <c r="RCK10" s="21"/>
      <c r="RCL10" s="21"/>
      <c r="RCM10" s="21"/>
      <c r="RCN10" s="21"/>
      <c r="RCO10" s="21"/>
      <c r="RCP10" s="21"/>
      <c r="RCQ10" s="21"/>
      <c r="RCR10" s="21"/>
      <c r="RCS10" s="21"/>
      <c r="RCT10" s="21"/>
      <c r="RCU10" s="21"/>
      <c r="RCV10" s="21"/>
      <c r="RCW10" s="21"/>
      <c r="RCX10" s="21"/>
      <c r="RCY10" s="21"/>
      <c r="RCZ10" s="21"/>
      <c r="RDA10" s="21"/>
      <c r="RDB10" s="21"/>
      <c r="RDC10" s="21"/>
      <c r="RDD10" s="21"/>
      <c r="RDE10" s="21"/>
      <c r="RDF10" s="21"/>
      <c r="RDG10" s="21"/>
      <c r="RDH10" s="21"/>
      <c r="RDI10" s="21"/>
      <c r="RDJ10" s="21"/>
      <c r="RDK10" s="21"/>
      <c r="RDL10" s="21"/>
      <c r="RDM10" s="21"/>
      <c r="RDN10" s="21"/>
      <c r="RDO10" s="21"/>
      <c r="RDP10" s="21"/>
      <c r="RDQ10" s="21"/>
      <c r="RDR10" s="21"/>
      <c r="RDS10" s="21"/>
      <c r="RDT10" s="21"/>
      <c r="RDU10" s="21"/>
      <c r="RDV10" s="21"/>
      <c r="RDW10" s="21"/>
      <c r="RDX10" s="21"/>
      <c r="RDY10" s="21"/>
      <c r="RDZ10" s="21"/>
      <c r="REA10" s="21"/>
      <c r="REB10" s="21"/>
      <c r="REC10" s="21"/>
      <c r="RED10" s="21"/>
      <c r="REE10" s="21"/>
      <c r="REF10" s="21"/>
      <c r="REG10" s="21"/>
      <c r="REH10" s="21"/>
      <c r="REI10" s="21"/>
      <c r="REJ10" s="21"/>
      <c r="REK10" s="21"/>
      <c r="REL10" s="21"/>
      <c r="REM10" s="21"/>
      <c r="REN10" s="21"/>
      <c r="REO10" s="21"/>
      <c r="REP10" s="21"/>
      <c r="REQ10" s="21"/>
      <c r="RER10" s="21"/>
      <c r="RES10" s="21"/>
      <c r="RET10" s="21"/>
      <c r="REU10" s="21"/>
      <c r="REV10" s="21"/>
      <c r="REW10" s="21"/>
      <c r="REX10" s="21"/>
      <c r="REY10" s="21"/>
      <c r="REZ10" s="21"/>
      <c r="RFA10" s="21"/>
      <c r="RFB10" s="21"/>
      <c r="RFC10" s="21"/>
      <c r="RFD10" s="21"/>
      <c r="RFE10" s="21"/>
      <c r="RFF10" s="21"/>
      <c r="RFG10" s="21"/>
      <c r="RFH10" s="21"/>
      <c r="RFI10" s="21"/>
      <c r="RFJ10" s="21"/>
      <c r="RFK10" s="21"/>
      <c r="RFL10" s="21"/>
      <c r="RFM10" s="21"/>
      <c r="RFN10" s="21"/>
      <c r="RFO10" s="21"/>
      <c r="RFP10" s="21"/>
      <c r="RFQ10" s="21"/>
      <c r="RFR10" s="21"/>
      <c r="RFS10" s="21"/>
      <c r="RFT10" s="21"/>
      <c r="RFU10" s="21"/>
      <c r="RFV10" s="21"/>
      <c r="RFW10" s="21"/>
      <c r="RFX10" s="21"/>
      <c r="RFY10" s="21"/>
      <c r="RFZ10" s="21"/>
      <c r="RGA10" s="21"/>
      <c r="RGB10" s="21"/>
      <c r="RGC10" s="21"/>
      <c r="RGD10" s="21"/>
      <c r="RGE10" s="21"/>
      <c r="RGF10" s="21"/>
      <c r="RGG10" s="21"/>
      <c r="RGH10" s="21"/>
      <c r="RGI10" s="21"/>
      <c r="RGJ10" s="21"/>
      <c r="RGK10" s="21"/>
      <c r="RGL10" s="21"/>
      <c r="RGM10" s="21"/>
      <c r="RGN10" s="21"/>
      <c r="RGO10" s="21"/>
      <c r="RGP10" s="21"/>
      <c r="RGQ10" s="21"/>
      <c r="RGR10" s="21"/>
      <c r="RGS10" s="21"/>
      <c r="RGT10" s="21"/>
      <c r="RGU10" s="21"/>
      <c r="RGV10" s="21"/>
      <c r="RGW10" s="21"/>
      <c r="RGX10" s="21"/>
      <c r="RGY10" s="21"/>
      <c r="RGZ10" s="21"/>
      <c r="RHA10" s="21"/>
      <c r="RHB10" s="21"/>
      <c r="RHC10" s="21"/>
      <c r="RHD10" s="21"/>
      <c r="RHE10" s="21"/>
      <c r="RHF10" s="21"/>
      <c r="RHG10" s="21"/>
      <c r="RHH10" s="21"/>
      <c r="RHI10" s="21"/>
      <c r="RHJ10" s="21"/>
      <c r="RHK10" s="21"/>
      <c r="RHL10" s="21"/>
      <c r="RHM10" s="21"/>
      <c r="RHN10" s="21"/>
      <c r="RHO10" s="21"/>
      <c r="RHP10" s="21"/>
      <c r="RHQ10" s="21"/>
      <c r="RHR10" s="21"/>
      <c r="RHS10" s="21"/>
      <c r="RHT10" s="21"/>
      <c r="RHU10" s="21"/>
      <c r="RHV10" s="21"/>
      <c r="RHW10" s="21"/>
      <c r="RHX10" s="21"/>
      <c r="RHY10" s="21"/>
      <c r="RHZ10" s="21"/>
      <c r="RIA10" s="21"/>
      <c r="RIB10" s="21"/>
      <c r="RIC10" s="21"/>
      <c r="RID10" s="21"/>
      <c r="RIE10" s="21"/>
      <c r="RIF10" s="21"/>
      <c r="RIG10" s="21"/>
      <c r="RIH10" s="21"/>
      <c r="RII10" s="21"/>
      <c r="RIJ10" s="21"/>
      <c r="RIK10" s="21"/>
      <c r="RIL10" s="21"/>
      <c r="RIM10" s="21"/>
      <c r="RIN10" s="21"/>
      <c r="RIO10" s="21"/>
      <c r="RIP10" s="21"/>
      <c r="RIQ10" s="21"/>
      <c r="RIR10" s="21"/>
      <c r="RIS10" s="21"/>
      <c r="RIT10" s="21"/>
      <c r="RIU10" s="21"/>
      <c r="RIV10" s="21"/>
      <c r="RIW10" s="21"/>
      <c r="RIX10" s="21"/>
      <c r="RIY10" s="21"/>
      <c r="RIZ10" s="21"/>
      <c r="RJA10" s="21"/>
      <c r="RJB10" s="21"/>
      <c r="RJC10" s="21"/>
      <c r="RJD10" s="21"/>
      <c r="RJE10" s="21"/>
      <c r="RJF10" s="21"/>
      <c r="RJG10" s="21"/>
      <c r="RJH10" s="21"/>
      <c r="RJI10" s="21"/>
      <c r="RJJ10" s="21"/>
      <c r="RJK10" s="21"/>
      <c r="RJL10" s="21"/>
      <c r="RJM10" s="21"/>
      <c r="RJN10" s="21"/>
      <c r="RJO10" s="21"/>
      <c r="RJP10" s="21"/>
      <c r="RJQ10" s="21"/>
      <c r="RJR10" s="21"/>
      <c r="RJS10" s="21"/>
      <c r="RJT10" s="21"/>
      <c r="RJU10" s="21"/>
      <c r="RJV10" s="21"/>
      <c r="RJW10" s="21"/>
      <c r="RJX10" s="21"/>
      <c r="RJY10" s="21"/>
      <c r="RJZ10" s="21"/>
      <c r="RKA10" s="21"/>
      <c r="RKB10" s="21"/>
      <c r="RKC10" s="21"/>
      <c r="RKD10" s="21"/>
      <c r="RKE10" s="21"/>
      <c r="RKF10" s="21"/>
      <c r="RKG10" s="21"/>
      <c r="RKH10" s="21"/>
      <c r="RKI10" s="21"/>
      <c r="RKJ10" s="21"/>
      <c r="RKK10" s="21"/>
      <c r="RKL10" s="21"/>
      <c r="RKM10" s="21"/>
      <c r="RKN10" s="21"/>
      <c r="RKO10" s="21"/>
      <c r="RKP10" s="21"/>
      <c r="RKQ10" s="21"/>
      <c r="RKR10" s="21"/>
      <c r="RKS10" s="21"/>
      <c r="RKT10" s="21"/>
      <c r="RKU10" s="21"/>
      <c r="RKV10" s="21"/>
      <c r="RKW10" s="21"/>
      <c r="RKX10" s="21"/>
      <c r="RKY10" s="21"/>
      <c r="RKZ10" s="21"/>
      <c r="RLA10" s="21"/>
      <c r="RLB10" s="21"/>
      <c r="RLC10" s="21"/>
      <c r="RLD10" s="21"/>
      <c r="RLE10" s="21"/>
      <c r="RLF10" s="21"/>
      <c r="RLG10" s="21"/>
      <c r="RLH10" s="21"/>
      <c r="RLI10" s="21"/>
      <c r="RLJ10" s="21"/>
      <c r="RLK10" s="21"/>
      <c r="RLL10" s="21"/>
      <c r="RLM10" s="21"/>
      <c r="RLN10" s="21"/>
      <c r="RLO10" s="21"/>
      <c r="RLP10" s="21"/>
      <c r="RLQ10" s="21"/>
      <c r="RLR10" s="21"/>
      <c r="RLS10" s="21"/>
      <c r="RLT10" s="21"/>
      <c r="RLU10" s="21"/>
      <c r="RLV10" s="21"/>
      <c r="RLW10" s="21"/>
      <c r="RLX10" s="21"/>
      <c r="RLY10" s="21"/>
      <c r="RLZ10" s="21"/>
      <c r="RMA10" s="21"/>
      <c r="RMB10" s="21"/>
      <c r="RMC10" s="21"/>
      <c r="RMD10" s="21"/>
      <c r="RME10" s="21"/>
      <c r="RMF10" s="21"/>
      <c r="RMG10" s="21"/>
      <c r="RMH10" s="21"/>
      <c r="RMI10" s="21"/>
      <c r="RMJ10" s="21"/>
      <c r="RMK10" s="21"/>
      <c r="RML10" s="21"/>
      <c r="RMM10" s="21"/>
      <c r="RMN10" s="21"/>
      <c r="RMO10" s="21"/>
      <c r="RMP10" s="21"/>
      <c r="RMQ10" s="21"/>
      <c r="RMR10" s="21"/>
      <c r="RMS10" s="21"/>
      <c r="RMT10" s="21"/>
      <c r="RMU10" s="21"/>
      <c r="RMV10" s="21"/>
      <c r="RMW10" s="21"/>
      <c r="RMX10" s="21"/>
      <c r="RMY10" s="21"/>
      <c r="RMZ10" s="21"/>
      <c r="RNA10" s="21"/>
      <c r="RNB10" s="21"/>
      <c r="RNC10" s="21"/>
      <c r="RND10" s="21"/>
      <c r="RNE10" s="21"/>
      <c r="RNF10" s="21"/>
      <c r="RNG10" s="21"/>
      <c r="RNH10" s="21"/>
      <c r="RNI10" s="21"/>
      <c r="RNJ10" s="21"/>
      <c r="RNK10" s="21"/>
      <c r="RNL10" s="21"/>
      <c r="RNM10" s="21"/>
      <c r="RNN10" s="21"/>
      <c r="RNO10" s="21"/>
      <c r="RNP10" s="21"/>
      <c r="RNQ10" s="21"/>
      <c r="RNR10" s="21"/>
      <c r="RNS10" s="21"/>
      <c r="RNT10" s="21"/>
      <c r="RNU10" s="21"/>
      <c r="RNV10" s="21"/>
      <c r="RNW10" s="21"/>
      <c r="RNX10" s="21"/>
      <c r="RNY10" s="21"/>
      <c r="RNZ10" s="21"/>
      <c r="ROA10" s="21"/>
      <c r="ROB10" s="21"/>
      <c r="ROC10" s="21"/>
      <c r="ROD10" s="21"/>
      <c r="ROE10" s="21"/>
      <c r="ROF10" s="21"/>
      <c r="ROG10" s="21"/>
      <c r="ROH10" s="21"/>
      <c r="ROI10" s="21"/>
      <c r="ROJ10" s="21"/>
      <c r="ROK10" s="21"/>
      <c r="ROL10" s="21"/>
      <c r="ROM10" s="21"/>
      <c r="RON10" s="21"/>
      <c r="ROO10" s="21"/>
      <c r="ROP10" s="21"/>
      <c r="ROQ10" s="21"/>
      <c r="ROR10" s="21"/>
      <c r="ROS10" s="21"/>
      <c r="ROT10" s="21"/>
      <c r="ROU10" s="21"/>
      <c r="ROV10" s="21"/>
      <c r="ROW10" s="21"/>
      <c r="ROX10" s="21"/>
      <c r="ROY10" s="21"/>
      <c r="ROZ10" s="21"/>
      <c r="RPA10" s="21"/>
      <c r="RPB10" s="21"/>
      <c r="RPC10" s="21"/>
      <c r="RPD10" s="21"/>
      <c r="RPE10" s="21"/>
      <c r="RPF10" s="21"/>
      <c r="RPG10" s="21"/>
      <c r="RPH10" s="21"/>
      <c r="RPI10" s="21"/>
      <c r="RPJ10" s="21"/>
      <c r="RPK10" s="21"/>
      <c r="RPL10" s="21"/>
      <c r="RPM10" s="21"/>
      <c r="RPN10" s="21"/>
      <c r="RPO10" s="21"/>
      <c r="RPP10" s="21"/>
      <c r="RPQ10" s="21"/>
      <c r="RPR10" s="21"/>
      <c r="RPS10" s="21"/>
      <c r="RPT10" s="21"/>
      <c r="RPU10" s="21"/>
      <c r="RPV10" s="21"/>
      <c r="RPW10" s="21"/>
      <c r="RPX10" s="21"/>
      <c r="RPY10" s="21"/>
      <c r="RPZ10" s="21"/>
      <c r="RQA10" s="21"/>
      <c r="RQB10" s="21"/>
      <c r="RQC10" s="21"/>
      <c r="RQD10" s="21"/>
      <c r="RQE10" s="21"/>
      <c r="RQF10" s="21"/>
      <c r="RQG10" s="21"/>
      <c r="RQH10" s="21"/>
      <c r="RQI10" s="21"/>
      <c r="RQJ10" s="21"/>
      <c r="RQK10" s="21"/>
      <c r="RQL10" s="21"/>
      <c r="RQM10" s="21"/>
      <c r="RQN10" s="21"/>
      <c r="RQO10" s="21"/>
      <c r="RQP10" s="21"/>
      <c r="RQQ10" s="21"/>
      <c r="RQR10" s="21"/>
      <c r="RQS10" s="21"/>
      <c r="RQT10" s="21"/>
      <c r="RQU10" s="21"/>
      <c r="RQV10" s="21"/>
      <c r="RQW10" s="21"/>
      <c r="RQX10" s="21"/>
      <c r="RQY10" s="21"/>
      <c r="RQZ10" s="21"/>
      <c r="RRA10" s="21"/>
      <c r="RRB10" s="21"/>
      <c r="RRC10" s="21"/>
      <c r="RRD10" s="21"/>
      <c r="RRE10" s="21"/>
      <c r="RRF10" s="21"/>
      <c r="RRG10" s="21"/>
      <c r="RRH10" s="21"/>
      <c r="RRI10" s="21"/>
      <c r="RRJ10" s="21"/>
      <c r="RRK10" s="21"/>
      <c r="RRL10" s="21"/>
      <c r="RRM10" s="21"/>
      <c r="RRN10" s="21"/>
      <c r="RRO10" s="21"/>
      <c r="RRP10" s="21"/>
      <c r="RRQ10" s="21"/>
      <c r="RRR10" s="21"/>
      <c r="RRS10" s="21"/>
      <c r="RRT10" s="21"/>
      <c r="RRU10" s="21"/>
      <c r="RRV10" s="21"/>
      <c r="RRW10" s="21"/>
      <c r="RRX10" s="21"/>
      <c r="RRY10" s="21"/>
      <c r="RRZ10" s="21"/>
      <c r="RSA10" s="21"/>
      <c r="RSB10" s="21"/>
      <c r="RSC10" s="21"/>
      <c r="RSD10" s="21"/>
      <c r="RSE10" s="21"/>
      <c r="RSF10" s="21"/>
      <c r="RSG10" s="21"/>
      <c r="RSH10" s="21"/>
      <c r="RSI10" s="21"/>
      <c r="RSJ10" s="21"/>
      <c r="RSK10" s="21"/>
      <c r="RSL10" s="21"/>
      <c r="RSM10" s="21"/>
      <c r="RSN10" s="21"/>
      <c r="RSO10" s="21"/>
      <c r="RSP10" s="21"/>
      <c r="RSQ10" s="21"/>
      <c r="RSR10" s="21"/>
      <c r="RSS10" s="21"/>
      <c r="RST10" s="21"/>
      <c r="RSU10" s="21"/>
      <c r="RSV10" s="21"/>
      <c r="RSW10" s="21"/>
      <c r="RSX10" s="21"/>
      <c r="RSY10" s="21"/>
      <c r="RSZ10" s="21"/>
      <c r="RTA10" s="21"/>
      <c r="RTB10" s="21"/>
      <c r="RTC10" s="21"/>
      <c r="RTD10" s="21"/>
      <c r="RTE10" s="21"/>
      <c r="RTF10" s="21"/>
      <c r="RTG10" s="21"/>
      <c r="RTH10" s="21"/>
      <c r="RTI10" s="21"/>
      <c r="RTJ10" s="21"/>
      <c r="RTK10" s="21"/>
      <c r="RTL10" s="21"/>
      <c r="RTM10" s="21"/>
      <c r="RTN10" s="21"/>
      <c r="RTO10" s="21"/>
      <c r="RTP10" s="21"/>
      <c r="RTQ10" s="21"/>
      <c r="RTR10" s="21"/>
      <c r="RTS10" s="21"/>
      <c r="RTT10" s="21"/>
      <c r="RTU10" s="21"/>
      <c r="RTV10" s="21"/>
      <c r="RTW10" s="21"/>
      <c r="RTX10" s="21"/>
      <c r="RTY10" s="21"/>
      <c r="RTZ10" s="21"/>
      <c r="RUA10" s="21"/>
      <c r="RUB10" s="21"/>
      <c r="RUC10" s="21"/>
      <c r="RUD10" s="21"/>
      <c r="RUE10" s="21"/>
      <c r="RUF10" s="21"/>
      <c r="RUG10" s="21"/>
      <c r="RUH10" s="21"/>
      <c r="RUI10" s="21"/>
      <c r="RUJ10" s="21"/>
      <c r="RUK10" s="21"/>
      <c r="RUL10" s="21"/>
      <c r="RUM10" s="21"/>
      <c r="RUN10" s="21"/>
      <c r="RUO10" s="21"/>
      <c r="RUP10" s="21"/>
      <c r="RUQ10" s="21"/>
      <c r="RUR10" s="21"/>
      <c r="RUS10" s="21"/>
      <c r="RUT10" s="21"/>
      <c r="RUU10" s="21"/>
      <c r="RUV10" s="21"/>
      <c r="RUW10" s="21"/>
      <c r="RUX10" s="21"/>
      <c r="RUY10" s="21"/>
      <c r="RUZ10" s="21"/>
      <c r="RVA10" s="21"/>
      <c r="RVB10" s="21"/>
      <c r="RVC10" s="21"/>
      <c r="RVD10" s="21"/>
      <c r="RVE10" s="21"/>
      <c r="RVF10" s="21"/>
      <c r="RVG10" s="21"/>
      <c r="RVH10" s="21"/>
      <c r="RVI10" s="21"/>
      <c r="RVJ10" s="21"/>
      <c r="RVK10" s="21"/>
      <c r="RVL10" s="21"/>
      <c r="RVM10" s="21"/>
      <c r="RVN10" s="21"/>
      <c r="RVO10" s="21"/>
      <c r="RVP10" s="21"/>
      <c r="RVQ10" s="21"/>
      <c r="RVR10" s="21"/>
      <c r="RVS10" s="21"/>
      <c r="RVT10" s="21"/>
      <c r="RVU10" s="21"/>
      <c r="RVV10" s="21"/>
      <c r="RVW10" s="21"/>
      <c r="RVX10" s="21"/>
      <c r="RVY10" s="21"/>
      <c r="RVZ10" s="21"/>
      <c r="RWA10" s="21"/>
      <c r="RWB10" s="21"/>
      <c r="RWC10" s="21"/>
      <c r="RWD10" s="21"/>
      <c r="RWE10" s="21"/>
      <c r="RWF10" s="21"/>
      <c r="RWG10" s="21"/>
      <c r="RWH10" s="21"/>
      <c r="RWI10" s="21"/>
      <c r="RWJ10" s="21"/>
      <c r="RWK10" s="21"/>
      <c r="RWL10" s="21"/>
      <c r="RWM10" s="21"/>
      <c r="RWN10" s="21"/>
      <c r="RWO10" s="21"/>
      <c r="RWP10" s="21"/>
      <c r="RWQ10" s="21"/>
      <c r="RWR10" s="21"/>
      <c r="RWS10" s="21"/>
      <c r="RWT10" s="21"/>
      <c r="RWU10" s="21"/>
      <c r="RWV10" s="21"/>
      <c r="RWW10" s="21"/>
      <c r="RWX10" s="21"/>
      <c r="RWY10" s="21"/>
      <c r="RWZ10" s="21"/>
      <c r="RXA10" s="21"/>
      <c r="RXB10" s="21"/>
      <c r="RXC10" s="21"/>
      <c r="RXD10" s="21"/>
      <c r="RXE10" s="21"/>
      <c r="RXF10" s="21"/>
      <c r="RXG10" s="21"/>
      <c r="RXH10" s="21"/>
      <c r="RXI10" s="21"/>
      <c r="RXJ10" s="21"/>
      <c r="RXK10" s="21"/>
      <c r="RXL10" s="21"/>
      <c r="RXM10" s="21"/>
      <c r="RXN10" s="21"/>
      <c r="RXO10" s="21"/>
      <c r="RXP10" s="21"/>
      <c r="RXQ10" s="21"/>
      <c r="RXR10" s="21"/>
      <c r="RXS10" s="21"/>
      <c r="RXT10" s="21"/>
      <c r="RXU10" s="21"/>
      <c r="RXV10" s="21"/>
      <c r="RXW10" s="21"/>
      <c r="RXX10" s="21"/>
      <c r="RXY10" s="21"/>
      <c r="RXZ10" s="21"/>
      <c r="RYA10" s="21"/>
      <c r="RYB10" s="21"/>
      <c r="RYC10" s="21"/>
      <c r="RYD10" s="21"/>
      <c r="RYE10" s="21"/>
      <c r="RYF10" s="21"/>
      <c r="RYG10" s="21"/>
      <c r="RYH10" s="21"/>
      <c r="RYI10" s="21"/>
      <c r="RYJ10" s="21"/>
      <c r="RYK10" s="21"/>
      <c r="RYL10" s="21"/>
      <c r="RYM10" s="21"/>
      <c r="RYN10" s="21"/>
      <c r="RYO10" s="21"/>
      <c r="RYP10" s="21"/>
      <c r="RYQ10" s="21"/>
      <c r="RYR10" s="21"/>
      <c r="RYS10" s="21"/>
      <c r="RYT10" s="21"/>
      <c r="RYU10" s="21"/>
      <c r="RYV10" s="21"/>
      <c r="RYW10" s="21"/>
      <c r="RYX10" s="21"/>
      <c r="RYY10" s="21"/>
      <c r="RYZ10" s="21"/>
      <c r="RZA10" s="21"/>
      <c r="RZB10" s="21"/>
      <c r="RZC10" s="21"/>
      <c r="RZD10" s="21"/>
      <c r="RZE10" s="21"/>
      <c r="RZF10" s="21"/>
      <c r="RZG10" s="21"/>
      <c r="RZH10" s="21"/>
      <c r="RZI10" s="21"/>
      <c r="RZJ10" s="21"/>
      <c r="RZK10" s="21"/>
      <c r="RZL10" s="21"/>
      <c r="RZM10" s="21"/>
      <c r="RZN10" s="21"/>
      <c r="RZO10" s="21"/>
      <c r="RZP10" s="21"/>
      <c r="RZQ10" s="21"/>
      <c r="RZR10" s="21"/>
      <c r="RZS10" s="21"/>
      <c r="RZT10" s="21"/>
      <c r="RZU10" s="21"/>
      <c r="RZV10" s="21"/>
      <c r="RZW10" s="21"/>
      <c r="RZX10" s="21"/>
      <c r="RZY10" s="21"/>
      <c r="RZZ10" s="21"/>
      <c r="SAA10" s="21"/>
      <c r="SAB10" s="21"/>
      <c r="SAC10" s="21"/>
      <c r="SAD10" s="21"/>
      <c r="SAE10" s="21"/>
      <c r="SAF10" s="21"/>
      <c r="SAG10" s="21"/>
      <c r="SAH10" s="21"/>
      <c r="SAI10" s="21"/>
      <c r="SAJ10" s="21"/>
      <c r="SAK10" s="21"/>
      <c r="SAL10" s="21"/>
      <c r="SAM10" s="21"/>
      <c r="SAN10" s="21"/>
      <c r="SAO10" s="21"/>
      <c r="SAP10" s="21"/>
      <c r="SAQ10" s="21"/>
      <c r="SAR10" s="21"/>
      <c r="SAS10" s="21"/>
      <c r="SAT10" s="21"/>
      <c r="SAU10" s="21"/>
      <c r="SAV10" s="21"/>
      <c r="SAW10" s="21"/>
      <c r="SAX10" s="21"/>
      <c r="SAY10" s="21"/>
      <c r="SAZ10" s="21"/>
      <c r="SBA10" s="21"/>
      <c r="SBB10" s="21"/>
      <c r="SBC10" s="21"/>
      <c r="SBD10" s="21"/>
      <c r="SBE10" s="21"/>
      <c r="SBF10" s="21"/>
      <c r="SBG10" s="21"/>
      <c r="SBH10" s="21"/>
      <c r="SBI10" s="21"/>
      <c r="SBJ10" s="21"/>
      <c r="SBK10" s="21"/>
      <c r="SBL10" s="21"/>
      <c r="SBM10" s="21"/>
      <c r="SBN10" s="21"/>
      <c r="SBO10" s="21"/>
      <c r="SBP10" s="21"/>
      <c r="SBQ10" s="21"/>
      <c r="SBR10" s="21"/>
      <c r="SBS10" s="21"/>
      <c r="SBT10" s="21"/>
      <c r="SBU10" s="21"/>
      <c r="SBV10" s="21"/>
      <c r="SBW10" s="21"/>
      <c r="SBX10" s="21"/>
      <c r="SBY10" s="21"/>
      <c r="SBZ10" s="21"/>
      <c r="SCA10" s="21"/>
      <c r="SCB10" s="21"/>
      <c r="SCC10" s="21"/>
      <c r="SCD10" s="21"/>
      <c r="SCE10" s="21"/>
      <c r="SCF10" s="21"/>
      <c r="SCG10" s="21"/>
      <c r="SCH10" s="21"/>
      <c r="SCI10" s="21"/>
      <c r="SCJ10" s="21"/>
      <c r="SCK10" s="21"/>
      <c r="SCL10" s="21"/>
      <c r="SCM10" s="21"/>
      <c r="SCN10" s="21"/>
      <c r="SCO10" s="21"/>
      <c r="SCP10" s="21"/>
      <c r="SCQ10" s="21"/>
      <c r="SCR10" s="21"/>
      <c r="SCS10" s="21"/>
      <c r="SCT10" s="21"/>
      <c r="SCU10" s="21"/>
      <c r="SCV10" s="21"/>
      <c r="SCW10" s="21"/>
      <c r="SCX10" s="21"/>
      <c r="SCY10" s="21"/>
      <c r="SCZ10" s="21"/>
      <c r="SDA10" s="21"/>
      <c r="SDB10" s="21"/>
      <c r="SDC10" s="21"/>
      <c r="SDD10" s="21"/>
      <c r="SDE10" s="21"/>
      <c r="SDF10" s="21"/>
      <c r="SDG10" s="21"/>
      <c r="SDH10" s="21"/>
      <c r="SDI10" s="21"/>
      <c r="SDJ10" s="21"/>
      <c r="SDK10" s="21"/>
      <c r="SDL10" s="21"/>
      <c r="SDM10" s="21"/>
      <c r="SDN10" s="21"/>
      <c r="SDO10" s="21"/>
      <c r="SDP10" s="21"/>
      <c r="SDQ10" s="21"/>
      <c r="SDR10" s="21"/>
      <c r="SDS10" s="21"/>
      <c r="SDT10" s="21"/>
      <c r="SDU10" s="21"/>
      <c r="SDV10" s="21"/>
      <c r="SDW10" s="21"/>
      <c r="SDX10" s="21"/>
      <c r="SDY10" s="21"/>
      <c r="SDZ10" s="21"/>
      <c r="SEA10" s="21"/>
      <c r="SEB10" s="21"/>
      <c r="SEC10" s="21"/>
      <c r="SED10" s="21"/>
      <c r="SEE10" s="21"/>
      <c r="SEF10" s="21"/>
      <c r="SEG10" s="21"/>
      <c r="SEH10" s="21"/>
      <c r="SEI10" s="21"/>
      <c r="SEJ10" s="21"/>
      <c r="SEK10" s="21"/>
      <c r="SEL10" s="21"/>
      <c r="SEM10" s="21"/>
      <c r="SEN10" s="21"/>
      <c r="SEO10" s="21"/>
      <c r="SEP10" s="21"/>
      <c r="SEQ10" s="21"/>
      <c r="SER10" s="21"/>
      <c r="SES10" s="21"/>
      <c r="SET10" s="21"/>
      <c r="SEU10" s="21"/>
      <c r="SEV10" s="21"/>
      <c r="SEW10" s="21"/>
      <c r="SEX10" s="21"/>
      <c r="SEY10" s="21"/>
      <c r="SEZ10" s="21"/>
      <c r="SFA10" s="21"/>
      <c r="SFB10" s="21"/>
      <c r="SFC10" s="21"/>
      <c r="SFD10" s="21"/>
      <c r="SFE10" s="21"/>
      <c r="SFF10" s="21"/>
      <c r="SFG10" s="21"/>
      <c r="SFH10" s="21"/>
      <c r="SFI10" s="21"/>
      <c r="SFJ10" s="21"/>
      <c r="SFK10" s="21"/>
      <c r="SFL10" s="21"/>
      <c r="SFM10" s="21"/>
      <c r="SFN10" s="21"/>
      <c r="SFO10" s="21"/>
      <c r="SFP10" s="21"/>
      <c r="SFQ10" s="21"/>
      <c r="SFR10" s="21"/>
      <c r="SFS10" s="21"/>
      <c r="SFT10" s="21"/>
      <c r="SFU10" s="21"/>
      <c r="SFV10" s="21"/>
      <c r="SFW10" s="21"/>
      <c r="SFX10" s="21"/>
      <c r="SFY10" s="21"/>
      <c r="SFZ10" s="21"/>
      <c r="SGA10" s="21"/>
      <c r="SGB10" s="21"/>
      <c r="SGC10" s="21"/>
      <c r="SGD10" s="21"/>
      <c r="SGE10" s="21"/>
      <c r="SGF10" s="21"/>
      <c r="SGG10" s="21"/>
      <c r="SGH10" s="21"/>
      <c r="SGI10" s="21"/>
      <c r="SGJ10" s="21"/>
      <c r="SGK10" s="21"/>
      <c r="SGL10" s="21"/>
      <c r="SGM10" s="21"/>
      <c r="SGN10" s="21"/>
      <c r="SGO10" s="21"/>
      <c r="SGP10" s="21"/>
      <c r="SGQ10" s="21"/>
      <c r="SGR10" s="21"/>
      <c r="SGS10" s="21"/>
      <c r="SGT10" s="21"/>
      <c r="SGU10" s="21"/>
      <c r="SGV10" s="21"/>
      <c r="SGW10" s="21"/>
      <c r="SGX10" s="21"/>
      <c r="SGY10" s="21"/>
      <c r="SGZ10" s="21"/>
      <c r="SHA10" s="21"/>
      <c r="SHB10" s="21"/>
      <c r="SHC10" s="21"/>
      <c r="SHD10" s="21"/>
      <c r="SHE10" s="21"/>
      <c r="SHF10" s="21"/>
      <c r="SHG10" s="21"/>
      <c r="SHH10" s="21"/>
      <c r="SHI10" s="21"/>
      <c r="SHJ10" s="21"/>
      <c r="SHK10" s="21"/>
      <c r="SHL10" s="21"/>
      <c r="SHM10" s="21"/>
      <c r="SHN10" s="21"/>
      <c r="SHO10" s="21"/>
      <c r="SHP10" s="21"/>
      <c r="SHQ10" s="21"/>
      <c r="SHR10" s="21"/>
      <c r="SHS10" s="21"/>
      <c r="SHT10" s="21"/>
      <c r="SHU10" s="21"/>
      <c r="SHV10" s="21"/>
      <c r="SHW10" s="21"/>
      <c r="SHX10" s="21"/>
      <c r="SHY10" s="21"/>
      <c r="SHZ10" s="21"/>
      <c r="SIA10" s="21"/>
      <c r="SIB10" s="21"/>
      <c r="SIC10" s="21"/>
      <c r="SID10" s="21"/>
      <c r="SIE10" s="21"/>
      <c r="SIF10" s="21"/>
      <c r="SIG10" s="21"/>
      <c r="SIH10" s="21"/>
      <c r="SII10" s="21"/>
      <c r="SIJ10" s="21"/>
      <c r="SIK10" s="21"/>
      <c r="SIL10" s="21"/>
      <c r="SIM10" s="21"/>
      <c r="SIN10" s="21"/>
      <c r="SIO10" s="21"/>
      <c r="SIP10" s="21"/>
      <c r="SIQ10" s="21"/>
      <c r="SIR10" s="21"/>
      <c r="SIS10" s="21"/>
      <c r="SIT10" s="21"/>
      <c r="SIU10" s="21"/>
      <c r="SIV10" s="21"/>
      <c r="SIW10" s="21"/>
      <c r="SIX10" s="21"/>
      <c r="SIY10" s="21"/>
      <c r="SIZ10" s="21"/>
      <c r="SJA10" s="21"/>
      <c r="SJB10" s="21"/>
      <c r="SJC10" s="21"/>
      <c r="SJD10" s="21"/>
      <c r="SJE10" s="21"/>
      <c r="SJF10" s="21"/>
      <c r="SJG10" s="21"/>
      <c r="SJH10" s="21"/>
      <c r="SJI10" s="21"/>
      <c r="SJJ10" s="21"/>
      <c r="SJK10" s="21"/>
      <c r="SJL10" s="21"/>
      <c r="SJM10" s="21"/>
      <c r="SJN10" s="21"/>
      <c r="SJO10" s="21"/>
      <c r="SJP10" s="21"/>
      <c r="SJQ10" s="21"/>
      <c r="SJR10" s="21"/>
      <c r="SJS10" s="21"/>
      <c r="SJT10" s="21"/>
      <c r="SJU10" s="21"/>
      <c r="SJV10" s="21"/>
      <c r="SJW10" s="21"/>
      <c r="SJX10" s="21"/>
      <c r="SJY10" s="21"/>
      <c r="SJZ10" s="21"/>
      <c r="SKA10" s="21"/>
      <c r="SKB10" s="21"/>
      <c r="SKC10" s="21"/>
      <c r="SKD10" s="21"/>
      <c r="SKE10" s="21"/>
      <c r="SKF10" s="21"/>
      <c r="SKG10" s="21"/>
      <c r="SKH10" s="21"/>
      <c r="SKI10" s="21"/>
      <c r="SKJ10" s="21"/>
      <c r="SKK10" s="21"/>
      <c r="SKL10" s="21"/>
      <c r="SKM10" s="21"/>
      <c r="SKN10" s="21"/>
      <c r="SKO10" s="21"/>
      <c r="SKP10" s="21"/>
      <c r="SKQ10" s="21"/>
      <c r="SKR10" s="21"/>
      <c r="SKS10" s="21"/>
      <c r="SKT10" s="21"/>
      <c r="SKU10" s="21"/>
      <c r="SKV10" s="21"/>
      <c r="SKW10" s="21"/>
      <c r="SKX10" s="21"/>
      <c r="SKY10" s="21"/>
      <c r="SKZ10" s="21"/>
      <c r="SLA10" s="21"/>
      <c r="SLB10" s="21"/>
      <c r="SLC10" s="21"/>
      <c r="SLD10" s="21"/>
      <c r="SLE10" s="21"/>
      <c r="SLF10" s="21"/>
      <c r="SLG10" s="21"/>
      <c r="SLH10" s="21"/>
      <c r="SLI10" s="21"/>
      <c r="SLJ10" s="21"/>
      <c r="SLK10" s="21"/>
      <c r="SLL10" s="21"/>
      <c r="SLM10" s="21"/>
      <c r="SLN10" s="21"/>
      <c r="SLO10" s="21"/>
      <c r="SLP10" s="21"/>
      <c r="SLQ10" s="21"/>
      <c r="SLR10" s="21"/>
      <c r="SLS10" s="21"/>
      <c r="SLT10" s="21"/>
      <c r="SLU10" s="21"/>
      <c r="SLV10" s="21"/>
      <c r="SLW10" s="21"/>
      <c r="SLX10" s="21"/>
      <c r="SLY10" s="21"/>
      <c r="SLZ10" s="21"/>
      <c r="SMA10" s="21"/>
      <c r="SMB10" s="21"/>
      <c r="SMC10" s="21"/>
      <c r="SMD10" s="21"/>
      <c r="SME10" s="21"/>
      <c r="SMF10" s="21"/>
      <c r="SMG10" s="21"/>
      <c r="SMH10" s="21"/>
      <c r="SMI10" s="21"/>
      <c r="SMJ10" s="21"/>
      <c r="SMK10" s="21"/>
      <c r="SML10" s="21"/>
      <c r="SMM10" s="21"/>
      <c r="SMN10" s="21"/>
      <c r="SMO10" s="21"/>
      <c r="SMP10" s="21"/>
      <c r="SMQ10" s="21"/>
      <c r="SMR10" s="21"/>
      <c r="SMS10" s="21"/>
      <c r="SMT10" s="21"/>
      <c r="SMU10" s="21"/>
      <c r="SMV10" s="21"/>
      <c r="SMW10" s="21"/>
      <c r="SMX10" s="21"/>
      <c r="SMY10" s="21"/>
      <c r="SMZ10" s="21"/>
      <c r="SNA10" s="21"/>
      <c r="SNB10" s="21"/>
      <c r="SNC10" s="21"/>
      <c r="SND10" s="21"/>
      <c r="SNE10" s="21"/>
      <c r="SNF10" s="21"/>
      <c r="SNG10" s="21"/>
      <c r="SNH10" s="21"/>
      <c r="SNI10" s="21"/>
      <c r="SNJ10" s="21"/>
      <c r="SNK10" s="21"/>
      <c r="SNL10" s="21"/>
      <c r="SNM10" s="21"/>
      <c r="SNN10" s="21"/>
      <c r="SNO10" s="21"/>
      <c r="SNP10" s="21"/>
      <c r="SNQ10" s="21"/>
      <c r="SNR10" s="21"/>
      <c r="SNS10" s="21"/>
      <c r="SNT10" s="21"/>
      <c r="SNU10" s="21"/>
      <c r="SNV10" s="21"/>
      <c r="SNW10" s="21"/>
      <c r="SNX10" s="21"/>
      <c r="SNY10" s="21"/>
      <c r="SNZ10" s="21"/>
      <c r="SOA10" s="21"/>
      <c r="SOB10" s="21"/>
      <c r="SOC10" s="21"/>
      <c r="SOD10" s="21"/>
      <c r="SOE10" s="21"/>
      <c r="SOF10" s="21"/>
      <c r="SOG10" s="21"/>
      <c r="SOH10" s="21"/>
      <c r="SOI10" s="21"/>
      <c r="SOJ10" s="21"/>
      <c r="SOK10" s="21"/>
      <c r="SOL10" s="21"/>
      <c r="SOM10" s="21"/>
      <c r="SON10" s="21"/>
      <c r="SOO10" s="21"/>
      <c r="SOP10" s="21"/>
      <c r="SOQ10" s="21"/>
      <c r="SOR10" s="21"/>
      <c r="SOS10" s="21"/>
      <c r="SOT10" s="21"/>
      <c r="SOU10" s="21"/>
      <c r="SOV10" s="21"/>
      <c r="SOW10" s="21"/>
      <c r="SOX10" s="21"/>
      <c r="SOY10" s="21"/>
      <c r="SOZ10" s="21"/>
      <c r="SPA10" s="21"/>
      <c r="SPB10" s="21"/>
      <c r="SPC10" s="21"/>
      <c r="SPD10" s="21"/>
      <c r="SPE10" s="21"/>
      <c r="SPF10" s="21"/>
      <c r="SPG10" s="21"/>
      <c r="SPH10" s="21"/>
      <c r="SPI10" s="21"/>
      <c r="SPJ10" s="21"/>
      <c r="SPK10" s="21"/>
      <c r="SPL10" s="21"/>
      <c r="SPM10" s="21"/>
      <c r="SPN10" s="21"/>
      <c r="SPO10" s="21"/>
      <c r="SPP10" s="21"/>
      <c r="SPQ10" s="21"/>
      <c r="SPR10" s="21"/>
      <c r="SPS10" s="21"/>
      <c r="SPT10" s="21"/>
      <c r="SPU10" s="21"/>
      <c r="SPV10" s="21"/>
      <c r="SPW10" s="21"/>
      <c r="SPX10" s="21"/>
      <c r="SPY10" s="21"/>
      <c r="SPZ10" s="21"/>
      <c r="SQA10" s="21"/>
      <c r="SQB10" s="21"/>
      <c r="SQC10" s="21"/>
      <c r="SQD10" s="21"/>
      <c r="SQE10" s="21"/>
      <c r="SQF10" s="21"/>
      <c r="SQG10" s="21"/>
      <c r="SQH10" s="21"/>
      <c r="SQI10" s="21"/>
      <c r="SQJ10" s="21"/>
      <c r="SQK10" s="21"/>
      <c r="SQL10" s="21"/>
      <c r="SQM10" s="21"/>
      <c r="SQN10" s="21"/>
      <c r="SQO10" s="21"/>
      <c r="SQP10" s="21"/>
      <c r="SQQ10" s="21"/>
      <c r="SQR10" s="21"/>
      <c r="SQS10" s="21"/>
      <c r="SQT10" s="21"/>
      <c r="SQU10" s="21"/>
      <c r="SQV10" s="21"/>
      <c r="SQW10" s="21"/>
      <c r="SQX10" s="21"/>
      <c r="SQY10" s="21"/>
      <c r="SQZ10" s="21"/>
      <c r="SRA10" s="21"/>
      <c r="SRB10" s="21"/>
      <c r="SRC10" s="21"/>
      <c r="SRD10" s="21"/>
      <c r="SRE10" s="21"/>
      <c r="SRF10" s="21"/>
      <c r="SRG10" s="21"/>
      <c r="SRH10" s="21"/>
      <c r="SRI10" s="21"/>
      <c r="SRJ10" s="21"/>
      <c r="SRK10" s="21"/>
      <c r="SRL10" s="21"/>
      <c r="SRM10" s="21"/>
      <c r="SRN10" s="21"/>
      <c r="SRO10" s="21"/>
      <c r="SRP10" s="21"/>
      <c r="SRQ10" s="21"/>
      <c r="SRR10" s="21"/>
      <c r="SRS10" s="21"/>
      <c r="SRT10" s="21"/>
      <c r="SRU10" s="21"/>
      <c r="SRV10" s="21"/>
      <c r="SRW10" s="21"/>
      <c r="SRX10" s="21"/>
      <c r="SRY10" s="21"/>
      <c r="SRZ10" s="21"/>
      <c r="SSA10" s="21"/>
      <c r="SSB10" s="21"/>
      <c r="SSC10" s="21"/>
      <c r="SSD10" s="21"/>
      <c r="SSE10" s="21"/>
      <c r="SSF10" s="21"/>
      <c r="SSG10" s="21"/>
      <c r="SSH10" s="21"/>
      <c r="SSI10" s="21"/>
      <c r="SSJ10" s="21"/>
      <c r="SSK10" s="21"/>
      <c r="SSL10" s="21"/>
      <c r="SSM10" s="21"/>
      <c r="SSN10" s="21"/>
      <c r="SSO10" s="21"/>
      <c r="SSP10" s="21"/>
      <c r="SSQ10" s="21"/>
      <c r="SSR10" s="21"/>
      <c r="SSS10" s="21"/>
      <c r="SST10" s="21"/>
      <c r="SSU10" s="21"/>
      <c r="SSV10" s="21"/>
      <c r="SSW10" s="21"/>
      <c r="SSX10" s="21"/>
      <c r="SSY10" s="21"/>
      <c r="SSZ10" s="21"/>
      <c r="STA10" s="21"/>
      <c r="STB10" s="21"/>
      <c r="STC10" s="21"/>
      <c r="STD10" s="21"/>
      <c r="STE10" s="21"/>
      <c r="STF10" s="21"/>
      <c r="STG10" s="21"/>
      <c r="STH10" s="21"/>
      <c r="STI10" s="21"/>
      <c r="STJ10" s="21"/>
      <c r="STK10" s="21"/>
      <c r="STL10" s="21"/>
      <c r="STM10" s="21"/>
      <c r="STN10" s="21"/>
      <c r="STO10" s="21"/>
      <c r="STP10" s="21"/>
      <c r="STQ10" s="21"/>
      <c r="STR10" s="21"/>
      <c r="STS10" s="21"/>
      <c r="STT10" s="21"/>
      <c r="STU10" s="21"/>
      <c r="STV10" s="21"/>
      <c r="STW10" s="21"/>
      <c r="STX10" s="21"/>
      <c r="STY10" s="21"/>
      <c r="STZ10" s="21"/>
      <c r="SUA10" s="21"/>
      <c r="SUB10" s="21"/>
      <c r="SUC10" s="21"/>
      <c r="SUD10" s="21"/>
      <c r="SUE10" s="21"/>
      <c r="SUF10" s="21"/>
      <c r="SUG10" s="21"/>
      <c r="SUH10" s="21"/>
      <c r="SUI10" s="21"/>
      <c r="SUJ10" s="21"/>
      <c r="SUK10" s="21"/>
      <c r="SUL10" s="21"/>
      <c r="SUM10" s="21"/>
      <c r="SUN10" s="21"/>
      <c r="SUO10" s="21"/>
      <c r="SUP10" s="21"/>
      <c r="SUQ10" s="21"/>
      <c r="SUR10" s="21"/>
      <c r="SUS10" s="21"/>
      <c r="SUT10" s="21"/>
      <c r="SUU10" s="21"/>
      <c r="SUV10" s="21"/>
      <c r="SUW10" s="21"/>
      <c r="SUX10" s="21"/>
      <c r="SUY10" s="21"/>
      <c r="SUZ10" s="21"/>
      <c r="SVA10" s="21"/>
      <c r="SVB10" s="21"/>
      <c r="SVC10" s="21"/>
      <c r="SVD10" s="21"/>
      <c r="SVE10" s="21"/>
      <c r="SVF10" s="21"/>
      <c r="SVG10" s="21"/>
      <c r="SVH10" s="21"/>
      <c r="SVI10" s="21"/>
      <c r="SVJ10" s="21"/>
      <c r="SVK10" s="21"/>
      <c r="SVL10" s="21"/>
      <c r="SVM10" s="21"/>
      <c r="SVN10" s="21"/>
      <c r="SVO10" s="21"/>
      <c r="SVP10" s="21"/>
      <c r="SVQ10" s="21"/>
      <c r="SVR10" s="21"/>
      <c r="SVS10" s="21"/>
      <c r="SVT10" s="21"/>
      <c r="SVU10" s="21"/>
      <c r="SVV10" s="21"/>
      <c r="SVW10" s="21"/>
      <c r="SVX10" s="21"/>
      <c r="SVY10" s="21"/>
      <c r="SVZ10" s="21"/>
      <c r="SWA10" s="21"/>
      <c r="SWB10" s="21"/>
      <c r="SWC10" s="21"/>
      <c r="SWD10" s="21"/>
      <c r="SWE10" s="21"/>
      <c r="SWF10" s="21"/>
      <c r="SWG10" s="21"/>
      <c r="SWH10" s="21"/>
      <c r="SWI10" s="21"/>
      <c r="SWJ10" s="21"/>
      <c r="SWK10" s="21"/>
      <c r="SWL10" s="21"/>
      <c r="SWM10" s="21"/>
      <c r="SWN10" s="21"/>
      <c r="SWO10" s="21"/>
      <c r="SWP10" s="21"/>
      <c r="SWQ10" s="21"/>
      <c r="SWR10" s="21"/>
      <c r="SWS10" s="21"/>
      <c r="SWT10" s="21"/>
      <c r="SWU10" s="21"/>
      <c r="SWV10" s="21"/>
      <c r="SWW10" s="21"/>
      <c r="SWX10" s="21"/>
      <c r="SWY10" s="21"/>
      <c r="SWZ10" s="21"/>
      <c r="SXA10" s="21"/>
      <c r="SXB10" s="21"/>
      <c r="SXC10" s="21"/>
      <c r="SXD10" s="21"/>
      <c r="SXE10" s="21"/>
      <c r="SXF10" s="21"/>
      <c r="SXG10" s="21"/>
      <c r="SXH10" s="21"/>
      <c r="SXI10" s="21"/>
      <c r="SXJ10" s="21"/>
      <c r="SXK10" s="21"/>
      <c r="SXL10" s="21"/>
      <c r="SXM10" s="21"/>
      <c r="SXN10" s="21"/>
      <c r="SXO10" s="21"/>
      <c r="SXP10" s="21"/>
      <c r="SXQ10" s="21"/>
      <c r="SXR10" s="21"/>
      <c r="SXS10" s="21"/>
      <c r="SXT10" s="21"/>
      <c r="SXU10" s="21"/>
      <c r="SXV10" s="21"/>
      <c r="SXW10" s="21"/>
      <c r="SXX10" s="21"/>
      <c r="SXY10" s="21"/>
      <c r="SXZ10" s="21"/>
      <c r="SYA10" s="21"/>
      <c r="SYB10" s="21"/>
      <c r="SYC10" s="21"/>
      <c r="SYD10" s="21"/>
      <c r="SYE10" s="21"/>
      <c r="SYF10" s="21"/>
      <c r="SYG10" s="21"/>
      <c r="SYH10" s="21"/>
      <c r="SYI10" s="21"/>
      <c r="SYJ10" s="21"/>
      <c r="SYK10" s="21"/>
      <c r="SYL10" s="21"/>
      <c r="SYM10" s="21"/>
      <c r="SYN10" s="21"/>
      <c r="SYO10" s="21"/>
      <c r="SYP10" s="21"/>
      <c r="SYQ10" s="21"/>
      <c r="SYR10" s="21"/>
      <c r="SYS10" s="21"/>
      <c r="SYT10" s="21"/>
      <c r="SYU10" s="21"/>
      <c r="SYV10" s="21"/>
      <c r="SYW10" s="21"/>
      <c r="SYX10" s="21"/>
      <c r="SYY10" s="21"/>
      <c r="SYZ10" s="21"/>
      <c r="SZA10" s="21"/>
      <c r="SZB10" s="21"/>
      <c r="SZC10" s="21"/>
      <c r="SZD10" s="21"/>
      <c r="SZE10" s="21"/>
      <c r="SZF10" s="21"/>
      <c r="SZG10" s="21"/>
      <c r="SZH10" s="21"/>
      <c r="SZI10" s="21"/>
      <c r="SZJ10" s="21"/>
      <c r="SZK10" s="21"/>
      <c r="SZL10" s="21"/>
      <c r="SZM10" s="21"/>
      <c r="SZN10" s="21"/>
      <c r="SZO10" s="21"/>
      <c r="SZP10" s="21"/>
      <c r="SZQ10" s="21"/>
      <c r="SZR10" s="21"/>
      <c r="SZS10" s="21"/>
      <c r="SZT10" s="21"/>
      <c r="SZU10" s="21"/>
      <c r="SZV10" s="21"/>
      <c r="SZW10" s="21"/>
      <c r="SZX10" s="21"/>
      <c r="SZY10" s="21"/>
      <c r="SZZ10" s="21"/>
      <c r="TAA10" s="21"/>
      <c r="TAB10" s="21"/>
      <c r="TAC10" s="21"/>
      <c r="TAD10" s="21"/>
      <c r="TAE10" s="21"/>
      <c r="TAF10" s="21"/>
      <c r="TAG10" s="21"/>
      <c r="TAH10" s="21"/>
      <c r="TAI10" s="21"/>
      <c r="TAJ10" s="21"/>
      <c r="TAK10" s="21"/>
      <c r="TAL10" s="21"/>
      <c r="TAM10" s="21"/>
      <c r="TAN10" s="21"/>
      <c r="TAO10" s="21"/>
      <c r="TAP10" s="21"/>
      <c r="TAQ10" s="21"/>
      <c r="TAR10" s="21"/>
      <c r="TAS10" s="21"/>
      <c r="TAT10" s="21"/>
      <c r="TAU10" s="21"/>
      <c r="TAV10" s="21"/>
      <c r="TAW10" s="21"/>
      <c r="TAX10" s="21"/>
      <c r="TAY10" s="21"/>
      <c r="TAZ10" s="21"/>
      <c r="TBA10" s="21"/>
      <c r="TBB10" s="21"/>
      <c r="TBC10" s="21"/>
      <c r="TBD10" s="21"/>
      <c r="TBE10" s="21"/>
      <c r="TBF10" s="21"/>
      <c r="TBG10" s="21"/>
      <c r="TBH10" s="21"/>
      <c r="TBI10" s="21"/>
      <c r="TBJ10" s="21"/>
      <c r="TBK10" s="21"/>
      <c r="TBL10" s="21"/>
      <c r="TBM10" s="21"/>
      <c r="TBN10" s="21"/>
      <c r="TBO10" s="21"/>
      <c r="TBP10" s="21"/>
      <c r="TBQ10" s="21"/>
      <c r="TBR10" s="21"/>
      <c r="TBS10" s="21"/>
      <c r="TBT10" s="21"/>
      <c r="TBU10" s="21"/>
      <c r="TBV10" s="21"/>
      <c r="TBW10" s="21"/>
      <c r="TBX10" s="21"/>
      <c r="TBY10" s="21"/>
      <c r="TBZ10" s="21"/>
      <c r="TCA10" s="21"/>
      <c r="TCB10" s="21"/>
      <c r="TCC10" s="21"/>
      <c r="TCD10" s="21"/>
      <c r="TCE10" s="21"/>
      <c r="TCF10" s="21"/>
      <c r="TCG10" s="21"/>
      <c r="TCH10" s="21"/>
      <c r="TCI10" s="21"/>
      <c r="TCJ10" s="21"/>
      <c r="TCK10" s="21"/>
      <c r="TCL10" s="21"/>
      <c r="TCM10" s="21"/>
      <c r="TCN10" s="21"/>
      <c r="TCO10" s="21"/>
      <c r="TCP10" s="21"/>
      <c r="TCQ10" s="21"/>
      <c r="TCR10" s="21"/>
      <c r="TCS10" s="21"/>
      <c r="TCT10" s="21"/>
      <c r="TCU10" s="21"/>
      <c r="TCV10" s="21"/>
      <c r="TCW10" s="21"/>
      <c r="TCX10" s="21"/>
      <c r="TCY10" s="21"/>
      <c r="TCZ10" s="21"/>
      <c r="TDA10" s="21"/>
      <c r="TDB10" s="21"/>
      <c r="TDC10" s="21"/>
      <c r="TDD10" s="21"/>
      <c r="TDE10" s="21"/>
      <c r="TDF10" s="21"/>
      <c r="TDG10" s="21"/>
      <c r="TDH10" s="21"/>
      <c r="TDI10" s="21"/>
      <c r="TDJ10" s="21"/>
      <c r="TDK10" s="21"/>
      <c r="TDL10" s="21"/>
      <c r="TDM10" s="21"/>
      <c r="TDN10" s="21"/>
      <c r="TDO10" s="21"/>
      <c r="TDP10" s="21"/>
      <c r="TDQ10" s="21"/>
      <c r="TDR10" s="21"/>
      <c r="TDS10" s="21"/>
      <c r="TDT10" s="21"/>
      <c r="TDU10" s="21"/>
      <c r="TDV10" s="21"/>
      <c r="TDW10" s="21"/>
      <c r="TDX10" s="21"/>
      <c r="TDY10" s="21"/>
      <c r="TDZ10" s="21"/>
      <c r="TEA10" s="21"/>
      <c r="TEB10" s="21"/>
      <c r="TEC10" s="21"/>
      <c r="TED10" s="21"/>
      <c r="TEE10" s="21"/>
      <c r="TEF10" s="21"/>
      <c r="TEG10" s="21"/>
      <c r="TEH10" s="21"/>
      <c r="TEI10" s="21"/>
      <c r="TEJ10" s="21"/>
      <c r="TEK10" s="21"/>
      <c r="TEL10" s="21"/>
      <c r="TEM10" s="21"/>
      <c r="TEN10" s="21"/>
      <c r="TEO10" s="21"/>
      <c r="TEP10" s="21"/>
      <c r="TEQ10" s="21"/>
      <c r="TER10" s="21"/>
      <c r="TES10" s="21"/>
      <c r="TET10" s="21"/>
      <c r="TEU10" s="21"/>
      <c r="TEV10" s="21"/>
      <c r="TEW10" s="21"/>
      <c r="TEX10" s="21"/>
      <c r="TEY10" s="21"/>
      <c r="TEZ10" s="21"/>
      <c r="TFA10" s="21"/>
      <c r="TFB10" s="21"/>
      <c r="TFC10" s="21"/>
      <c r="TFD10" s="21"/>
      <c r="TFE10" s="21"/>
      <c r="TFF10" s="21"/>
      <c r="TFG10" s="21"/>
      <c r="TFH10" s="21"/>
      <c r="TFI10" s="21"/>
      <c r="TFJ10" s="21"/>
      <c r="TFK10" s="21"/>
      <c r="TFL10" s="21"/>
      <c r="TFM10" s="21"/>
      <c r="TFN10" s="21"/>
      <c r="TFO10" s="21"/>
      <c r="TFP10" s="21"/>
      <c r="TFQ10" s="21"/>
      <c r="TFR10" s="21"/>
      <c r="TFS10" s="21"/>
      <c r="TFT10" s="21"/>
      <c r="TFU10" s="21"/>
      <c r="TFV10" s="21"/>
      <c r="TFW10" s="21"/>
      <c r="TFX10" s="21"/>
      <c r="TFY10" s="21"/>
      <c r="TFZ10" s="21"/>
      <c r="TGA10" s="21"/>
      <c r="TGB10" s="21"/>
      <c r="TGC10" s="21"/>
      <c r="TGD10" s="21"/>
      <c r="TGE10" s="21"/>
      <c r="TGF10" s="21"/>
      <c r="TGG10" s="21"/>
      <c r="TGH10" s="21"/>
      <c r="TGI10" s="21"/>
      <c r="TGJ10" s="21"/>
      <c r="TGK10" s="21"/>
      <c r="TGL10" s="21"/>
      <c r="TGM10" s="21"/>
      <c r="TGN10" s="21"/>
      <c r="TGO10" s="21"/>
      <c r="TGP10" s="21"/>
      <c r="TGQ10" s="21"/>
      <c r="TGR10" s="21"/>
      <c r="TGS10" s="21"/>
      <c r="TGT10" s="21"/>
      <c r="TGU10" s="21"/>
      <c r="TGV10" s="21"/>
      <c r="TGW10" s="21"/>
      <c r="TGX10" s="21"/>
      <c r="TGY10" s="21"/>
      <c r="TGZ10" s="21"/>
      <c r="THA10" s="21"/>
      <c r="THB10" s="21"/>
      <c r="THC10" s="21"/>
      <c r="THD10" s="21"/>
      <c r="THE10" s="21"/>
      <c r="THF10" s="21"/>
      <c r="THG10" s="21"/>
      <c r="THH10" s="21"/>
      <c r="THI10" s="21"/>
      <c r="THJ10" s="21"/>
      <c r="THK10" s="21"/>
      <c r="THL10" s="21"/>
      <c r="THM10" s="21"/>
      <c r="THN10" s="21"/>
      <c r="THO10" s="21"/>
      <c r="THP10" s="21"/>
      <c r="THQ10" s="21"/>
      <c r="THR10" s="21"/>
      <c r="THS10" s="21"/>
      <c r="THT10" s="21"/>
      <c r="THU10" s="21"/>
      <c r="THV10" s="21"/>
      <c r="THW10" s="21"/>
      <c r="THX10" s="21"/>
      <c r="THY10" s="21"/>
      <c r="THZ10" s="21"/>
      <c r="TIA10" s="21"/>
      <c r="TIB10" s="21"/>
      <c r="TIC10" s="21"/>
      <c r="TID10" s="21"/>
      <c r="TIE10" s="21"/>
      <c r="TIF10" s="21"/>
      <c r="TIG10" s="21"/>
      <c r="TIH10" s="21"/>
      <c r="TII10" s="21"/>
      <c r="TIJ10" s="21"/>
      <c r="TIK10" s="21"/>
      <c r="TIL10" s="21"/>
      <c r="TIM10" s="21"/>
      <c r="TIN10" s="21"/>
      <c r="TIO10" s="21"/>
      <c r="TIP10" s="21"/>
      <c r="TIQ10" s="21"/>
      <c r="TIR10" s="21"/>
      <c r="TIS10" s="21"/>
      <c r="TIT10" s="21"/>
      <c r="TIU10" s="21"/>
      <c r="TIV10" s="21"/>
      <c r="TIW10" s="21"/>
      <c r="TIX10" s="21"/>
      <c r="TIY10" s="21"/>
      <c r="TIZ10" s="21"/>
      <c r="TJA10" s="21"/>
      <c r="TJB10" s="21"/>
      <c r="TJC10" s="21"/>
      <c r="TJD10" s="21"/>
      <c r="TJE10" s="21"/>
      <c r="TJF10" s="21"/>
      <c r="TJG10" s="21"/>
      <c r="TJH10" s="21"/>
      <c r="TJI10" s="21"/>
      <c r="TJJ10" s="21"/>
      <c r="TJK10" s="21"/>
      <c r="TJL10" s="21"/>
      <c r="TJM10" s="21"/>
      <c r="TJN10" s="21"/>
      <c r="TJO10" s="21"/>
      <c r="TJP10" s="21"/>
      <c r="TJQ10" s="21"/>
      <c r="TJR10" s="21"/>
      <c r="TJS10" s="21"/>
      <c r="TJT10" s="21"/>
      <c r="TJU10" s="21"/>
      <c r="TJV10" s="21"/>
      <c r="TJW10" s="21"/>
      <c r="TJX10" s="21"/>
      <c r="TJY10" s="21"/>
      <c r="TJZ10" s="21"/>
      <c r="TKA10" s="21"/>
      <c r="TKB10" s="21"/>
      <c r="TKC10" s="21"/>
      <c r="TKD10" s="21"/>
      <c r="TKE10" s="21"/>
      <c r="TKF10" s="21"/>
      <c r="TKG10" s="21"/>
      <c r="TKH10" s="21"/>
      <c r="TKI10" s="21"/>
      <c r="TKJ10" s="21"/>
      <c r="TKK10" s="21"/>
      <c r="TKL10" s="21"/>
      <c r="TKM10" s="21"/>
      <c r="TKN10" s="21"/>
      <c r="TKO10" s="21"/>
      <c r="TKP10" s="21"/>
      <c r="TKQ10" s="21"/>
      <c r="TKR10" s="21"/>
      <c r="TKS10" s="21"/>
      <c r="TKT10" s="21"/>
      <c r="TKU10" s="21"/>
      <c r="TKV10" s="21"/>
      <c r="TKW10" s="21"/>
      <c r="TKX10" s="21"/>
      <c r="TKY10" s="21"/>
      <c r="TKZ10" s="21"/>
      <c r="TLA10" s="21"/>
      <c r="TLB10" s="21"/>
      <c r="TLC10" s="21"/>
      <c r="TLD10" s="21"/>
      <c r="TLE10" s="21"/>
      <c r="TLF10" s="21"/>
      <c r="TLG10" s="21"/>
      <c r="TLH10" s="21"/>
      <c r="TLI10" s="21"/>
      <c r="TLJ10" s="21"/>
      <c r="TLK10" s="21"/>
      <c r="TLL10" s="21"/>
      <c r="TLM10" s="21"/>
      <c r="TLN10" s="21"/>
      <c r="TLO10" s="21"/>
      <c r="TLP10" s="21"/>
      <c r="TLQ10" s="21"/>
      <c r="TLR10" s="21"/>
      <c r="TLS10" s="21"/>
      <c r="TLT10" s="21"/>
      <c r="TLU10" s="21"/>
      <c r="TLV10" s="21"/>
      <c r="TLW10" s="21"/>
      <c r="TLX10" s="21"/>
      <c r="TLY10" s="21"/>
      <c r="TLZ10" s="21"/>
      <c r="TMA10" s="21"/>
      <c r="TMB10" s="21"/>
      <c r="TMC10" s="21"/>
      <c r="TMD10" s="21"/>
      <c r="TME10" s="21"/>
      <c r="TMF10" s="21"/>
      <c r="TMG10" s="21"/>
      <c r="TMH10" s="21"/>
      <c r="TMI10" s="21"/>
      <c r="TMJ10" s="21"/>
      <c r="TMK10" s="21"/>
      <c r="TML10" s="21"/>
      <c r="TMM10" s="21"/>
      <c r="TMN10" s="21"/>
      <c r="TMO10" s="21"/>
      <c r="TMP10" s="21"/>
      <c r="TMQ10" s="21"/>
      <c r="TMR10" s="21"/>
      <c r="TMS10" s="21"/>
      <c r="TMT10" s="21"/>
      <c r="TMU10" s="21"/>
      <c r="TMV10" s="21"/>
      <c r="TMW10" s="21"/>
      <c r="TMX10" s="21"/>
      <c r="TMY10" s="21"/>
      <c r="TMZ10" s="21"/>
      <c r="TNA10" s="21"/>
      <c r="TNB10" s="21"/>
      <c r="TNC10" s="21"/>
      <c r="TND10" s="21"/>
      <c r="TNE10" s="21"/>
      <c r="TNF10" s="21"/>
      <c r="TNG10" s="21"/>
      <c r="TNH10" s="21"/>
      <c r="TNI10" s="21"/>
      <c r="TNJ10" s="21"/>
      <c r="TNK10" s="21"/>
      <c r="TNL10" s="21"/>
      <c r="TNM10" s="21"/>
      <c r="TNN10" s="21"/>
      <c r="TNO10" s="21"/>
      <c r="TNP10" s="21"/>
      <c r="TNQ10" s="21"/>
      <c r="TNR10" s="21"/>
      <c r="TNS10" s="21"/>
      <c r="TNT10" s="21"/>
      <c r="TNU10" s="21"/>
      <c r="TNV10" s="21"/>
      <c r="TNW10" s="21"/>
      <c r="TNX10" s="21"/>
      <c r="TNY10" s="21"/>
      <c r="TNZ10" s="21"/>
      <c r="TOA10" s="21"/>
      <c r="TOB10" s="21"/>
      <c r="TOC10" s="21"/>
      <c r="TOD10" s="21"/>
      <c r="TOE10" s="21"/>
      <c r="TOF10" s="21"/>
      <c r="TOG10" s="21"/>
      <c r="TOH10" s="21"/>
      <c r="TOI10" s="21"/>
      <c r="TOJ10" s="21"/>
      <c r="TOK10" s="21"/>
      <c r="TOL10" s="21"/>
      <c r="TOM10" s="21"/>
      <c r="TON10" s="21"/>
      <c r="TOO10" s="21"/>
      <c r="TOP10" s="21"/>
      <c r="TOQ10" s="21"/>
      <c r="TOR10" s="21"/>
      <c r="TOS10" s="21"/>
      <c r="TOT10" s="21"/>
      <c r="TOU10" s="21"/>
      <c r="TOV10" s="21"/>
      <c r="TOW10" s="21"/>
      <c r="TOX10" s="21"/>
      <c r="TOY10" s="21"/>
      <c r="TOZ10" s="21"/>
      <c r="TPA10" s="21"/>
      <c r="TPB10" s="21"/>
      <c r="TPC10" s="21"/>
      <c r="TPD10" s="21"/>
      <c r="TPE10" s="21"/>
      <c r="TPF10" s="21"/>
      <c r="TPG10" s="21"/>
      <c r="TPH10" s="21"/>
      <c r="TPI10" s="21"/>
      <c r="TPJ10" s="21"/>
      <c r="TPK10" s="21"/>
      <c r="TPL10" s="21"/>
      <c r="TPM10" s="21"/>
      <c r="TPN10" s="21"/>
      <c r="TPO10" s="21"/>
      <c r="TPP10" s="21"/>
      <c r="TPQ10" s="21"/>
      <c r="TPR10" s="21"/>
      <c r="TPS10" s="21"/>
      <c r="TPT10" s="21"/>
      <c r="TPU10" s="21"/>
      <c r="TPV10" s="21"/>
      <c r="TPW10" s="21"/>
      <c r="TPX10" s="21"/>
      <c r="TPY10" s="21"/>
      <c r="TPZ10" s="21"/>
      <c r="TQA10" s="21"/>
      <c r="TQB10" s="21"/>
      <c r="TQC10" s="21"/>
      <c r="TQD10" s="21"/>
      <c r="TQE10" s="21"/>
      <c r="TQF10" s="21"/>
      <c r="TQG10" s="21"/>
      <c r="TQH10" s="21"/>
      <c r="TQI10" s="21"/>
      <c r="TQJ10" s="21"/>
      <c r="TQK10" s="21"/>
      <c r="TQL10" s="21"/>
      <c r="TQM10" s="21"/>
      <c r="TQN10" s="21"/>
      <c r="TQO10" s="21"/>
      <c r="TQP10" s="21"/>
      <c r="TQQ10" s="21"/>
      <c r="TQR10" s="21"/>
      <c r="TQS10" s="21"/>
      <c r="TQT10" s="21"/>
      <c r="TQU10" s="21"/>
      <c r="TQV10" s="21"/>
      <c r="TQW10" s="21"/>
      <c r="TQX10" s="21"/>
      <c r="TQY10" s="21"/>
      <c r="TQZ10" s="21"/>
      <c r="TRA10" s="21"/>
      <c r="TRB10" s="21"/>
      <c r="TRC10" s="21"/>
      <c r="TRD10" s="21"/>
      <c r="TRE10" s="21"/>
      <c r="TRF10" s="21"/>
      <c r="TRG10" s="21"/>
      <c r="TRH10" s="21"/>
      <c r="TRI10" s="21"/>
      <c r="TRJ10" s="21"/>
      <c r="TRK10" s="21"/>
      <c r="TRL10" s="21"/>
      <c r="TRM10" s="21"/>
      <c r="TRN10" s="21"/>
      <c r="TRO10" s="21"/>
      <c r="TRP10" s="21"/>
      <c r="TRQ10" s="21"/>
      <c r="TRR10" s="21"/>
      <c r="TRS10" s="21"/>
      <c r="TRT10" s="21"/>
      <c r="TRU10" s="21"/>
      <c r="TRV10" s="21"/>
      <c r="TRW10" s="21"/>
      <c r="TRX10" s="21"/>
      <c r="TRY10" s="21"/>
      <c r="TRZ10" s="21"/>
      <c r="TSA10" s="21"/>
      <c r="TSB10" s="21"/>
      <c r="TSC10" s="21"/>
      <c r="TSD10" s="21"/>
      <c r="TSE10" s="21"/>
      <c r="TSF10" s="21"/>
      <c r="TSG10" s="21"/>
      <c r="TSH10" s="21"/>
      <c r="TSI10" s="21"/>
      <c r="TSJ10" s="21"/>
      <c r="TSK10" s="21"/>
      <c r="TSL10" s="21"/>
      <c r="TSM10" s="21"/>
      <c r="TSN10" s="21"/>
      <c r="TSO10" s="21"/>
      <c r="TSP10" s="21"/>
      <c r="TSQ10" s="21"/>
      <c r="TSR10" s="21"/>
      <c r="TSS10" s="21"/>
      <c r="TST10" s="21"/>
      <c r="TSU10" s="21"/>
      <c r="TSV10" s="21"/>
      <c r="TSW10" s="21"/>
      <c r="TSX10" s="21"/>
      <c r="TSY10" s="21"/>
      <c r="TSZ10" s="21"/>
      <c r="TTA10" s="21"/>
      <c r="TTB10" s="21"/>
      <c r="TTC10" s="21"/>
      <c r="TTD10" s="21"/>
      <c r="TTE10" s="21"/>
      <c r="TTF10" s="21"/>
      <c r="TTG10" s="21"/>
      <c r="TTH10" s="21"/>
      <c r="TTI10" s="21"/>
      <c r="TTJ10" s="21"/>
      <c r="TTK10" s="21"/>
      <c r="TTL10" s="21"/>
      <c r="TTM10" s="21"/>
      <c r="TTN10" s="21"/>
      <c r="TTO10" s="21"/>
      <c r="TTP10" s="21"/>
      <c r="TTQ10" s="21"/>
      <c r="TTR10" s="21"/>
      <c r="TTS10" s="21"/>
      <c r="TTT10" s="21"/>
      <c r="TTU10" s="21"/>
      <c r="TTV10" s="21"/>
      <c r="TTW10" s="21"/>
      <c r="TTX10" s="21"/>
      <c r="TTY10" s="21"/>
      <c r="TTZ10" s="21"/>
      <c r="TUA10" s="21"/>
      <c r="TUB10" s="21"/>
      <c r="TUC10" s="21"/>
      <c r="TUD10" s="21"/>
      <c r="TUE10" s="21"/>
      <c r="TUF10" s="21"/>
      <c r="TUG10" s="21"/>
      <c r="TUH10" s="21"/>
      <c r="TUI10" s="21"/>
      <c r="TUJ10" s="21"/>
      <c r="TUK10" s="21"/>
      <c r="TUL10" s="21"/>
      <c r="TUM10" s="21"/>
      <c r="TUN10" s="21"/>
      <c r="TUO10" s="21"/>
      <c r="TUP10" s="21"/>
      <c r="TUQ10" s="21"/>
      <c r="TUR10" s="21"/>
      <c r="TUS10" s="21"/>
      <c r="TUT10" s="21"/>
      <c r="TUU10" s="21"/>
      <c r="TUV10" s="21"/>
      <c r="TUW10" s="21"/>
      <c r="TUX10" s="21"/>
      <c r="TUY10" s="21"/>
      <c r="TUZ10" s="21"/>
      <c r="TVA10" s="21"/>
      <c r="TVB10" s="21"/>
      <c r="TVC10" s="21"/>
      <c r="TVD10" s="21"/>
      <c r="TVE10" s="21"/>
      <c r="TVF10" s="21"/>
      <c r="TVG10" s="21"/>
      <c r="TVH10" s="21"/>
      <c r="TVI10" s="21"/>
      <c r="TVJ10" s="21"/>
      <c r="TVK10" s="21"/>
      <c r="TVL10" s="21"/>
      <c r="TVM10" s="21"/>
      <c r="TVN10" s="21"/>
      <c r="TVO10" s="21"/>
      <c r="TVP10" s="21"/>
      <c r="TVQ10" s="21"/>
      <c r="TVR10" s="21"/>
      <c r="TVS10" s="21"/>
      <c r="TVT10" s="21"/>
      <c r="TVU10" s="21"/>
      <c r="TVV10" s="21"/>
      <c r="TVW10" s="21"/>
      <c r="TVX10" s="21"/>
      <c r="TVY10" s="21"/>
      <c r="TVZ10" s="21"/>
      <c r="TWA10" s="21"/>
      <c r="TWB10" s="21"/>
      <c r="TWC10" s="21"/>
      <c r="TWD10" s="21"/>
      <c r="TWE10" s="21"/>
      <c r="TWF10" s="21"/>
      <c r="TWG10" s="21"/>
      <c r="TWH10" s="21"/>
      <c r="TWI10" s="21"/>
      <c r="TWJ10" s="21"/>
      <c r="TWK10" s="21"/>
      <c r="TWL10" s="21"/>
      <c r="TWM10" s="21"/>
      <c r="TWN10" s="21"/>
      <c r="TWO10" s="21"/>
      <c r="TWP10" s="21"/>
      <c r="TWQ10" s="21"/>
      <c r="TWR10" s="21"/>
      <c r="TWS10" s="21"/>
      <c r="TWT10" s="21"/>
      <c r="TWU10" s="21"/>
      <c r="TWV10" s="21"/>
      <c r="TWW10" s="21"/>
      <c r="TWX10" s="21"/>
      <c r="TWY10" s="21"/>
      <c r="TWZ10" s="21"/>
      <c r="TXA10" s="21"/>
      <c r="TXB10" s="21"/>
      <c r="TXC10" s="21"/>
      <c r="TXD10" s="21"/>
      <c r="TXE10" s="21"/>
      <c r="TXF10" s="21"/>
      <c r="TXG10" s="21"/>
      <c r="TXH10" s="21"/>
      <c r="TXI10" s="21"/>
      <c r="TXJ10" s="21"/>
      <c r="TXK10" s="21"/>
      <c r="TXL10" s="21"/>
      <c r="TXM10" s="21"/>
      <c r="TXN10" s="21"/>
      <c r="TXO10" s="21"/>
      <c r="TXP10" s="21"/>
      <c r="TXQ10" s="21"/>
      <c r="TXR10" s="21"/>
      <c r="TXS10" s="21"/>
      <c r="TXT10" s="21"/>
      <c r="TXU10" s="21"/>
      <c r="TXV10" s="21"/>
      <c r="TXW10" s="21"/>
      <c r="TXX10" s="21"/>
      <c r="TXY10" s="21"/>
      <c r="TXZ10" s="21"/>
      <c r="TYA10" s="21"/>
      <c r="TYB10" s="21"/>
      <c r="TYC10" s="21"/>
      <c r="TYD10" s="21"/>
      <c r="TYE10" s="21"/>
      <c r="TYF10" s="21"/>
      <c r="TYG10" s="21"/>
      <c r="TYH10" s="21"/>
      <c r="TYI10" s="21"/>
      <c r="TYJ10" s="21"/>
      <c r="TYK10" s="21"/>
      <c r="TYL10" s="21"/>
      <c r="TYM10" s="21"/>
      <c r="TYN10" s="21"/>
      <c r="TYO10" s="21"/>
      <c r="TYP10" s="21"/>
      <c r="TYQ10" s="21"/>
      <c r="TYR10" s="21"/>
      <c r="TYS10" s="21"/>
      <c r="TYT10" s="21"/>
      <c r="TYU10" s="21"/>
      <c r="TYV10" s="21"/>
      <c r="TYW10" s="21"/>
      <c r="TYX10" s="21"/>
      <c r="TYY10" s="21"/>
      <c r="TYZ10" s="21"/>
      <c r="TZA10" s="21"/>
      <c r="TZB10" s="21"/>
      <c r="TZC10" s="21"/>
      <c r="TZD10" s="21"/>
      <c r="TZE10" s="21"/>
      <c r="TZF10" s="21"/>
      <c r="TZG10" s="21"/>
      <c r="TZH10" s="21"/>
      <c r="TZI10" s="21"/>
      <c r="TZJ10" s="21"/>
      <c r="TZK10" s="21"/>
      <c r="TZL10" s="21"/>
      <c r="TZM10" s="21"/>
      <c r="TZN10" s="21"/>
      <c r="TZO10" s="21"/>
      <c r="TZP10" s="21"/>
      <c r="TZQ10" s="21"/>
      <c r="TZR10" s="21"/>
      <c r="TZS10" s="21"/>
      <c r="TZT10" s="21"/>
      <c r="TZU10" s="21"/>
      <c r="TZV10" s="21"/>
      <c r="TZW10" s="21"/>
      <c r="TZX10" s="21"/>
      <c r="TZY10" s="21"/>
      <c r="TZZ10" s="21"/>
      <c r="UAA10" s="21"/>
      <c r="UAB10" s="21"/>
      <c r="UAC10" s="21"/>
      <c r="UAD10" s="21"/>
      <c r="UAE10" s="21"/>
      <c r="UAF10" s="21"/>
      <c r="UAG10" s="21"/>
      <c r="UAH10" s="21"/>
      <c r="UAI10" s="21"/>
      <c r="UAJ10" s="21"/>
      <c r="UAK10" s="21"/>
      <c r="UAL10" s="21"/>
      <c r="UAM10" s="21"/>
      <c r="UAN10" s="21"/>
      <c r="UAO10" s="21"/>
      <c r="UAP10" s="21"/>
      <c r="UAQ10" s="21"/>
      <c r="UAR10" s="21"/>
      <c r="UAS10" s="21"/>
      <c r="UAT10" s="21"/>
      <c r="UAU10" s="21"/>
      <c r="UAV10" s="21"/>
      <c r="UAW10" s="21"/>
      <c r="UAX10" s="21"/>
      <c r="UAY10" s="21"/>
      <c r="UAZ10" s="21"/>
      <c r="UBA10" s="21"/>
      <c r="UBB10" s="21"/>
      <c r="UBC10" s="21"/>
      <c r="UBD10" s="21"/>
      <c r="UBE10" s="21"/>
      <c r="UBF10" s="21"/>
      <c r="UBG10" s="21"/>
      <c r="UBH10" s="21"/>
      <c r="UBI10" s="21"/>
      <c r="UBJ10" s="21"/>
      <c r="UBK10" s="21"/>
      <c r="UBL10" s="21"/>
      <c r="UBM10" s="21"/>
      <c r="UBN10" s="21"/>
      <c r="UBO10" s="21"/>
      <c r="UBP10" s="21"/>
      <c r="UBQ10" s="21"/>
      <c r="UBR10" s="21"/>
      <c r="UBS10" s="21"/>
      <c r="UBT10" s="21"/>
      <c r="UBU10" s="21"/>
      <c r="UBV10" s="21"/>
      <c r="UBW10" s="21"/>
      <c r="UBX10" s="21"/>
      <c r="UBY10" s="21"/>
      <c r="UBZ10" s="21"/>
      <c r="UCA10" s="21"/>
      <c r="UCB10" s="21"/>
      <c r="UCC10" s="21"/>
      <c r="UCD10" s="21"/>
      <c r="UCE10" s="21"/>
      <c r="UCF10" s="21"/>
      <c r="UCG10" s="21"/>
      <c r="UCH10" s="21"/>
      <c r="UCI10" s="21"/>
      <c r="UCJ10" s="21"/>
      <c r="UCK10" s="21"/>
      <c r="UCL10" s="21"/>
      <c r="UCM10" s="21"/>
      <c r="UCN10" s="21"/>
      <c r="UCO10" s="21"/>
      <c r="UCP10" s="21"/>
      <c r="UCQ10" s="21"/>
      <c r="UCR10" s="21"/>
      <c r="UCS10" s="21"/>
      <c r="UCT10" s="21"/>
      <c r="UCU10" s="21"/>
      <c r="UCV10" s="21"/>
      <c r="UCW10" s="21"/>
      <c r="UCX10" s="21"/>
      <c r="UCY10" s="21"/>
      <c r="UCZ10" s="21"/>
      <c r="UDA10" s="21"/>
      <c r="UDB10" s="21"/>
      <c r="UDC10" s="21"/>
      <c r="UDD10" s="21"/>
      <c r="UDE10" s="21"/>
      <c r="UDF10" s="21"/>
      <c r="UDG10" s="21"/>
      <c r="UDH10" s="21"/>
      <c r="UDI10" s="21"/>
      <c r="UDJ10" s="21"/>
      <c r="UDK10" s="21"/>
      <c r="UDL10" s="21"/>
      <c r="UDM10" s="21"/>
      <c r="UDN10" s="21"/>
      <c r="UDO10" s="21"/>
      <c r="UDP10" s="21"/>
      <c r="UDQ10" s="21"/>
      <c r="UDR10" s="21"/>
      <c r="UDS10" s="21"/>
      <c r="UDT10" s="21"/>
      <c r="UDU10" s="21"/>
      <c r="UDV10" s="21"/>
      <c r="UDW10" s="21"/>
      <c r="UDX10" s="21"/>
      <c r="UDY10" s="21"/>
      <c r="UDZ10" s="21"/>
      <c r="UEA10" s="21"/>
      <c r="UEB10" s="21"/>
      <c r="UEC10" s="21"/>
      <c r="UED10" s="21"/>
      <c r="UEE10" s="21"/>
      <c r="UEF10" s="21"/>
      <c r="UEG10" s="21"/>
      <c r="UEH10" s="21"/>
      <c r="UEI10" s="21"/>
      <c r="UEJ10" s="21"/>
      <c r="UEK10" s="21"/>
      <c r="UEL10" s="21"/>
      <c r="UEM10" s="21"/>
      <c r="UEN10" s="21"/>
      <c r="UEO10" s="21"/>
      <c r="UEP10" s="21"/>
      <c r="UEQ10" s="21"/>
      <c r="UER10" s="21"/>
      <c r="UES10" s="21"/>
      <c r="UET10" s="21"/>
      <c r="UEU10" s="21"/>
      <c r="UEV10" s="21"/>
      <c r="UEW10" s="21"/>
      <c r="UEX10" s="21"/>
      <c r="UEY10" s="21"/>
      <c r="UEZ10" s="21"/>
      <c r="UFA10" s="21"/>
      <c r="UFB10" s="21"/>
      <c r="UFC10" s="21"/>
      <c r="UFD10" s="21"/>
      <c r="UFE10" s="21"/>
      <c r="UFF10" s="21"/>
      <c r="UFG10" s="21"/>
      <c r="UFH10" s="21"/>
      <c r="UFI10" s="21"/>
      <c r="UFJ10" s="21"/>
      <c r="UFK10" s="21"/>
      <c r="UFL10" s="21"/>
      <c r="UFM10" s="21"/>
      <c r="UFN10" s="21"/>
      <c r="UFO10" s="21"/>
      <c r="UFP10" s="21"/>
      <c r="UFQ10" s="21"/>
      <c r="UFR10" s="21"/>
      <c r="UFS10" s="21"/>
      <c r="UFT10" s="21"/>
      <c r="UFU10" s="21"/>
      <c r="UFV10" s="21"/>
      <c r="UFW10" s="21"/>
      <c r="UFX10" s="21"/>
      <c r="UFY10" s="21"/>
      <c r="UFZ10" s="21"/>
      <c r="UGA10" s="21"/>
      <c r="UGB10" s="21"/>
      <c r="UGC10" s="21"/>
      <c r="UGD10" s="21"/>
      <c r="UGE10" s="21"/>
      <c r="UGF10" s="21"/>
      <c r="UGG10" s="21"/>
      <c r="UGH10" s="21"/>
      <c r="UGI10" s="21"/>
      <c r="UGJ10" s="21"/>
      <c r="UGK10" s="21"/>
      <c r="UGL10" s="21"/>
      <c r="UGM10" s="21"/>
      <c r="UGN10" s="21"/>
      <c r="UGO10" s="21"/>
      <c r="UGP10" s="21"/>
      <c r="UGQ10" s="21"/>
      <c r="UGR10" s="21"/>
      <c r="UGS10" s="21"/>
      <c r="UGT10" s="21"/>
      <c r="UGU10" s="21"/>
      <c r="UGV10" s="21"/>
      <c r="UGW10" s="21"/>
      <c r="UGX10" s="21"/>
      <c r="UGY10" s="21"/>
      <c r="UGZ10" s="21"/>
      <c r="UHA10" s="21"/>
      <c r="UHB10" s="21"/>
      <c r="UHC10" s="21"/>
      <c r="UHD10" s="21"/>
      <c r="UHE10" s="21"/>
      <c r="UHF10" s="21"/>
      <c r="UHG10" s="21"/>
      <c r="UHH10" s="21"/>
      <c r="UHI10" s="21"/>
      <c r="UHJ10" s="21"/>
      <c r="UHK10" s="21"/>
      <c r="UHL10" s="21"/>
      <c r="UHM10" s="21"/>
      <c r="UHN10" s="21"/>
      <c r="UHO10" s="21"/>
      <c r="UHP10" s="21"/>
      <c r="UHQ10" s="21"/>
      <c r="UHR10" s="21"/>
      <c r="UHS10" s="21"/>
      <c r="UHT10" s="21"/>
      <c r="UHU10" s="21"/>
      <c r="UHV10" s="21"/>
      <c r="UHW10" s="21"/>
      <c r="UHX10" s="21"/>
      <c r="UHY10" s="21"/>
      <c r="UHZ10" s="21"/>
      <c r="UIA10" s="21"/>
      <c r="UIB10" s="21"/>
      <c r="UIC10" s="21"/>
      <c r="UID10" s="21"/>
      <c r="UIE10" s="21"/>
      <c r="UIF10" s="21"/>
      <c r="UIG10" s="21"/>
      <c r="UIH10" s="21"/>
      <c r="UII10" s="21"/>
      <c r="UIJ10" s="21"/>
      <c r="UIK10" s="21"/>
      <c r="UIL10" s="21"/>
      <c r="UIM10" s="21"/>
      <c r="UIN10" s="21"/>
      <c r="UIO10" s="21"/>
      <c r="UIP10" s="21"/>
      <c r="UIQ10" s="21"/>
      <c r="UIR10" s="21"/>
      <c r="UIS10" s="21"/>
      <c r="UIT10" s="21"/>
      <c r="UIU10" s="21"/>
      <c r="UIV10" s="21"/>
      <c r="UIW10" s="21"/>
      <c r="UIX10" s="21"/>
      <c r="UIY10" s="21"/>
      <c r="UIZ10" s="21"/>
      <c r="UJA10" s="21"/>
      <c r="UJB10" s="21"/>
      <c r="UJC10" s="21"/>
      <c r="UJD10" s="21"/>
      <c r="UJE10" s="21"/>
      <c r="UJF10" s="21"/>
      <c r="UJG10" s="21"/>
      <c r="UJH10" s="21"/>
      <c r="UJI10" s="21"/>
      <c r="UJJ10" s="21"/>
      <c r="UJK10" s="21"/>
      <c r="UJL10" s="21"/>
      <c r="UJM10" s="21"/>
      <c r="UJN10" s="21"/>
      <c r="UJO10" s="21"/>
      <c r="UJP10" s="21"/>
      <c r="UJQ10" s="21"/>
      <c r="UJR10" s="21"/>
      <c r="UJS10" s="21"/>
      <c r="UJT10" s="21"/>
      <c r="UJU10" s="21"/>
      <c r="UJV10" s="21"/>
      <c r="UJW10" s="21"/>
      <c r="UJX10" s="21"/>
      <c r="UJY10" s="21"/>
      <c r="UJZ10" s="21"/>
      <c r="UKA10" s="21"/>
      <c r="UKB10" s="21"/>
      <c r="UKC10" s="21"/>
      <c r="UKD10" s="21"/>
      <c r="UKE10" s="21"/>
      <c r="UKF10" s="21"/>
      <c r="UKG10" s="21"/>
      <c r="UKH10" s="21"/>
      <c r="UKI10" s="21"/>
      <c r="UKJ10" s="21"/>
      <c r="UKK10" s="21"/>
      <c r="UKL10" s="21"/>
      <c r="UKM10" s="21"/>
      <c r="UKN10" s="21"/>
      <c r="UKO10" s="21"/>
      <c r="UKP10" s="21"/>
      <c r="UKQ10" s="21"/>
      <c r="UKR10" s="21"/>
      <c r="UKS10" s="21"/>
      <c r="UKT10" s="21"/>
      <c r="UKU10" s="21"/>
      <c r="UKV10" s="21"/>
      <c r="UKW10" s="21"/>
      <c r="UKX10" s="21"/>
      <c r="UKY10" s="21"/>
      <c r="UKZ10" s="21"/>
      <c r="ULA10" s="21"/>
      <c r="ULB10" s="21"/>
      <c r="ULC10" s="21"/>
      <c r="ULD10" s="21"/>
      <c r="ULE10" s="21"/>
      <c r="ULF10" s="21"/>
      <c r="ULG10" s="21"/>
      <c r="ULH10" s="21"/>
      <c r="ULI10" s="21"/>
      <c r="ULJ10" s="21"/>
      <c r="ULK10" s="21"/>
      <c r="ULL10" s="21"/>
      <c r="ULM10" s="21"/>
      <c r="ULN10" s="21"/>
      <c r="ULO10" s="21"/>
      <c r="ULP10" s="21"/>
      <c r="ULQ10" s="21"/>
      <c r="ULR10" s="21"/>
      <c r="ULS10" s="21"/>
      <c r="ULT10" s="21"/>
      <c r="ULU10" s="21"/>
      <c r="ULV10" s="21"/>
      <c r="ULW10" s="21"/>
      <c r="ULX10" s="21"/>
      <c r="ULY10" s="21"/>
      <c r="ULZ10" s="21"/>
      <c r="UMA10" s="21"/>
      <c r="UMB10" s="21"/>
      <c r="UMC10" s="21"/>
      <c r="UMD10" s="21"/>
      <c r="UME10" s="21"/>
      <c r="UMF10" s="21"/>
      <c r="UMG10" s="21"/>
      <c r="UMH10" s="21"/>
      <c r="UMI10" s="21"/>
      <c r="UMJ10" s="21"/>
      <c r="UMK10" s="21"/>
      <c r="UML10" s="21"/>
      <c r="UMM10" s="21"/>
      <c r="UMN10" s="21"/>
      <c r="UMO10" s="21"/>
      <c r="UMP10" s="21"/>
      <c r="UMQ10" s="21"/>
      <c r="UMR10" s="21"/>
      <c r="UMS10" s="21"/>
      <c r="UMT10" s="21"/>
      <c r="UMU10" s="21"/>
      <c r="UMV10" s="21"/>
      <c r="UMW10" s="21"/>
      <c r="UMX10" s="21"/>
      <c r="UMY10" s="21"/>
      <c r="UMZ10" s="21"/>
      <c r="UNA10" s="21"/>
      <c r="UNB10" s="21"/>
      <c r="UNC10" s="21"/>
      <c r="UND10" s="21"/>
      <c r="UNE10" s="21"/>
      <c r="UNF10" s="21"/>
      <c r="UNG10" s="21"/>
      <c r="UNH10" s="21"/>
      <c r="UNI10" s="21"/>
      <c r="UNJ10" s="21"/>
      <c r="UNK10" s="21"/>
      <c r="UNL10" s="21"/>
      <c r="UNM10" s="21"/>
      <c r="UNN10" s="21"/>
      <c r="UNO10" s="21"/>
      <c r="UNP10" s="21"/>
      <c r="UNQ10" s="21"/>
      <c r="UNR10" s="21"/>
      <c r="UNS10" s="21"/>
      <c r="UNT10" s="21"/>
      <c r="UNU10" s="21"/>
      <c r="UNV10" s="21"/>
      <c r="UNW10" s="21"/>
      <c r="UNX10" s="21"/>
      <c r="UNY10" s="21"/>
      <c r="UNZ10" s="21"/>
      <c r="UOA10" s="21"/>
      <c r="UOB10" s="21"/>
      <c r="UOC10" s="21"/>
      <c r="UOD10" s="21"/>
      <c r="UOE10" s="21"/>
      <c r="UOF10" s="21"/>
      <c r="UOG10" s="21"/>
      <c r="UOH10" s="21"/>
      <c r="UOI10" s="21"/>
      <c r="UOJ10" s="21"/>
      <c r="UOK10" s="21"/>
      <c r="UOL10" s="21"/>
      <c r="UOM10" s="21"/>
      <c r="UON10" s="21"/>
      <c r="UOO10" s="21"/>
      <c r="UOP10" s="21"/>
      <c r="UOQ10" s="21"/>
      <c r="UOR10" s="21"/>
      <c r="UOS10" s="21"/>
      <c r="UOT10" s="21"/>
      <c r="UOU10" s="21"/>
      <c r="UOV10" s="21"/>
      <c r="UOW10" s="21"/>
      <c r="UOX10" s="21"/>
      <c r="UOY10" s="21"/>
      <c r="UOZ10" s="21"/>
      <c r="UPA10" s="21"/>
      <c r="UPB10" s="21"/>
      <c r="UPC10" s="21"/>
      <c r="UPD10" s="21"/>
      <c r="UPE10" s="21"/>
      <c r="UPF10" s="21"/>
      <c r="UPG10" s="21"/>
      <c r="UPH10" s="21"/>
      <c r="UPI10" s="21"/>
      <c r="UPJ10" s="21"/>
      <c r="UPK10" s="21"/>
      <c r="UPL10" s="21"/>
      <c r="UPM10" s="21"/>
      <c r="UPN10" s="21"/>
      <c r="UPO10" s="21"/>
      <c r="UPP10" s="21"/>
      <c r="UPQ10" s="21"/>
      <c r="UPR10" s="21"/>
      <c r="UPS10" s="21"/>
      <c r="UPT10" s="21"/>
      <c r="UPU10" s="21"/>
      <c r="UPV10" s="21"/>
      <c r="UPW10" s="21"/>
      <c r="UPX10" s="21"/>
      <c r="UPY10" s="21"/>
      <c r="UPZ10" s="21"/>
      <c r="UQA10" s="21"/>
      <c r="UQB10" s="21"/>
      <c r="UQC10" s="21"/>
      <c r="UQD10" s="21"/>
      <c r="UQE10" s="21"/>
      <c r="UQF10" s="21"/>
      <c r="UQG10" s="21"/>
      <c r="UQH10" s="21"/>
      <c r="UQI10" s="21"/>
      <c r="UQJ10" s="21"/>
      <c r="UQK10" s="21"/>
      <c r="UQL10" s="21"/>
      <c r="UQM10" s="21"/>
      <c r="UQN10" s="21"/>
      <c r="UQO10" s="21"/>
      <c r="UQP10" s="21"/>
      <c r="UQQ10" s="21"/>
      <c r="UQR10" s="21"/>
      <c r="UQS10" s="21"/>
      <c r="UQT10" s="21"/>
      <c r="UQU10" s="21"/>
      <c r="UQV10" s="21"/>
      <c r="UQW10" s="21"/>
      <c r="UQX10" s="21"/>
      <c r="UQY10" s="21"/>
      <c r="UQZ10" s="21"/>
      <c r="URA10" s="21"/>
      <c r="URB10" s="21"/>
      <c r="URC10" s="21"/>
      <c r="URD10" s="21"/>
      <c r="URE10" s="21"/>
      <c r="URF10" s="21"/>
      <c r="URG10" s="21"/>
      <c r="URH10" s="21"/>
      <c r="URI10" s="21"/>
      <c r="URJ10" s="21"/>
      <c r="URK10" s="21"/>
      <c r="URL10" s="21"/>
      <c r="URM10" s="21"/>
      <c r="URN10" s="21"/>
      <c r="URO10" s="21"/>
      <c r="URP10" s="21"/>
      <c r="URQ10" s="21"/>
      <c r="URR10" s="21"/>
      <c r="URS10" s="21"/>
      <c r="URT10" s="21"/>
      <c r="URU10" s="21"/>
      <c r="URV10" s="21"/>
      <c r="URW10" s="21"/>
      <c r="URX10" s="21"/>
      <c r="URY10" s="21"/>
      <c r="URZ10" s="21"/>
      <c r="USA10" s="21"/>
      <c r="USB10" s="21"/>
      <c r="USC10" s="21"/>
      <c r="USD10" s="21"/>
      <c r="USE10" s="21"/>
      <c r="USF10" s="21"/>
      <c r="USG10" s="21"/>
      <c r="USH10" s="21"/>
      <c r="USI10" s="21"/>
      <c r="USJ10" s="21"/>
      <c r="USK10" s="21"/>
      <c r="USL10" s="21"/>
      <c r="USM10" s="21"/>
      <c r="USN10" s="21"/>
      <c r="USO10" s="21"/>
      <c r="USP10" s="21"/>
      <c r="USQ10" s="21"/>
      <c r="USR10" s="21"/>
      <c r="USS10" s="21"/>
      <c r="UST10" s="21"/>
      <c r="USU10" s="21"/>
      <c r="USV10" s="21"/>
      <c r="USW10" s="21"/>
      <c r="USX10" s="21"/>
      <c r="USY10" s="21"/>
      <c r="USZ10" s="21"/>
      <c r="UTA10" s="21"/>
      <c r="UTB10" s="21"/>
      <c r="UTC10" s="21"/>
      <c r="UTD10" s="21"/>
      <c r="UTE10" s="21"/>
      <c r="UTF10" s="21"/>
      <c r="UTG10" s="21"/>
      <c r="UTH10" s="21"/>
      <c r="UTI10" s="21"/>
      <c r="UTJ10" s="21"/>
      <c r="UTK10" s="21"/>
      <c r="UTL10" s="21"/>
      <c r="UTM10" s="21"/>
      <c r="UTN10" s="21"/>
      <c r="UTO10" s="21"/>
      <c r="UTP10" s="21"/>
      <c r="UTQ10" s="21"/>
      <c r="UTR10" s="21"/>
      <c r="UTS10" s="21"/>
      <c r="UTT10" s="21"/>
      <c r="UTU10" s="21"/>
      <c r="UTV10" s="21"/>
      <c r="UTW10" s="21"/>
      <c r="UTX10" s="21"/>
      <c r="UTY10" s="21"/>
      <c r="UTZ10" s="21"/>
      <c r="UUA10" s="21"/>
      <c r="UUB10" s="21"/>
      <c r="UUC10" s="21"/>
      <c r="UUD10" s="21"/>
      <c r="UUE10" s="21"/>
      <c r="UUF10" s="21"/>
      <c r="UUG10" s="21"/>
      <c r="UUH10" s="21"/>
      <c r="UUI10" s="21"/>
      <c r="UUJ10" s="21"/>
      <c r="UUK10" s="21"/>
      <c r="UUL10" s="21"/>
      <c r="UUM10" s="21"/>
      <c r="UUN10" s="21"/>
      <c r="UUO10" s="21"/>
      <c r="UUP10" s="21"/>
      <c r="UUQ10" s="21"/>
      <c r="UUR10" s="21"/>
      <c r="UUS10" s="21"/>
      <c r="UUT10" s="21"/>
      <c r="UUU10" s="21"/>
      <c r="UUV10" s="21"/>
      <c r="UUW10" s="21"/>
      <c r="UUX10" s="21"/>
      <c r="UUY10" s="21"/>
      <c r="UUZ10" s="21"/>
      <c r="UVA10" s="21"/>
      <c r="UVB10" s="21"/>
      <c r="UVC10" s="21"/>
      <c r="UVD10" s="21"/>
      <c r="UVE10" s="21"/>
      <c r="UVF10" s="21"/>
      <c r="UVG10" s="21"/>
      <c r="UVH10" s="21"/>
      <c r="UVI10" s="21"/>
      <c r="UVJ10" s="21"/>
      <c r="UVK10" s="21"/>
      <c r="UVL10" s="21"/>
      <c r="UVM10" s="21"/>
      <c r="UVN10" s="21"/>
      <c r="UVO10" s="21"/>
      <c r="UVP10" s="21"/>
      <c r="UVQ10" s="21"/>
      <c r="UVR10" s="21"/>
      <c r="UVS10" s="21"/>
      <c r="UVT10" s="21"/>
      <c r="UVU10" s="21"/>
      <c r="UVV10" s="21"/>
      <c r="UVW10" s="21"/>
      <c r="UVX10" s="21"/>
      <c r="UVY10" s="21"/>
      <c r="UVZ10" s="21"/>
      <c r="UWA10" s="21"/>
      <c r="UWB10" s="21"/>
      <c r="UWC10" s="21"/>
      <c r="UWD10" s="21"/>
      <c r="UWE10" s="21"/>
      <c r="UWF10" s="21"/>
      <c r="UWG10" s="21"/>
      <c r="UWH10" s="21"/>
      <c r="UWI10" s="21"/>
      <c r="UWJ10" s="21"/>
      <c r="UWK10" s="21"/>
      <c r="UWL10" s="21"/>
      <c r="UWM10" s="21"/>
      <c r="UWN10" s="21"/>
      <c r="UWO10" s="21"/>
      <c r="UWP10" s="21"/>
      <c r="UWQ10" s="21"/>
      <c r="UWR10" s="21"/>
      <c r="UWS10" s="21"/>
      <c r="UWT10" s="21"/>
      <c r="UWU10" s="21"/>
      <c r="UWV10" s="21"/>
      <c r="UWW10" s="21"/>
      <c r="UWX10" s="21"/>
      <c r="UWY10" s="21"/>
      <c r="UWZ10" s="21"/>
      <c r="UXA10" s="21"/>
      <c r="UXB10" s="21"/>
      <c r="UXC10" s="21"/>
      <c r="UXD10" s="21"/>
      <c r="UXE10" s="21"/>
      <c r="UXF10" s="21"/>
      <c r="UXG10" s="21"/>
      <c r="UXH10" s="21"/>
      <c r="UXI10" s="21"/>
      <c r="UXJ10" s="21"/>
      <c r="UXK10" s="21"/>
      <c r="UXL10" s="21"/>
      <c r="UXM10" s="21"/>
      <c r="UXN10" s="21"/>
      <c r="UXO10" s="21"/>
      <c r="UXP10" s="21"/>
      <c r="UXQ10" s="21"/>
      <c r="UXR10" s="21"/>
      <c r="UXS10" s="21"/>
      <c r="UXT10" s="21"/>
      <c r="UXU10" s="21"/>
      <c r="UXV10" s="21"/>
      <c r="UXW10" s="21"/>
      <c r="UXX10" s="21"/>
      <c r="UXY10" s="21"/>
      <c r="UXZ10" s="21"/>
      <c r="UYA10" s="21"/>
      <c r="UYB10" s="21"/>
      <c r="UYC10" s="21"/>
      <c r="UYD10" s="21"/>
      <c r="UYE10" s="21"/>
      <c r="UYF10" s="21"/>
      <c r="UYG10" s="21"/>
      <c r="UYH10" s="21"/>
      <c r="UYI10" s="21"/>
      <c r="UYJ10" s="21"/>
      <c r="UYK10" s="21"/>
      <c r="UYL10" s="21"/>
      <c r="UYM10" s="21"/>
      <c r="UYN10" s="21"/>
      <c r="UYO10" s="21"/>
      <c r="UYP10" s="21"/>
      <c r="UYQ10" s="21"/>
      <c r="UYR10" s="21"/>
      <c r="UYS10" s="21"/>
      <c r="UYT10" s="21"/>
      <c r="UYU10" s="21"/>
      <c r="UYV10" s="21"/>
      <c r="UYW10" s="21"/>
      <c r="UYX10" s="21"/>
      <c r="UYY10" s="21"/>
      <c r="UYZ10" s="21"/>
      <c r="UZA10" s="21"/>
      <c r="UZB10" s="21"/>
      <c r="UZC10" s="21"/>
      <c r="UZD10" s="21"/>
      <c r="UZE10" s="21"/>
      <c r="UZF10" s="21"/>
      <c r="UZG10" s="21"/>
      <c r="UZH10" s="21"/>
      <c r="UZI10" s="21"/>
      <c r="UZJ10" s="21"/>
      <c r="UZK10" s="21"/>
      <c r="UZL10" s="21"/>
      <c r="UZM10" s="21"/>
      <c r="UZN10" s="21"/>
      <c r="UZO10" s="21"/>
      <c r="UZP10" s="21"/>
      <c r="UZQ10" s="21"/>
      <c r="UZR10" s="21"/>
      <c r="UZS10" s="21"/>
      <c r="UZT10" s="21"/>
      <c r="UZU10" s="21"/>
      <c r="UZV10" s="21"/>
      <c r="UZW10" s="21"/>
      <c r="UZX10" s="21"/>
      <c r="UZY10" s="21"/>
      <c r="UZZ10" s="21"/>
      <c r="VAA10" s="21"/>
      <c r="VAB10" s="21"/>
      <c r="VAC10" s="21"/>
      <c r="VAD10" s="21"/>
      <c r="VAE10" s="21"/>
      <c r="VAF10" s="21"/>
      <c r="VAG10" s="21"/>
      <c r="VAH10" s="21"/>
      <c r="VAI10" s="21"/>
      <c r="VAJ10" s="21"/>
      <c r="VAK10" s="21"/>
      <c r="VAL10" s="21"/>
      <c r="VAM10" s="21"/>
      <c r="VAN10" s="21"/>
      <c r="VAO10" s="21"/>
      <c r="VAP10" s="21"/>
      <c r="VAQ10" s="21"/>
      <c r="VAR10" s="21"/>
      <c r="VAS10" s="21"/>
      <c r="VAT10" s="21"/>
      <c r="VAU10" s="21"/>
      <c r="VAV10" s="21"/>
      <c r="VAW10" s="21"/>
      <c r="VAX10" s="21"/>
      <c r="VAY10" s="21"/>
      <c r="VAZ10" s="21"/>
      <c r="VBA10" s="21"/>
      <c r="VBB10" s="21"/>
      <c r="VBC10" s="21"/>
      <c r="VBD10" s="21"/>
      <c r="VBE10" s="21"/>
      <c r="VBF10" s="21"/>
      <c r="VBG10" s="21"/>
      <c r="VBH10" s="21"/>
      <c r="VBI10" s="21"/>
      <c r="VBJ10" s="21"/>
      <c r="VBK10" s="21"/>
      <c r="VBL10" s="21"/>
      <c r="VBM10" s="21"/>
      <c r="VBN10" s="21"/>
      <c r="VBO10" s="21"/>
      <c r="VBP10" s="21"/>
      <c r="VBQ10" s="21"/>
      <c r="VBR10" s="21"/>
      <c r="VBS10" s="21"/>
      <c r="VBT10" s="21"/>
      <c r="VBU10" s="21"/>
      <c r="VBV10" s="21"/>
      <c r="VBW10" s="21"/>
      <c r="VBX10" s="21"/>
      <c r="VBY10" s="21"/>
      <c r="VBZ10" s="21"/>
      <c r="VCA10" s="21"/>
      <c r="VCB10" s="21"/>
      <c r="VCC10" s="21"/>
      <c r="VCD10" s="21"/>
      <c r="VCE10" s="21"/>
      <c r="VCF10" s="21"/>
      <c r="VCG10" s="21"/>
      <c r="VCH10" s="21"/>
      <c r="VCI10" s="21"/>
      <c r="VCJ10" s="21"/>
      <c r="VCK10" s="21"/>
      <c r="VCL10" s="21"/>
      <c r="VCM10" s="21"/>
      <c r="VCN10" s="21"/>
      <c r="VCO10" s="21"/>
      <c r="VCP10" s="21"/>
      <c r="VCQ10" s="21"/>
      <c r="VCR10" s="21"/>
      <c r="VCS10" s="21"/>
      <c r="VCT10" s="21"/>
      <c r="VCU10" s="21"/>
      <c r="VCV10" s="21"/>
      <c r="VCW10" s="21"/>
      <c r="VCX10" s="21"/>
      <c r="VCY10" s="21"/>
      <c r="VCZ10" s="21"/>
      <c r="VDA10" s="21"/>
      <c r="VDB10" s="21"/>
      <c r="VDC10" s="21"/>
      <c r="VDD10" s="21"/>
      <c r="VDE10" s="21"/>
      <c r="VDF10" s="21"/>
      <c r="VDG10" s="21"/>
      <c r="VDH10" s="21"/>
      <c r="VDI10" s="21"/>
      <c r="VDJ10" s="21"/>
      <c r="VDK10" s="21"/>
      <c r="VDL10" s="21"/>
      <c r="VDM10" s="21"/>
      <c r="VDN10" s="21"/>
      <c r="VDO10" s="21"/>
      <c r="VDP10" s="21"/>
      <c r="VDQ10" s="21"/>
      <c r="VDR10" s="21"/>
      <c r="VDS10" s="21"/>
      <c r="VDT10" s="21"/>
      <c r="VDU10" s="21"/>
      <c r="VDV10" s="21"/>
      <c r="VDW10" s="21"/>
      <c r="VDX10" s="21"/>
      <c r="VDY10" s="21"/>
      <c r="VDZ10" s="21"/>
      <c r="VEA10" s="21"/>
      <c r="VEB10" s="21"/>
      <c r="VEC10" s="21"/>
      <c r="VED10" s="21"/>
      <c r="VEE10" s="21"/>
      <c r="VEF10" s="21"/>
      <c r="VEG10" s="21"/>
      <c r="VEH10" s="21"/>
      <c r="VEI10" s="21"/>
      <c r="VEJ10" s="21"/>
      <c r="VEK10" s="21"/>
      <c r="VEL10" s="21"/>
      <c r="VEM10" s="21"/>
      <c r="VEN10" s="21"/>
      <c r="VEO10" s="21"/>
      <c r="VEP10" s="21"/>
      <c r="VEQ10" s="21"/>
      <c r="VER10" s="21"/>
      <c r="VES10" s="21"/>
      <c r="VET10" s="21"/>
      <c r="VEU10" s="21"/>
      <c r="VEV10" s="21"/>
      <c r="VEW10" s="21"/>
      <c r="VEX10" s="21"/>
      <c r="VEY10" s="21"/>
      <c r="VEZ10" s="21"/>
      <c r="VFA10" s="21"/>
      <c r="VFB10" s="21"/>
      <c r="VFC10" s="21"/>
      <c r="VFD10" s="21"/>
      <c r="VFE10" s="21"/>
      <c r="VFF10" s="21"/>
      <c r="VFG10" s="21"/>
      <c r="VFH10" s="21"/>
      <c r="VFI10" s="21"/>
      <c r="VFJ10" s="21"/>
      <c r="VFK10" s="21"/>
      <c r="VFL10" s="21"/>
      <c r="VFM10" s="21"/>
      <c r="VFN10" s="21"/>
      <c r="VFO10" s="21"/>
      <c r="VFP10" s="21"/>
      <c r="VFQ10" s="21"/>
      <c r="VFR10" s="21"/>
      <c r="VFS10" s="21"/>
      <c r="VFT10" s="21"/>
      <c r="VFU10" s="21"/>
      <c r="VFV10" s="21"/>
      <c r="VFW10" s="21"/>
      <c r="VFX10" s="21"/>
      <c r="VFY10" s="21"/>
      <c r="VFZ10" s="21"/>
      <c r="VGA10" s="21"/>
      <c r="VGB10" s="21"/>
      <c r="VGC10" s="21"/>
      <c r="VGD10" s="21"/>
      <c r="VGE10" s="21"/>
      <c r="VGF10" s="21"/>
      <c r="VGG10" s="21"/>
      <c r="VGH10" s="21"/>
      <c r="VGI10" s="21"/>
      <c r="VGJ10" s="21"/>
      <c r="VGK10" s="21"/>
      <c r="VGL10" s="21"/>
      <c r="VGM10" s="21"/>
      <c r="VGN10" s="21"/>
      <c r="VGO10" s="21"/>
      <c r="VGP10" s="21"/>
      <c r="VGQ10" s="21"/>
      <c r="VGR10" s="21"/>
      <c r="VGS10" s="21"/>
      <c r="VGT10" s="21"/>
      <c r="VGU10" s="21"/>
      <c r="VGV10" s="21"/>
      <c r="VGW10" s="21"/>
      <c r="VGX10" s="21"/>
      <c r="VGY10" s="21"/>
      <c r="VGZ10" s="21"/>
      <c r="VHA10" s="21"/>
      <c r="VHB10" s="21"/>
      <c r="VHC10" s="21"/>
      <c r="VHD10" s="21"/>
      <c r="VHE10" s="21"/>
      <c r="VHF10" s="21"/>
      <c r="VHG10" s="21"/>
      <c r="VHH10" s="21"/>
      <c r="VHI10" s="21"/>
      <c r="VHJ10" s="21"/>
      <c r="VHK10" s="21"/>
      <c r="VHL10" s="21"/>
      <c r="VHM10" s="21"/>
      <c r="VHN10" s="21"/>
      <c r="VHO10" s="21"/>
      <c r="VHP10" s="21"/>
      <c r="VHQ10" s="21"/>
      <c r="VHR10" s="21"/>
      <c r="VHS10" s="21"/>
      <c r="VHT10" s="21"/>
      <c r="VHU10" s="21"/>
      <c r="VHV10" s="21"/>
      <c r="VHW10" s="21"/>
      <c r="VHX10" s="21"/>
      <c r="VHY10" s="21"/>
      <c r="VHZ10" s="21"/>
      <c r="VIA10" s="21"/>
      <c r="VIB10" s="21"/>
      <c r="VIC10" s="21"/>
      <c r="VID10" s="21"/>
      <c r="VIE10" s="21"/>
      <c r="VIF10" s="21"/>
      <c r="VIG10" s="21"/>
      <c r="VIH10" s="21"/>
      <c r="VII10" s="21"/>
      <c r="VIJ10" s="21"/>
      <c r="VIK10" s="21"/>
      <c r="VIL10" s="21"/>
      <c r="VIM10" s="21"/>
      <c r="VIN10" s="21"/>
      <c r="VIO10" s="21"/>
      <c r="VIP10" s="21"/>
      <c r="VIQ10" s="21"/>
      <c r="VIR10" s="21"/>
      <c r="VIS10" s="21"/>
      <c r="VIT10" s="21"/>
      <c r="VIU10" s="21"/>
      <c r="VIV10" s="21"/>
      <c r="VIW10" s="21"/>
      <c r="VIX10" s="21"/>
      <c r="VIY10" s="21"/>
      <c r="VIZ10" s="21"/>
      <c r="VJA10" s="21"/>
      <c r="VJB10" s="21"/>
      <c r="VJC10" s="21"/>
      <c r="VJD10" s="21"/>
      <c r="VJE10" s="21"/>
      <c r="VJF10" s="21"/>
      <c r="VJG10" s="21"/>
      <c r="VJH10" s="21"/>
      <c r="VJI10" s="21"/>
      <c r="VJJ10" s="21"/>
      <c r="VJK10" s="21"/>
      <c r="VJL10" s="21"/>
      <c r="VJM10" s="21"/>
      <c r="VJN10" s="21"/>
      <c r="VJO10" s="21"/>
      <c r="VJP10" s="21"/>
      <c r="VJQ10" s="21"/>
      <c r="VJR10" s="21"/>
      <c r="VJS10" s="21"/>
      <c r="VJT10" s="21"/>
      <c r="VJU10" s="21"/>
      <c r="VJV10" s="21"/>
      <c r="VJW10" s="21"/>
      <c r="VJX10" s="21"/>
      <c r="VJY10" s="21"/>
      <c r="VJZ10" s="21"/>
      <c r="VKA10" s="21"/>
      <c r="VKB10" s="21"/>
      <c r="VKC10" s="21"/>
      <c r="VKD10" s="21"/>
      <c r="VKE10" s="21"/>
      <c r="VKF10" s="21"/>
      <c r="VKG10" s="21"/>
      <c r="VKH10" s="21"/>
      <c r="VKI10" s="21"/>
      <c r="VKJ10" s="21"/>
      <c r="VKK10" s="21"/>
      <c r="VKL10" s="21"/>
      <c r="VKM10" s="21"/>
      <c r="VKN10" s="21"/>
      <c r="VKO10" s="21"/>
      <c r="VKP10" s="21"/>
      <c r="VKQ10" s="21"/>
      <c r="VKR10" s="21"/>
      <c r="VKS10" s="21"/>
      <c r="VKT10" s="21"/>
      <c r="VKU10" s="21"/>
      <c r="VKV10" s="21"/>
      <c r="VKW10" s="21"/>
      <c r="VKX10" s="21"/>
      <c r="VKY10" s="21"/>
      <c r="VKZ10" s="21"/>
      <c r="VLA10" s="21"/>
      <c r="VLB10" s="21"/>
      <c r="VLC10" s="21"/>
      <c r="VLD10" s="21"/>
      <c r="VLE10" s="21"/>
      <c r="VLF10" s="21"/>
      <c r="VLG10" s="21"/>
      <c r="VLH10" s="21"/>
      <c r="VLI10" s="21"/>
      <c r="VLJ10" s="21"/>
      <c r="VLK10" s="21"/>
      <c r="VLL10" s="21"/>
      <c r="VLM10" s="21"/>
      <c r="VLN10" s="21"/>
      <c r="VLO10" s="21"/>
      <c r="VLP10" s="21"/>
      <c r="VLQ10" s="21"/>
      <c r="VLR10" s="21"/>
      <c r="VLS10" s="21"/>
      <c r="VLT10" s="21"/>
      <c r="VLU10" s="21"/>
      <c r="VLV10" s="21"/>
      <c r="VLW10" s="21"/>
      <c r="VLX10" s="21"/>
      <c r="VLY10" s="21"/>
      <c r="VLZ10" s="21"/>
      <c r="VMA10" s="21"/>
      <c r="VMB10" s="21"/>
      <c r="VMC10" s="21"/>
      <c r="VMD10" s="21"/>
      <c r="VME10" s="21"/>
      <c r="VMF10" s="21"/>
      <c r="VMG10" s="21"/>
      <c r="VMH10" s="21"/>
      <c r="VMI10" s="21"/>
      <c r="VMJ10" s="21"/>
      <c r="VMK10" s="21"/>
      <c r="VML10" s="21"/>
      <c r="VMM10" s="21"/>
      <c r="VMN10" s="21"/>
      <c r="VMO10" s="21"/>
      <c r="VMP10" s="21"/>
      <c r="VMQ10" s="21"/>
      <c r="VMR10" s="21"/>
      <c r="VMS10" s="21"/>
      <c r="VMT10" s="21"/>
      <c r="VMU10" s="21"/>
      <c r="VMV10" s="21"/>
      <c r="VMW10" s="21"/>
      <c r="VMX10" s="21"/>
      <c r="VMY10" s="21"/>
      <c r="VMZ10" s="21"/>
      <c r="VNA10" s="21"/>
      <c r="VNB10" s="21"/>
      <c r="VNC10" s="21"/>
      <c r="VND10" s="21"/>
      <c r="VNE10" s="21"/>
      <c r="VNF10" s="21"/>
      <c r="VNG10" s="21"/>
      <c r="VNH10" s="21"/>
      <c r="VNI10" s="21"/>
      <c r="VNJ10" s="21"/>
      <c r="VNK10" s="21"/>
      <c r="VNL10" s="21"/>
      <c r="VNM10" s="21"/>
      <c r="VNN10" s="21"/>
      <c r="VNO10" s="21"/>
      <c r="VNP10" s="21"/>
      <c r="VNQ10" s="21"/>
      <c r="VNR10" s="21"/>
      <c r="VNS10" s="21"/>
      <c r="VNT10" s="21"/>
      <c r="VNU10" s="21"/>
      <c r="VNV10" s="21"/>
      <c r="VNW10" s="21"/>
      <c r="VNX10" s="21"/>
      <c r="VNY10" s="21"/>
      <c r="VNZ10" s="21"/>
      <c r="VOA10" s="21"/>
      <c r="VOB10" s="21"/>
      <c r="VOC10" s="21"/>
      <c r="VOD10" s="21"/>
      <c r="VOE10" s="21"/>
      <c r="VOF10" s="21"/>
      <c r="VOG10" s="21"/>
      <c r="VOH10" s="21"/>
      <c r="VOI10" s="21"/>
      <c r="VOJ10" s="21"/>
      <c r="VOK10" s="21"/>
      <c r="VOL10" s="21"/>
      <c r="VOM10" s="21"/>
      <c r="VON10" s="21"/>
      <c r="VOO10" s="21"/>
      <c r="VOP10" s="21"/>
      <c r="VOQ10" s="21"/>
      <c r="VOR10" s="21"/>
      <c r="VOS10" s="21"/>
      <c r="VOT10" s="21"/>
      <c r="VOU10" s="21"/>
      <c r="VOV10" s="21"/>
      <c r="VOW10" s="21"/>
      <c r="VOX10" s="21"/>
      <c r="VOY10" s="21"/>
      <c r="VOZ10" s="21"/>
      <c r="VPA10" s="21"/>
      <c r="VPB10" s="21"/>
      <c r="VPC10" s="21"/>
      <c r="VPD10" s="21"/>
      <c r="VPE10" s="21"/>
      <c r="VPF10" s="21"/>
      <c r="VPG10" s="21"/>
      <c r="VPH10" s="21"/>
      <c r="VPI10" s="21"/>
      <c r="VPJ10" s="21"/>
      <c r="VPK10" s="21"/>
      <c r="VPL10" s="21"/>
      <c r="VPM10" s="21"/>
      <c r="VPN10" s="21"/>
      <c r="VPO10" s="21"/>
      <c r="VPP10" s="21"/>
      <c r="VPQ10" s="21"/>
      <c r="VPR10" s="21"/>
      <c r="VPS10" s="21"/>
      <c r="VPT10" s="21"/>
      <c r="VPU10" s="21"/>
      <c r="VPV10" s="21"/>
      <c r="VPW10" s="21"/>
      <c r="VPX10" s="21"/>
      <c r="VPY10" s="21"/>
      <c r="VPZ10" s="21"/>
      <c r="VQA10" s="21"/>
      <c r="VQB10" s="21"/>
      <c r="VQC10" s="21"/>
      <c r="VQD10" s="21"/>
      <c r="VQE10" s="21"/>
      <c r="VQF10" s="21"/>
      <c r="VQG10" s="21"/>
      <c r="VQH10" s="21"/>
      <c r="VQI10" s="21"/>
      <c r="VQJ10" s="21"/>
      <c r="VQK10" s="21"/>
      <c r="VQL10" s="21"/>
      <c r="VQM10" s="21"/>
      <c r="VQN10" s="21"/>
      <c r="VQO10" s="21"/>
      <c r="VQP10" s="21"/>
      <c r="VQQ10" s="21"/>
      <c r="VQR10" s="21"/>
      <c r="VQS10" s="21"/>
      <c r="VQT10" s="21"/>
      <c r="VQU10" s="21"/>
      <c r="VQV10" s="21"/>
      <c r="VQW10" s="21"/>
      <c r="VQX10" s="21"/>
      <c r="VQY10" s="21"/>
      <c r="VQZ10" s="21"/>
      <c r="VRA10" s="21"/>
      <c r="VRB10" s="21"/>
      <c r="VRC10" s="21"/>
      <c r="VRD10" s="21"/>
      <c r="VRE10" s="21"/>
      <c r="VRF10" s="21"/>
      <c r="VRG10" s="21"/>
      <c r="VRH10" s="21"/>
      <c r="VRI10" s="21"/>
      <c r="VRJ10" s="21"/>
      <c r="VRK10" s="21"/>
      <c r="VRL10" s="21"/>
      <c r="VRM10" s="21"/>
      <c r="VRN10" s="21"/>
      <c r="VRO10" s="21"/>
      <c r="VRP10" s="21"/>
      <c r="VRQ10" s="21"/>
      <c r="VRR10" s="21"/>
      <c r="VRS10" s="21"/>
      <c r="VRT10" s="21"/>
      <c r="VRU10" s="21"/>
      <c r="VRV10" s="21"/>
      <c r="VRW10" s="21"/>
      <c r="VRX10" s="21"/>
      <c r="VRY10" s="21"/>
      <c r="VRZ10" s="21"/>
      <c r="VSA10" s="21"/>
      <c r="VSB10" s="21"/>
      <c r="VSC10" s="21"/>
      <c r="VSD10" s="21"/>
      <c r="VSE10" s="21"/>
      <c r="VSF10" s="21"/>
      <c r="VSG10" s="21"/>
      <c r="VSH10" s="21"/>
      <c r="VSI10" s="21"/>
      <c r="VSJ10" s="21"/>
      <c r="VSK10" s="21"/>
      <c r="VSL10" s="21"/>
      <c r="VSM10" s="21"/>
      <c r="VSN10" s="21"/>
      <c r="VSO10" s="21"/>
      <c r="VSP10" s="21"/>
      <c r="VSQ10" s="21"/>
      <c r="VSR10" s="21"/>
      <c r="VSS10" s="21"/>
      <c r="VST10" s="21"/>
      <c r="VSU10" s="21"/>
      <c r="VSV10" s="21"/>
      <c r="VSW10" s="21"/>
      <c r="VSX10" s="21"/>
      <c r="VSY10" s="21"/>
      <c r="VSZ10" s="21"/>
      <c r="VTA10" s="21"/>
      <c r="VTB10" s="21"/>
      <c r="VTC10" s="21"/>
      <c r="VTD10" s="21"/>
      <c r="VTE10" s="21"/>
      <c r="VTF10" s="21"/>
      <c r="VTG10" s="21"/>
      <c r="VTH10" s="21"/>
      <c r="VTI10" s="21"/>
      <c r="VTJ10" s="21"/>
      <c r="VTK10" s="21"/>
      <c r="VTL10" s="21"/>
      <c r="VTM10" s="21"/>
      <c r="VTN10" s="21"/>
      <c r="VTO10" s="21"/>
      <c r="VTP10" s="21"/>
      <c r="VTQ10" s="21"/>
      <c r="VTR10" s="21"/>
      <c r="VTS10" s="21"/>
      <c r="VTT10" s="21"/>
      <c r="VTU10" s="21"/>
      <c r="VTV10" s="21"/>
      <c r="VTW10" s="21"/>
      <c r="VTX10" s="21"/>
      <c r="VTY10" s="21"/>
      <c r="VTZ10" s="21"/>
      <c r="VUA10" s="21"/>
      <c r="VUB10" s="21"/>
      <c r="VUC10" s="21"/>
      <c r="VUD10" s="21"/>
      <c r="VUE10" s="21"/>
      <c r="VUF10" s="21"/>
      <c r="VUG10" s="21"/>
      <c r="VUH10" s="21"/>
      <c r="VUI10" s="21"/>
      <c r="VUJ10" s="21"/>
      <c r="VUK10" s="21"/>
      <c r="VUL10" s="21"/>
      <c r="VUM10" s="21"/>
      <c r="VUN10" s="21"/>
      <c r="VUO10" s="21"/>
      <c r="VUP10" s="21"/>
      <c r="VUQ10" s="21"/>
      <c r="VUR10" s="21"/>
      <c r="VUS10" s="21"/>
      <c r="VUT10" s="21"/>
      <c r="VUU10" s="21"/>
      <c r="VUV10" s="21"/>
      <c r="VUW10" s="21"/>
      <c r="VUX10" s="21"/>
      <c r="VUY10" s="21"/>
      <c r="VUZ10" s="21"/>
      <c r="VVA10" s="21"/>
      <c r="VVB10" s="21"/>
      <c r="VVC10" s="21"/>
      <c r="VVD10" s="21"/>
      <c r="VVE10" s="21"/>
      <c r="VVF10" s="21"/>
      <c r="VVG10" s="21"/>
      <c r="VVH10" s="21"/>
      <c r="VVI10" s="21"/>
      <c r="VVJ10" s="21"/>
      <c r="VVK10" s="21"/>
      <c r="VVL10" s="21"/>
      <c r="VVM10" s="21"/>
      <c r="VVN10" s="21"/>
      <c r="VVO10" s="21"/>
      <c r="VVP10" s="21"/>
      <c r="VVQ10" s="21"/>
      <c r="VVR10" s="21"/>
      <c r="VVS10" s="21"/>
      <c r="VVT10" s="21"/>
      <c r="VVU10" s="21"/>
      <c r="VVV10" s="21"/>
      <c r="VVW10" s="21"/>
      <c r="VVX10" s="21"/>
      <c r="VVY10" s="21"/>
      <c r="VVZ10" s="21"/>
      <c r="VWA10" s="21"/>
      <c r="VWB10" s="21"/>
      <c r="VWC10" s="21"/>
      <c r="VWD10" s="21"/>
      <c r="VWE10" s="21"/>
      <c r="VWF10" s="21"/>
      <c r="VWG10" s="21"/>
      <c r="VWH10" s="21"/>
      <c r="VWI10" s="21"/>
      <c r="VWJ10" s="21"/>
      <c r="VWK10" s="21"/>
      <c r="VWL10" s="21"/>
      <c r="VWM10" s="21"/>
      <c r="VWN10" s="21"/>
      <c r="VWO10" s="21"/>
      <c r="VWP10" s="21"/>
      <c r="VWQ10" s="21"/>
      <c r="VWR10" s="21"/>
      <c r="VWS10" s="21"/>
      <c r="VWT10" s="21"/>
      <c r="VWU10" s="21"/>
      <c r="VWV10" s="21"/>
      <c r="VWW10" s="21"/>
      <c r="VWX10" s="21"/>
      <c r="VWY10" s="21"/>
      <c r="VWZ10" s="21"/>
      <c r="VXA10" s="21"/>
      <c r="VXB10" s="21"/>
      <c r="VXC10" s="21"/>
      <c r="VXD10" s="21"/>
      <c r="VXE10" s="21"/>
      <c r="VXF10" s="21"/>
      <c r="VXG10" s="21"/>
      <c r="VXH10" s="21"/>
      <c r="VXI10" s="21"/>
      <c r="VXJ10" s="21"/>
      <c r="VXK10" s="21"/>
      <c r="VXL10" s="21"/>
      <c r="VXM10" s="21"/>
      <c r="VXN10" s="21"/>
      <c r="VXO10" s="21"/>
      <c r="VXP10" s="21"/>
      <c r="VXQ10" s="21"/>
      <c r="VXR10" s="21"/>
      <c r="VXS10" s="21"/>
      <c r="VXT10" s="21"/>
      <c r="VXU10" s="21"/>
      <c r="VXV10" s="21"/>
      <c r="VXW10" s="21"/>
      <c r="VXX10" s="21"/>
      <c r="VXY10" s="21"/>
      <c r="VXZ10" s="21"/>
      <c r="VYA10" s="21"/>
      <c r="VYB10" s="21"/>
      <c r="VYC10" s="21"/>
      <c r="VYD10" s="21"/>
      <c r="VYE10" s="21"/>
      <c r="VYF10" s="21"/>
      <c r="VYG10" s="21"/>
      <c r="VYH10" s="21"/>
      <c r="VYI10" s="21"/>
      <c r="VYJ10" s="21"/>
      <c r="VYK10" s="21"/>
      <c r="VYL10" s="21"/>
      <c r="VYM10" s="21"/>
      <c r="VYN10" s="21"/>
      <c r="VYO10" s="21"/>
      <c r="VYP10" s="21"/>
      <c r="VYQ10" s="21"/>
      <c r="VYR10" s="21"/>
      <c r="VYS10" s="21"/>
      <c r="VYT10" s="21"/>
      <c r="VYU10" s="21"/>
      <c r="VYV10" s="21"/>
      <c r="VYW10" s="21"/>
      <c r="VYX10" s="21"/>
      <c r="VYY10" s="21"/>
      <c r="VYZ10" s="21"/>
      <c r="VZA10" s="21"/>
      <c r="VZB10" s="21"/>
      <c r="VZC10" s="21"/>
      <c r="VZD10" s="21"/>
      <c r="VZE10" s="21"/>
      <c r="VZF10" s="21"/>
      <c r="VZG10" s="21"/>
      <c r="VZH10" s="21"/>
      <c r="VZI10" s="21"/>
      <c r="VZJ10" s="21"/>
      <c r="VZK10" s="21"/>
      <c r="VZL10" s="21"/>
      <c r="VZM10" s="21"/>
      <c r="VZN10" s="21"/>
      <c r="VZO10" s="21"/>
      <c r="VZP10" s="21"/>
      <c r="VZQ10" s="21"/>
      <c r="VZR10" s="21"/>
      <c r="VZS10" s="21"/>
      <c r="VZT10" s="21"/>
      <c r="VZU10" s="21"/>
      <c r="VZV10" s="21"/>
      <c r="VZW10" s="21"/>
      <c r="VZX10" s="21"/>
      <c r="VZY10" s="21"/>
      <c r="VZZ10" s="21"/>
      <c r="WAA10" s="21"/>
      <c r="WAB10" s="21"/>
      <c r="WAC10" s="21"/>
      <c r="WAD10" s="21"/>
      <c r="WAE10" s="21"/>
      <c r="WAF10" s="21"/>
      <c r="WAG10" s="21"/>
      <c r="WAH10" s="21"/>
      <c r="WAI10" s="21"/>
      <c r="WAJ10" s="21"/>
      <c r="WAK10" s="21"/>
      <c r="WAL10" s="21"/>
      <c r="WAM10" s="21"/>
      <c r="WAN10" s="21"/>
      <c r="WAO10" s="21"/>
      <c r="WAP10" s="21"/>
      <c r="WAQ10" s="21"/>
      <c r="WAR10" s="21"/>
      <c r="WAS10" s="21"/>
      <c r="WAT10" s="21"/>
      <c r="WAU10" s="21"/>
      <c r="WAV10" s="21"/>
      <c r="WAW10" s="21"/>
      <c r="WAX10" s="21"/>
      <c r="WAY10" s="21"/>
      <c r="WAZ10" s="21"/>
      <c r="WBA10" s="21"/>
      <c r="WBB10" s="21"/>
      <c r="WBC10" s="21"/>
      <c r="WBD10" s="21"/>
      <c r="WBE10" s="21"/>
      <c r="WBF10" s="21"/>
      <c r="WBG10" s="21"/>
      <c r="WBH10" s="21"/>
      <c r="WBI10" s="21"/>
      <c r="WBJ10" s="21"/>
      <c r="WBK10" s="21"/>
      <c r="WBL10" s="21"/>
      <c r="WBM10" s="21"/>
      <c r="WBN10" s="21"/>
      <c r="WBO10" s="21"/>
      <c r="WBP10" s="21"/>
      <c r="WBQ10" s="21"/>
      <c r="WBR10" s="21"/>
      <c r="WBS10" s="21"/>
      <c r="WBT10" s="21"/>
      <c r="WBU10" s="21"/>
      <c r="WBV10" s="21"/>
      <c r="WBW10" s="21"/>
      <c r="WBX10" s="21"/>
      <c r="WBY10" s="21"/>
      <c r="WBZ10" s="21"/>
      <c r="WCA10" s="21"/>
      <c r="WCB10" s="21"/>
      <c r="WCC10" s="21"/>
      <c r="WCD10" s="21"/>
      <c r="WCE10" s="21"/>
      <c r="WCF10" s="21"/>
      <c r="WCG10" s="21"/>
      <c r="WCH10" s="21"/>
      <c r="WCI10" s="21"/>
      <c r="WCJ10" s="21"/>
      <c r="WCK10" s="21"/>
      <c r="WCL10" s="21"/>
      <c r="WCM10" s="21"/>
      <c r="WCN10" s="21"/>
      <c r="WCO10" s="21"/>
      <c r="WCP10" s="21"/>
      <c r="WCQ10" s="21"/>
      <c r="WCR10" s="21"/>
      <c r="WCS10" s="21"/>
      <c r="WCT10" s="21"/>
      <c r="WCU10" s="21"/>
      <c r="WCV10" s="21"/>
      <c r="WCW10" s="21"/>
      <c r="WCX10" s="21"/>
      <c r="WCY10" s="21"/>
      <c r="WCZ10" s="21"/>
      <c r="WDA10" s="21"/>
      <c r="WDB10" s="21"/>
      <c r="WDC10" s="21"/>
      <c r="WDD10" s="21"/>
      <c r="WDE10" s="21"/>
      <c r="WDF10" s="21"/>
      <c r="WDG10" s="21"/>
      <c r="WDH10" s="21"/>
      <c r="WDI10" s="21"/>
      <c r="WDJ10" s="21"/>
      <c r="WDK10" s="21"/>
      <c r="WDL10" s="21"/>
      <c r="WDM10" s="21"/>
      <c r="WDN10" s="21"/>
      <c r="WDO10" s="21"/>
      <c r="WDP10" s="21"/>
      <c r="WDQ10" s="21"/>
      <c r="WDR10" s="21"/>
      <c r="WDS10" s="21"/>
      <c r="WDT10" s="21"/>
      <c r="WDU10" s="21"/>
      <c r="WDV10" s="21"/>
      <c r="WDW10" s="21"/>
      <c r="WDX10" s="21"/>
      <c r="WDY10" s="21"/>
      <c r="WDZ10" s="21"/>
      <c r="WEA10" s="21"/>
      <c r="WEB10" s="21"/>
      <c r="WEC10" s="21"/>
      <c r="WED10" s="21"/>
      <c r="WEE10" s="21"/>
      <c r="WEF10" s="21"/>
      <c r="WEG10" s="21"/>
      <c r="WEH10" s="21"/>
      <c r="WEI10" s="21"/>
      <c r="WEJ10" s="21"/>
      <c r="WEK10" s="21"/>
      <c r="WEL10" s="21"/>
      <c r="WEM10" s="21"/>
      <c r="WEN10" s="21"/>
      <c r="WEO10" s="21"/>
      <c r="WEP10" s="21"/>
      <c r="WEQ10" s="21"/>
      <c r="WER10" s="21"/>
      <c r="WES10" s="21"/>
      <c r="WET10" s="21"/>
      <c r="WEU10" s="21"/>
      <c r="WEV10" s="21"/>
      <c r="WEW10" s="21"/>
      <c r="WEX10" s="21"/>
      <c r="WEY10" s="21"/>
      <c r="WEZ10" s="21"/>
      <c r="WFA10" s="21"/>
      <c r="WFB10" s="21"/>
      <c r="WFC10" s="21"/>
      <c r="WFD10" s="21"/>
      <c r="WFE10" s="21"/>
      <c r="WFF10" s="21"/>
      <c r="WFG10" s="21"/>
      <c r="WFH10" s="21"/>
      <c r="WFI10" s="21"/>
      <c r="WFJ10" s="21"/>
      <c r="WFK10" s="21"/>
      <c r="WFL10" s="21"/>
      <c r="WFM10" s="21"/>
      <c r="WFN10" s="21"/>
      <c r="WFO10" s="21"/>
      <c r="WFP10" s="21"/>
      <c r="WFQ10" s="21"/>
      <c r="WFR10" s="21"/>
      <c r="WFS10" s="21"/>
      <c r="WFT10" s="21"/>
      <c r="WFU10" s="21"/>
      <c r="WFV10" s="21"/>
      <c r="WFW10" s="21"/>
      <c r="WFX10" s="21"/>
      <c r="WFY10" s="21"/>
      <c r="WFZ10" s="21"/>
      <c r="WGA10" s="21"/>
      <c r="WGB10" s="21"/>
      <c r="WGC10" s="21"/>
      <c r="WGD10" s="21"/>
      <c r="WGE10" s="21"/>
      <c r="WGF10" s="21"/>
      <c r="WGG10" s="21"/>
      <c r="WGH10" s="21"/>
      <c r="WGI10" s="21"/>
      <c r="WGJ10" s="21"/>
      <c r="WGK10" s="21"/>
      <c r="WGL10" s="21"/>
      <c r="WGM10" s="21"/>
      <c r="WGN10" s="21"/>
      <c r="WGO10" s="21"/>
      <c r="WGP10" s="21"/>
      <c r="WGQ10" s="21"/>
      <c r="WGR10" s="21"/>
      <c r="WGS10" s="21"/>
      <c r="WGT10" s="21"/>
      <c r="WGU10" s="21"/>
      <c r="WGV10" s="21"/>
      <c r="WGW10" s="21"/>
      <c r="WGX10" s="21"/>
      <c r="WGY10" s="21"/>
      <c r="WGZ10" s="21"/>
      <c r="WHA10" s="21"/>
      <c r="WHB10" s="21"/>
      <c r="WHC10" s="21"/>
      <c r="WHD10" s="21"/>
      <c r="WHE10" s="21"/>
      <c r="WHF10" s="21"/>
      <c r="WHG10" s="21"/>
      <c r="WHH10" s="21"/>
      <c r="WHI10" s="21"/>
      <c r="WHJ10" s="21"/>
      <c r="WHK10" s="21"/>
      <c r="WHL10" s="21"/>
      <c r="WHM10" s="21"/>
      <c r="WHN10" s="21"/>
      <c r="WHO10" s="21"/>
      <c r="WHP10" s="21"/>
      <c r="WHQ10" s="21"/>
      <c r="WHR10" s="21"/>
      <c r="WHS10" s="21"/>
      <c r="WHT10" s="21"/>
      <c r="WHU10" s="21"/>
      <c r="WHV10" s="21"/>
      <c r="WHW10" s="21"/>
      <c r="WHX10" s="21"/>
      <c r="WHY10" s="21"/>
      <c r="WHZ10" s="21"/>
      <c r="WIA10" s="21"/>
      <c r="WIB10" s="21"/>
      <c r="WIC10" s="21"/>
      <c r="WID10" s="21"/>
      <c r="WIE10" s="21"/>
      <c r="WIF10" s="21"/>
      <c r="WIG10" s="21"/>
      <c r="WIH10" s="21"/>
      <c r="WII10" s="21"/>
      <c r="WIJ10" s="21"/>
      <c r="WIK10" s="21"/>
      <c r="WIL10" s="21"/>
      <c r="WIM10" s="21"/>
      <c r="WIN10" s="21"/>
      <c r="WIO10" s="21"/>
      <c r="WIP10" s="21"/>
      <c r="WIQ10" s="21"/>
      <c r="WIR10" s="21"/>
      <c r="WIS10" s="21"/>
      <c r="WIT10" s="21"/>
      <c r="WIU10" s="21"/>
      <c r="WIV10" s="21"/>
      <c r="WIW10" s="21"/>
      <c r="WIX10" s="21"/>
      <c r="WIY10" s="21"/>
      <c r="WIZ10" s="21"/>
      <c r="WJA10" s="21"/>
      <c r="WJB10" s="21"/>
      <c r="WJC10" s="21"/>
      <c r="WJD10" s="21"/>
      <c r="WJE10" s="21"/>
      <c r="WJF10" s="21"/>
      <c r="WJG10" s="21"/>
      <c r="WJH10" s="21"/>
      <c r="WJI10" s="21"/>
      <c r="WJJ10" s="21"/>
      <c r="WJK10" s="21"/>
      <c r="WJL10" s="21"/>
      <c r="WJM10" s="21"/>
      <c r="WJN10" s="21"/>
      <c r="WJO10" s="21"/>
      <c r="WJP10" s="21"/>
      <c r="WJQ10" s="21"/>
      <c r="WJR10" s="21"/>
      <c r="WJS10" s="21"/>
      <c r="WJT10" s="21"/>
      <c r="WJU10" s="21"/>
      <c r="WJV10" s="21"/>
      <c r="WJW10" s="21"/>
      <c r="WJX10" s="21"/>
      <c r="WJY10" s="21"/>
      <c r="WJZ10" s="21"/>
      <c r="WKA10" s="21"/>
      <c r="WKB10" s="21"/>
      <c r="WKC10" s="21"/>
      <c r="WKD10" s="21"/>
      <c r="WKE10" s="21"/>
      <c r="WKF10" s="21"/>
      <c r="WKG10" s="21"/>
      <c r="WKH10" s="21"/>
      <c r="WKI10" s="21"/>
      <c r="WKJ10" s="21"/>
      <c r="WKK10" s="21"/>
      <c r="WKL10" s="21"/>
      <c r="WKM10" s="21"/>
      <c r="WKN10" s="21"/>
      <c r="WKO10" s="21"/>
      <c r="WKP10" s="21"/>
      <c r="WKQ10" s="21"/>
      <c r="WKR10" s="21"/>
      <c r="WKS10" s="21"/>
      <c r="WKT10" s="21"/>
      <c r="WKU10" s="21"/>
      <c r="WKV10" s="21"/>
      <c r="WKW10" s="21"/>
      <c r="WKX10" s="21"/>
      <c r="WKY10" s="21"/>
      <c r="WKZ10" s="21"/>
      <c r="WLA10" s="21"/>
      <c r="WLB10" s="21"/>
      <c r="WLC10" s="21"/>
      <c r="WLD10" s="21"/>
      <c r="WLE10" s="21"/>
      <c r="WLF10" s="21"/>
      <c r="WLG10" s="21"/>
      <c r="WLH10" s="21"/>
      <c r="WLI10" s="21"/>
      <c r="WLJ10" s="21"/>
      <c r="WLK10" s="21"/>
      <c r="WLL10" s="21"/>
      <c r="WLM10" s="21"/>
      <c r="WLN10" s="21"/>
      <c r="WLO10" s="21"/>
      <c r="WLP10" s="21"/>
      <c r="WLQ10" s="21"/>
      <c r="WLR10" s="21"/>
      <c r="WLS10" s="21"/>
      <c r="WLT10" s="21"/>
      <c r="WLU10" s="21"/>
      <c r="WLV10" s="21"/>
      <c r="WLW10" s="21"/>
      <c r="WLX10" s="21"/>
      <c r="WLY10" s="21"/>
      <c r="WLZ10" s="21"/>
      <c r="WMA10" s="21"/>
      <c r="WMB10" s="21"/>
      <c r="WMC10" s="21"/>
      <c r="WMD10" s="21"/>
      <c r="WME10" s="21"/>
      <c r="WMF10" s="21"/>
      <c r="WMG10" s="21"/>
      <c r="WMH10" s="21"/>
      <c r="WMI10" s="21"/>
      <c r="WMJ10" s="21"/>
      <c r="WMK10" s="21"/>
      <c r="WML10" s="21"/>
      <c r="WMM10" s="21"/>
      <c r="WMN10" s="21"/>
      <c r="WMO10" s="21"/>
      <c r="WMP10" s="21"/>
      <c r="WMQ10" s="21"/>
      <c r="WMR10" s="21"/>
      <c r="WMS10" s="21"/>
      <c r="WMT10" s="21"/>
      <c r="WMU10" s="21"/>
      <c r="WMV10" s="21"/>
      <c r="WMW10" s="21"/>
      <c r="WMX10" s="21"/>
      <c r="WMY10" s="21"/>
      <c r="WMZ10" s="21"/>
      <c r="WNA10" s="21"/>
      <c r="WNB10" s="21"/>
      <c r="WNC10" s="21"/>
      <c r="WND10" s="21"/>
      <c r="WNE10" s="21"/>
      <c r="WNF10" s="21"/>
      <c r="WNG10" s="21"/>
      <c r="WNH10" s="21"/>
      <c r="WNI10" s="21"/>
      <c r="WNJ10" s="21"/>
      <c r="WNK10" s="21"/>
      <c r="WNL10" s="21"/>
      <c r="WNM10" s="21"/>
      <c r="WNN10" s="21"/>
      <c r="WNO10" s="21"/>
      <c r="WNP10" s="21"/>
      <c r="WNQ10" s="21"/>
      <c r="WNR10" s="21"/>
      <c r="WNS10" s="21"/>
      <c r="WNT10" s="21"/>
      <c r="WNU10" s="21"/>
      <c r="WNV10" s="21"/>
      <c r="WNW10" s="21"/>
      <c r="WNX10" s="21"/>
      <c r="WNY10" s="21"/>
      <c r="WNZ10" s="21"/>
      <c r="WOA10" s="21"/>
      <c r="WOB10" s="21"/>
      <c r="WOC10" s="21"/>
      <c r="WOD10" s="21"/>
      <c r="WOE10" s="21"/>
      <c r="WOF10" s="21"/>
      <c r="WOG10" s="21"/>
      <c r="WOH10" s="21"/>
      <c r="WOI10" s="21"/>
      <c r="WOJ10" s="21"/>
      <c r="WOK10" s="21"/>
      <c r="WOL10" s="21"/>
      <c r="WOM10" s="21"/>
      <c r="WON10" s="21"/>
      <c r="WOO10" s="21"/>
      <c r="WOP10" s="21"/>
      <c r="WOQ10" s="21"/>
      <c r="WOR10" s="21"/>
      <c r="WOS10" s="21"/>
      <c r="WOT10" s="21"/>
      <c r="WOU10" s="21"/>
      <c r="WOV10" s="21"/>
      <c r="WOW10" s="21"/>
      <c r="WOX10" s="21"/>
      <c r="WOY10" s="21"/>
      <c r="WOZ10" s="21"/>
      <c r="WPA10" s="21"/>
      <c r="WPB10" s="21"/>
      <c r="WPC10" s="21"/>
      <c r="WPD10" s="21"/>
      <c r="WPE10" s="21"/>
      <c r="WPF10" s="21"/>
      <c r="WPG10" s="21"/>
      <c r="WPH10" s="21"/>
      <c r="WPI10" s="21"/>
      <c r="WPJ10" s="21"/>
      <c r="WPK10" s="21"/>
      <c r="WPL10" s="21"/>
      <c r="WPM10" s="21"/>
      <c r="WPN10" s="21"/>
      <c r="WPO10" s="21"/>
      <c r="WPP10" s="21"/>
      <c r="WPQ10" s="21"/>
      <c r="WPR10" s="21"/>
      <c r="WPS10" s="21"/>
      <c r="WPT10" s="21"/>
      <c r="WPU10" s="21"/>
      <c r="WPV10" s="21"/>
      <c r="WPW10" s="21"/>
      <c r="WPX10" s="21"/>
      <c r="WPY10" s="21"/>
      <c r="WPZ10" s="21"/>
      <c r="WQA10" s="21"/>
      <c r="WQB10" s="21"/>
      <c r="WQC10" s="21"/>
      <c r="WQD10" s="21"/>
      <c r="WQE10" s="21"/>
      <c r="WQF10" s="21"/>
      <c r="WQG10" s="21"/>
      <c r="WQH10" s="21"/>
      <c r="WQI10" s="21"/>
      <c r="WQJ10" s="21"/>
      <c r="WQK10" s="21"/>
      <c r="WQL10" s="21"/>
      <c r="WQM10" s="21"/>
      <c r="WQN10" s="21"/>
      <c r="WQO10" s="21"/>
      <c r="WQP10" s="21"/>
      <c r="WQQ10" s="21"/>
      <c r="WQR10" s="21"/>
      <c r="WQS10" s="21"/>
      <c r="WQT10" s="21"/>
      <c r="WQU10" s="21"/>
      <c r="WQV10" s="21"/>
      <c r="WQW10" s="21"/>
      <c r="WQX10" s="21"/>
      <c r="WQY10" s="21"/>
      <c r="WQZ10" s="21"/>
      <c r="WRA10" s="21"/>
      <c r="WRB10" s="21"/>
      <c r="WRC10" s="21"/>
      <c r="WRD10" s="21"/>
      <c r="WRE10" s="21"/>
      <c r="WRF10" s="21"/>
      <c r="WRG10" s="21"/>
      <c r="WRH10" s="21"/>
      <c r="WRI10" s="21"/>
      <c r="WRJ10" s="21"/>
      <c r="WRK10" s="21"/>
      <c r="WRL10" s="21"/>
      <c r="WRM10" s="21"/>
      <c r="WRN10" s="21"/>
      <c r="WRO10" s="21"/>
      <c r="WRP10" s="21"/>
      <c r="WRQ10" s="21"/>
      <c r="WRR10" s="21"/>
      <c r="WRS10" s="21"/>
      <c r="WRT10" s="21"/>
      <c r="WRU10" s="21"/>
      <c r="WRV10" s="21"/>
      <c r="WRW10" s="21"/>
      <c r="WRX10" s="21"/>
      <c r="WRY10" s="21"/>
      <c r="WRZ10" s="21"/>
      <c r="WSA10" s="21"/>
      <c r="WSB10" s="21"/>
      <c r="WSC10" s="21"/>
      <c r="WSD10" s="21"/>
      <c r="WSE10" s="21"/>
      <c r="WSF10" s="21"/>
      <c r="WSG10" s="21"/>
      <c r="WSH10" s="21"/>
      <c r="WSI10" s="21"/>
      <c r="WSJ10" s="21"/>
      <c r="WSK10" s="21"/>
      <c r="WSL10" s="21"/>
      <c r="WSM10" s="21"/>
      <c r="WSN10" s="21"/>
      <c r="WSO10" s="21"/>
      <c r="WSP10" s="21"/>
      <c r="WSQ10" s="21"/>
      <c r="WSR10" s="21"/>
      <c r="WSS10" s="21"/>
      <c r="WST10" s="21"/>
      <c r="WSU10" s="21"/>
      <c r="WSV10" s="21"/>
      <c r="WSW10" s="21"/>
      <c r="WSX10" s="21"/>
      <c r="WSY10" s="21"/>
      <c r="WSZ10" s="21"/>
      <c r="WTA10" s="21"/>
      <c r="WTB10" s="21"/>
      <c r="WTC10" s="21"/>
      <c r="WTD10" s="21"/>
      <c r="WTE10" s="21"/>
      <c r="WTF10" s="21"/>
      <c r="WTG10" s="21"/>
      <c r="WTH10" s="21"/>
      <c r="WTI10" s="21"/>
      <c r="WTJ10" s="21"/>
      <c r="WTK10" s="21"/>
      <c r="WTL10" s="21"/>
      <c r="WTM10" s="21"/>
      <c r="WTN10" s="21"/>
      <c r="WTO10" s="21"/>
      <c r="WTP10" s="21"/>
      <c r="WTQ10" s="21"/>
      <c r="WTR10" s="21"/>
      <c r="WTS10" s="21"/>
      <c r="WTT10" s="21"/>
      <c r="WTU10" s="21"/>
      <c r="WTV10" s="21"/>
      <c r="WTW10" s="21"/>
      <c r="WTX10" s="21"/>
      <c r="WTY10" s="21"/>
      <c r="WTZ10" s="21"/>
      <c r="WUA10" s="21"/>
      <c r="WUB10" s="21"/>
      <c r="WUC10" s="21"/>
      <c r="WUD10" s="21"/>
      <c r="WUE10" s="21"/>
      <c r="WUF10" s="21"/>
      <c r="WUG10" s="21"/>
      <c r="WUH10" s="21"/>
      <c r="WUI10" s="21"/>
      <c r="WUJ10" s="21"/>
      <c r="WUK10" s="21"/>
      <c r="WUL10" s="21"/>
      <c r="WUM10" s="21"/>
      <c r="WUN10" s="21"/>
      <c r="WUO10" s="21"/>
      <c r="WUP10" s="21"/>
      <c r="WUQ10" s="21"/>
      <c r="WUR10" s="21"/>
      <c r="WUS10" s="21"/>
      <c r="WUT10" s="21"/>
      <c r="WUU10" s="21"/>
      <c r="WUV10" s="21"/>
      <c r="WUW10" s="21"/>
      <c r="WUX10" s="21"/>
      <c r="WUY10" s="21"/>
      <c r="WUZ10" s="21"/>
      <c r="WVA10" s="21"/>
      <c r="WVB10" s="21"/>
      <c r="WVC10" s="21"/>
      <c r="WVD10" s="21"/>
      <c r="WVE10" s="21"/>
      <c r="WVF10" s="21"/>
      <c r="WVG10" s="21"/>
      <c r="WVH10" s="21"/>
      <c r="WVI10" s="21"/>
      <c r="WVJ10" s="21"/>
      <c r="WVK10" s="21"/>
      <c r="WVL10" s="21"/>
      <c r="WVM10" s="21"/>
      <c r="WVN10" s="21"/>
      <c r="WVO10" s="21"/>
      <c r="WVP10" s="21"/>
      <c r="WVQ10" s="21"/>
      <c r="WVR10" s="21"/>
      <c r="WVS10" s="21"/>
      <c r="WVT10" s="21"/>
      <c r="WVU10" s="21"/>
      <c r="WVV10" s="21"/>
      <c r="WVW10" s="21"/>
      <c r="WVX10" s="21"/>
      <c r="WVY10" s="21"/>
      <c r="WVZ10" s="21"/>
      <c r="WWA10" s="21"/>
      <c r="WWB10" s="21"/>
      <c r="WWC10" s="21"/>
      <c r="WWD10" s="21"/>
      <c r="WWE10" s="21"/>
      <c r="WWF10" s="21"/>
      <c r="WWG10" s="21"/>
      <c r="WWH10" s="21"/>
      <c r="WWI10" s="21"/>
      <c r="WWJ10" s="21"/>
      <c r="WWK10" s="21"/>
      <c r="WWL10" s="21"/>
      <c r="WWM10" s="21"/>
      <c r="WWN10" s="21"/>
      <c r="WWO10" s="21"/>
      <c r="WWP10" s="21"/>
      <c r="WWQ10" s="21"/>
      <c r="WWR10" s="21"/>
      <c r="WWS10" s="21"/>
      <c r="WWT10" s="21"/>
      <c r="WWU10" s="21"/>
      <c r="WWV10" s="21"/>
      <c r="WWW10" s="21"/>
      <c r="WWX10" s="21"/>
      <c r="WWY10" s="21"/>
      <c r="WWZ10" s="21"/>
      <c r="WXA10" s="21"/>
      <c r="WXB10" s="21"/>
      <c r="WXC10" s="21"/>
      <c r="WXD10" s="21"/>
      <c r="WXE10" s="21"/>
      <c r="WXF10" s="21"/>
      <c r="WXG10" s="21"/>
      <c r="WXH10" s="21"/>
      <c r="WXI10" s="21"/>
      <c r="WXJ10" s="21"/>
      <c r="WXK10" s="21"/>
      <c r="WXL10" s="21"/>
      <c r="WXM10" s="21"/>
      <c r="WXN10" s="21"/>
      <c r="WXO10" s="21"/>
      <c r="WXP10" s="21"/>
      <c r="WXQ10" s="21"/>
      <c r="WXR10" s="21"/>
      <c r="WXS10" s="21"/>
      <c r="WXT10" s="21"/>
      <c r="WXU10" s="21"/>
      <c r="WXV10" s="21"/>
      <c r="WXW10" s="21"/>
      <c r="WXX10" s="21"/>
      <c r="WXY10" s="21"/>
      <c r="WXZ10" s="21"/>
      <c r="WYA10" s="21"/>
      <c r="WYB10" s="21"/>
      <c r="WYC10" s="21"/>
      <c r="WYD10" s="21"/>
      <c r="WYE10" s="21"/>
      <c r="WYF10" s="21"/>
      <c r="WYG10" s="21"/>
      <c r="WYH10" s="21"/>
      <c r="WYI10" s="21"/>
      <c r="WYJ10" s="21"/>
      <c r="WYK10" s="21"/>
      <c r="WYL10" s="21"/>
      <c r="WYM10" s="21"/>
      <c r="WYN10" s="21"/>
      <c r="WYO10" s="21"/>
      <c r="WYP10" s="21"/>
      <c r="WYQ10" s="21"/>
      <c r="WYR10" s="21"/>
      <c r="WYS10" s="21"/>
      <c r="WYT10" s="21"/>
      <c r="WYU10" s="21"/>
      <c r="WYV10" s="21"/>
      <c r="WYW10" s="21"/>
      <c r="WYX10" s="21"/>
      <c r="WYY10" s="21"/>
      <c r="WYZ10" s="21"/>
      <c r="WZA10" s="21"/>
      <c r="WZB10" s="21"/>
      <c r="WZC10" s="21"/>
      <c r="WZD10" s="21"/>
      <c r="WZE10" s="21"/>
      <c r="WZF10" s="21"/>
      <c r="WZG10" s="21"/>
      <c r="WZH10" s="21"/>
      <c r="WZI10" s="21"/>
      <c r="WZJ10" s="21"/>
      <c r="WZK10" s="21"/>
      <c r="WZL10" s="21"/>
      <c r="WZM10" s="21"/>
      <c r="WZN10" s="21"/>
      <c r="WZO10" s="21"/>
      <c r="WZP10" s="21"/>
      <c r="WZQ10" s="21"/>
      <c r="WZR10" s="21"/>
      <c r="WZS10" s="21"/>
      <c r="WZT10" s="21"/>
      <c r="WZU10" s="21"/>
      <c r="WZV10" s="21"/>
      <c r="WZW10" s="21"/>
      <c r="WZX10" s="21"/>
      <c r="WZY10" s="21"/>
      <c r="WZZ10" s="21"/>
      <c r="XAA10" s="21"/>
      <c r="XAB10" s="21"/>
      <c r="XAC10" s="21"/>
      <c r="XAD10" s="21"/>
      <c r="XAE10" s="21"/>
      <c r="XAF10" s="21"/>
      <c r="XAG10" s="21"/>
      <c r="XAH10" s="21"/>
      <c r="XAI10" s="21"/>
      <c r="XAJ10" s="21"/>
      <c r="XAK10" s="21"/>
      <c r="XAL10" s="21"/>
      <c r="XAM10" s="21"/>
      <c r="XAN10" s="21"/>
      <c r="XAO10" s="21"/>
      <c r="XAP10" s="21"/>
      <c r="XAQ10" s="21"/>
      <c r="XAR10" s="21"/>
      <c r="XAS10" s="21"/>
      <c r="XAT10" s="21"/>
      <c r="XAU10" s="21"/>
      <c r="XAV10" s="21"/>
      <c r="XAW10" s="21"/>
      <c r="XAX10" s="21"/>
      <c r="XAY10" s="21"/>
      <c r="XAZ10" s="21"/>
      <c r="XBA10" s="21"/>
      <c r="XBB10" s="21"/>
      <c r="XBC10" s="21"/>
      <c r="XBD10" s="21"/>
      <c r="XBE10" s="21"/>
      <c r="XBF10" s="21"/>
      <c r="XBG10" s="21"/>
      <c r="XBH10" s="21"/>
      <c r="XBI10" s="21"/>
      <c r="XBJ10" s="21"/>
      <c r="XBK10" s="21"/>
      <c r="XBL10" s="21"/>
      <c r="XBM10" s="21"/>
      <c r="XBN10" s="21"/>
      <c r="XBO10" s="21"/>
      <c r="XBP10" s="21"/>
      <c r="XBQ10" s="21"/>
      <c r="XBR10" s="21"/>
      <c r="XBS10" s="21"/>
      <c r="XBT10" s="21"/>
      <c r="XBU10" s="21"/>
      <c r="XBV10" s="21"/>
      <c r="XBW10" s="21"/>
      <c r="XBX10" s="21"/>
      <c r="XBY10" s="21"/>
      <c r="XBZ10" s="21"/>
      <c r="XCA10" s="21"/>
      <c r="XCB10" s="21"/>
      <c r="XCC10" s="21"/>
      <c r="XCD10" s="21"/>
      <c r="XCE10" s="21"/>
      <c r="XCF10" s="21"/>
      <c r="XCG10" s="21"/>
      <c r="XCH10" s="21"/>
      <c r="XCI10" s="21"/>
      <c r="XCJ10" s="21"/>
      <c r="XCK10" s="21"/>
      <c r="XCL10" s="21"/>
      <c r="XCM10" s="21"/>
      <c r="XCN10" s="21"/>
      <c r="XCO10" s="21"/>
      <c r="XCP10" s="21"/>
      <c r="XCQ10" s="21"/>
      <c r="XCR10" s="21"/>
      <c r="XCS10" s="21"/>
      <c r="XCT10" s="21"/>
      <c r="XCU10" s="21"/>
      <c r="XCV10" s="21"/>
      <c r="XCW10" s="21"/>
      <c r="XCX10" s="21"/>
      <c r="XCY10" s="21"/>
      <c r="XCZ10" s="21"/>
      <c r="XDA10" s="21"/>
    </row>
    <row r="11" spans="2:16384" ht="14.4" thickBot="1" x14ac:dyDescent="0.3">
      <c r="B11" s="451" t="s">
        <v>152</v>
      </c>
      <c r="C11" s="445" t="s">
        <v>153</v>
      </c>
      <c r="D11" s="446" t="s">
        <v>79</v>
      </c>
      <c r="E11" s="452" t="s">
        <v>146</v>
      </c>
      <c r="F11" s="447">
        <v>2</v>
      </c>
      <c r="G11" s="273">
        <v>37.21</v>
      </c>
      <c r="H11" s="273">
        <v>35.53</v>
      </c>
      <c r="I11" s="273">
        <v>35.646000000000001</v>
      </c>
      <c r="J11" s="273">
        <v>31.59713329947148</v>
      </c>
      <c r="K11" s="273">
        <v>32.497133299471479</v>
      </c>
      <c r="L11" s="1458">
        <v>32.09713329947148</v>
      </c>
      <c r="M11" s="1458">
        <v>31.728969974273923</v>
      </c>
      <c r="N11" s="1458">
        <v>31.077954668384791</v>
      </c>
      <c r="O11" s="1458">
        <v>30.395913329155491</v>
      </c>
      <c r="P11" s="1458">
        <v>29.916872332931433</v>
      </c>
      <c r="Q11" s="1458">
        <v>29.473916413778731</v>
      </c>
      <c r="R11" s="1458">
        <v>26.067170440554442</v>
      </c>
      <c r="S11" s="1458">
        <v>24.230087070271722</v>
      </c>
      <c r="T11" s="1458">
        <v>23.201395239571873</v>
      </c>
      <c r="U11" s="1458">
        <v>21.960514944256232</v>
      </c>
      <c r="V11" s="1458">
        <v>21.960514944256232</v>
      </c>
      <c r="W11" s="1458">
        <v>21.960514944256232</v>
      </c>
      <c r="X11" s="1458">
        <v>21.960514944256232</v>
      </c>
      <c r="Y11" s="1458">
        <v>21.960514944256232</v>
      </c>
      <c r="Z11" s="1458">
        <v>21.960514944256232</v>
      </c>
      <c r="AA11" s="1458">
        <v>21.960514944256232</v>
      </c>
      <c r="AB11" s="274"/>
      <c r="AC11" s="274"/>
      <c r="AD11" s="274"/>
      <c r="AE11" s="274"/>
      <c r="AF11" s="274"/>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row>
    <row r="12" spans="2:16384" x14ac:dyDescent="0.25">
      <c r="B12" s="466" t="s">
        <v>154</v>
      </c>
      <c r="C12" s="467" t="s">
        <v>155</v>
      </c>
      <c r="D12" s="468" t="s">
        <v>79</v>
      </c>
      <c r="E12" s="469" t="s">
        <v>146</v>
      </c>
      <c r="F12" s="470">
        <v>2</v>
      </c>
      <c r="G12" s="275">
        <v>270.64999999999998</v>
      </c>
      <c r="H12" s="276">
        <v>276.35000000000002</v>
      </c>
      <c r="I12" s="276">
        <v>279.4617155841608</v>
      </c>
      <c r="J12" s="276">
        <v>275.05303620177028</v>
      </c>
      <c r="K12" s="276">
        <v>275.76802340672162</v>
      </c>
      <c r="L12" s="1459">
        <v>275.238874240558</v>
      </c>
      <c r="M12" s="1459">
        <v>274.47957494445154</v>
      </c>
      <c r="N12" s="1459">
        <v>271.74835964010356</v>
      </c>
      <c r="O12" s="1459">
        <v>268.61525387490678</v>
      </c>
      <c r="P12" s="1459">
        <v>265.58753069230602</v>
      </c>
      <c r="Q12" s="1459">
        <v>262.53784464392436</v>
      </c>
      <c r="R12" s="1459">
        <v>237.9695612001409</v>
      </c>
      <c r="S12" s="1459">
        <v>224.62192138888469</v>
      </c>
      <c r="T12" s="1459">
        <v>218.63990380768612</v>
      </c>
      <c r="U12" s="1459">
        <v>217.49501776012966</v>
      </c>
      <c r="V12" s="1459">
        <v>223.76864026985305</v>
      </c>
      <c r="W12" s="1459">
        <v>239.59626635781905</v>
      </c>
      <c r="X12" s="1459">
        <v>248.86648243686389</v>
      </c>
      <c r="Y12" s="1459">
        <v>255.23115204193783</v>
      </c>
      <c r="Z12" s="1459">
        <v>260.23096166863274</v>
      </c>
      <c r="AA12" s="1459">
        <v>265.28817918638867</v>
      </c>
      <c r="AB12" s="1422"/>
      <c r="AC12" s="1422"/>
      <c r="AD12" s="1422"/>
      <c r="AE12" s="1422"/>
      <c r="AF12" s="1422"/>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21"/>
      <c r="WUW12" s="21"/>
      <c r="WUX12" s="21"/>
      <c r="WUY12" s="21"/>
      <c r="WUZ12" s="21"/>
      <c r="WVA12" s="21"/>
      <c r="WVB12" s="21"/>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21"/>
      <c r="WYH12" s="21"/>
      <c r="WYI12" s="21"/>
      <c r="WYJ12" s="21"/>
      <c r="WYK12" s="21"/>
      <c r="WYL12" s="21"/>
      <c r="WYM12" s="21"/>
      <c r="WYN12" s="21"/>
      <c r="WYO12" s="21"/>
      <c r="WYP12" s="21"/>
      <c r="WYQ12" s="21"/>
      <c r="WYR12" s="21"/>
      <c r="WYS12" s="21"/>
      <c r="WYT12" s="21"/>
      <c r="WYU12" s="21"/>
      <c r="WYV12" s="21"/>
      <c r="WYW12" s="21"/>
      <c r="WYX12" s="21"/>
      <c r="WYY12" s="21"/>
      <c r="WYZ12" s="21"/>
      <c r="WZA12" s="21"/>
      <c r="WZB12" s="21"/>
      <c r="WZC12" s="21"/>
      <c r="WZD12" s="21"/>
      <c r="WZE12" s="21"/>
      <c r="WZF12" s="21"/>
      <c r="WZG12" s="21"/>
      <c r="WZH12" s="21"/>
      <c r="WZI12" s="21"/>
      <c r="WZJ12" s="21"/>
      <c r="WZK12" s="21"/>
      <c r="WZL12" s="21"/>
      <c r="WZM12" s="21"/>
      <c r="WZN12" s="21"/>
      <c r="WZO12" s="21"/>
      <c r="WZP12" s="21"/>
      <c r="WZQ12" s="21"/>
      <c r="WZR12" s="21"/>
      <c r="WZS12" s="21"/>
      <c r="WZT12" s="21"/>
      <c r="WZU12" s="21"/>
      <c r="WZV12" s="21"/>
      <c r="WZW12" s="21"/>
      <c r="WZX12" s="21"/>
      <c r="WZY12" s="21"/>
      <c r="WZZ12" s="21"/>
      <c r="XAA12" s="21"/>
      <c r="XAB12" s="21"/>
      <c r="XAC12" s="21"/>
      <c r="XAD12" s="21"/>
      <c r="XAE12" s="21"/>
      <c r="XAF12" s="21"/>
      <c r="XAG12" s="21"/>
      <c r="XAH12" s="21"/>
      <c r="XAI12" s="21"/>
      <c r="XAJ12" s="21"/>
      <c r="XAK12" s="21"/>
      <c r="XAL12" s="21"/>
      <c r="XAM12" s="21"/>
      <c r="XAN12" s="21"/>
      <c r="XAO12" s="21"/>
      <c r="XAP12" s="21"/>
      <c r="XAQ12" s="21"/>
      <c r="XAR12" s="21"/>
      <c r="XAS12" s="21"/>
      <c r="XAT12" s="21"/>
      <c r="XAU12" s="21"/>
      <c r="XAV12" s="21"/>
      <c r="XAW12" s="21"/>
      <c r="XAX12" s="21"/>
      <c r="XAY12" s="21"/>
      <c r="XAZ12" s="21"/>
      <c r="XBA12" s="21"/>
      <c r="XBB12" s="21"/>
      <c r="XBC12" s="21"/>
      <c r="XBD12" s="21"/>
      <c r="XBE12" s="21"/>
      <c r="XBF12" s="21"/>
      <c r="XBG12" s="21"/>
      <c r="XBH12" s="21"/>
      <c r="XBI12" s="21"/>
      <c r="XBJ12" s="21"/>
      <c r="XBK12" s="21"/>
      <c r="XBL12" s="21"/>
      <c r="XBM12" s="21"/>
      <c r="XBN12" s="21"/>
      <c r="XBO12" s="21"/>
      <c r="XBP12" s="21"/>
      <c r="XBQ12" s="21"/>
      <c r="XBR12" s="21"/>
      <c r="XBS12" s="21"/>
      <c r="XBT12" s="21"/>
      <c r="XBU12" s="21"/>
      <c r="XBV12" s="21"/>
      <c r="XBW12" s="21"/>
      <c r="XBX12" s="21"/>
      <c r="XBY12" s="21"/>
      <c r="XBZ12" s="21"/>
      <c r="XCA12" s="21"/>
      <c r="XCB12" s="21"/>
      <c r="XCC12" s="21"/>
      <c r="XCD12" s="21"/>
      <c r="XCE12" s="21"/>
      <c r="XCF12" s="21"/>
      <c r="XCG12" s="21"/>
      <c r="XCH12" s="21"/>
      <c r="XCI12" s="21"/>
      <c r="XCJ12" s="21"/>
      <c r="XCK12" s="21"/>
      <c r="XCL12" s="21"/>
      <c r="XCM12" s="21"/>
      <c r="XCN12" s="21"/>
      <c r="XCO12" s="21"/>
      <c r="XCP12" s="21"/>
      <c r="XCQ12" s="21"/>
      <c r="XCR12" s="21"/>
      <c r="XCS12" s="21"/>
      <c r="XCT12" s="21"/>
      <c r="XCU12" s="21"/>
      <c r="XCV12" s="21"/>
      <c r="XCW12" s="21"/>
      <c r="XCX12" s="21"/>
      <c r="XCY12" s="21"/>
      <c r="XCZ12" s="21"/>
      <c r="XDA12" s="21"/>
    </row>
    <row r="13" spans="2:16384" ht="14.4" thickBot="1" x14ac:dyDescent="0.3">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c r="BGX13" s="21"/>
      <c r="BGY13" s="21"/>
      <c r="BGZ13" s="21"/>
      <c r="BHA13" s="21"/>
      <c r="BHB13" s="21"/>
      <c r="BHC13" s="21"/>
      <c r="BHD13" s="21"/>
      <c r="BHE13" s="21"/>
      <c r="BHF13" s="21"/>
      <c r="BHG13" s="21"/>
      <c r="BHH13" s="21"/>
      <c r="BHI13" s="21"/>
      <c r="BHJ13" s="21"/>
      <c r="BHK13" s="21"/>
      <c r="BHL13" s="21"/>
      <c r="BHM13" s="21"/>
      <c r="BHN13" s="21"/>
      <c r="BHO13" s="21"/>
      <c r="BHP13" s="21"/>
      <c r="BHQ13" s="21"/>
      <c r="BHR13" s="21"/>
      <c r="BHS13" s="21"/>
      <c r="BHT13" s="21"/>
      <c r="BHU13" s="21"/>
      <c r="BHV13" s="21"/>
      <c r="BHW13" s="21"/>
      <c r="BHX13" s="21"/>
      <c r="BHY13" s="21"/>
      <c r="BHZ13" s="21"/>
      <c r="BIA13" s="21"/>
      <c r="BIB13" s="21"/>
      <c r="BIC13" s="21"/>
      <c r="BID13" s="21"/>
      <c r="BIE13" s="21"/>
      <c r="BIF13" s="21"/>
      <c r="BIG13" s="21"/>
      <c r="BIH13" s="21"/>
      <c r="BII13" s="21"/>
      <c r="BIJ13" s="21"/>
      <c r="BIK13" s="21"/>
      <c r="BIL13" s="21"/>
      <c r="BIM13" s="21"/>
      <c r="BIN13" s="21"/>
      <c r="BIO13" s="21"/>
      <c r="BIP13" s="21"/>
      <c r="BIQ13" s="21"/>
      <c r="BIR13" s="21"/>
      <c r="BIS13" s="21"/>
      <c r="BIT13" s="21"/>
      <c r="BIU13" s="21"/>
      <c r="BIV13" s="21"/>
      <c r="BIW13" s="21"/>
      <c r="BIX13" s="21"/>
      <c r="BIY13" s="21"/>
      <c r="BIZ13" s="21"/>
      <c r="BJA13" s="21"/>
      <c r="BJB13" s="21"/>
      <c r="BJC13" s="21"/>
      <c r="BJD13" s="21"/>
      <c r="BJE13" s="21"/>
      <c r="BJF13" s="21"/>
      <c r="BJG13" s="21"/>
      <c r="BJH13" s="21"/>
      <c r="BJI13" s="21"/>
      <c r="BJJ13" s="21"/>
      <c r="BJK13" s="21"/>
      <c r="BJL13" s="21"/>
      <c r="BJM13" s="21"/>
      <c r="BJN13" s="21"/>
      <c r="BJO13" s="21"/>
      <c r="BJP13" s="21"/>
      <c r="BJQ13" s="21"/>
      <c r="BJR13" s="21"/>
      <c r="BJS13" s="21"/>
      <c r="BJT13" s="21"/>
      <c r="BJU13" s="21"/>
      <c r="BJV13" s="21"/>
      <c r="BJW13" s="21"/>
      <c r="BJX13" s="21"/>
      <c r="BJY13" s="21"/>
      <c r="BJZ13" s="21"/>
      <c r="BKA13" s="21"/>
      <c r="BKB13" s="21"/>
      <c r="BKC13" s="21"/>
      <c r="BKD13" s="21"/>
      <c r="BKE13" s="21"/>
      <c r="BKF13" s="21"/>
      <c r="BKG13" s="21"/>
      <c r="BKH13" s="21"/>
      <c r="BKI13" s="21"/>
      <c r="BKJ13" s="21"/>
      <c r="BKK13" s="21"/>
      <c r="BKL13" s="21"/>
      <c r="BKM13" s="21"/>
      <c r="BKN13" s="21"/>
      <c r="BKO13" s="21"/>
      <c r="BKP13" s="21"/>
      <c r="BKQ13" s="21"/>
      <c r="BKR13" s="21"/>
      <c r="BKS13" s="21"/>
      <c r="BKT13" s="21"/>
      <c r="BKU13" s="21"/>
      <c r="BKV13" s="21"/>
      <c r="BKW13" s="21"/>
      <c r="BKX13" s="21"/>
      <c r="BKY13" s="21"/>
      <c r="BKZ13" s="21"/>
      <c r="BLA13" s="21"/>
      <c r="BLB13" s="21"/>
      <c r="BLC13" s="21"/>
      <c r="BLD13" s="21"/>
      <c r="BLE13" s="21"/>
      <c r="BLF13" s="21"/>
      <c r="BLG13" s="21"/>
      <c r="BLH13" s="21"/>
      <c r="BLI13" s="21"/>
      <c r="BLJ13" s="21"/>
      <c r="BLK13" s="21"/>
      <c r="BLL13" s="21"/>
      <c r="BLM13" s="21"/>
      <c r="BLN13" s="21"/>
      <c r="BLO13" s="21"/>
      <c r="BLP13" s="21"/>
      <c r="BLQ13" s="21"/>
      <c r="BLR13" s="21"/>
      <c r="BLS13" s="21"/>
      <c r="BLT13" s="21"/>
      <c r="BLU13" s="21"/>
      <c r="BLV13" s="21"/>
      <c r="BLW13" s="21"/>
      <c r="BLX13" s="21"/>
      <c r="BLY13" s="21"/>
      <c r="BLZ13" s="21"/>
      <c r="BMA13" s="21"/>
      <c r="BMB13" s="21"/>
      <c r="BMC13" s="21"/>
      <c r="BMD13" s="21"/>
      <c r="BME13" s="21"/>
      <c r="BMF13" s="21"/>
      <c r="BMG13" s="21"/>
      <c r="BMH13" s="21"/>
      <c r="BMI13" s="21"/>
      <c r="BMJ13" s="21"/>
      <c r="BMK13" s="21"/>
      <c r="BML13" s="21"/>
      <c r="BMM13" s="21"/>
      <c r="BMN13" s="21"/>
      <c r="BMO13" s="21"/>
      <c r="BMP13" s="21"/>
      <c r="BMQ13" s="21"/>
      <c r="BMR13" s="21"/>
      <c r="BMS13" s="21"/>
      <c r="BMT13" s="21"/>
      <c r="BMU13" s="21"/>
      <c r="BMV13" s="21"/>
      <c r="BMW13" s="21"/>
      <c r="BMX13" s="21"/>
      <c r="BMY13" s="21"/>
      <c r="BMZ13" s="21"/>
      <c r="BNA13" s="21"/>
      <c r="BNB13" s="21"/>
      <c r="BNC13" s="21"/>
      <c r="BND13" s="21"/>
      <c r="BNE13" s="21"/>
      <c r="BNF13" s="21"/>
      <c r="BNG13" s="21"/>
      <c r="BNH13" s="21"/>
      <c r="BNI13" s="21"/>
      <c r="BNJ13" s="21"/>
      <c r="BNK13" s="21"/>
      <c r="BNL13" s="21"/>
      <c r="BNM13" s="21"/>
      <c r="BNN13" s="21"/>
      <c r="BNO13" s="21"/>
      <c r="BNP13" s="21"/>
      <c r="BNQ13" s="21"/>
      <c r="BNR13" s="21"/>
      <c r="BNS13" s="21"/>
      <c r="BNT13" s="21"/>
      <c r="BNU13" s="21"/>
      <c r="BNV13" s="21"/>
      <c r="BNW13" s="21"/>
      <c r="BNX13" s="21"/>
      <c r="BNY13" s="21"/>
      <c r="BNZ13" s="21"/>
      <c r="BOA13" s="21"/>
      <c r="BOB13" s="21"/>
      <c r="BOC13" s="21"/>
      <c r="BOD13" s="21"/>
      <c r="BOE13" s="21"/>
      <c r="BOF13" s="21"/>
      <c r="BOG13" s="21"/>
      <c r="BOH13" s="21"/>
      <c r="BOI13" s="21"/>
      <c r="BOJ13" s="21"/>
      <c r="BOK13" s="21"/>
      <c r="BOL13" s="21"/>
      <c r="BOM13" s="21"/>
      <c r="BON13" s="21"/>
      <c r="BOO13" s="21"/>
      <c r="BOP13" s="21"/>
      <c r="BOQ13" s="21"/>
      <c r="BOR13" s="21"/>
      <c r="BOS13" s="21"/>
      <c r="BOT13" s="21"/>
      <c r="BOU13" s="21"/>
      <c r="BOV13" s="21"/>
      <c r="BOW13" s="21"/>
      <c r="BOX13" s="21"/>
      <c r="BOY13" s="21"/>
      <c r="BOZ13" s="21"/>
      <c r="BPA13" s="21"/>
      <c r="BPB13" s="21"/>
      <c r="BPC13" s="21"/>
      <c r="BPD13" s="21"/>
      <c r="BPE13" s="21"/>
      <c r="BPF13" s="21"/>
      <c r="BPG13" s="21"/>
      <c r="BPH13" s="21"/>
      <c r="BPI13" s="21"/>
      <c r="BPJ13" s="21"/>
      <c r="BPK13" s="21"/>
      <c r="BPL13" s="21"/>
      <c r="BPM13" s="21"/>
      <c r="BPN13" s="21"/>
      <c r="BPO13" s="21"/>
      <c r="BPP13" s="21"/>
      <c r="BPQ13" s="21"/>
      <c r="BPR13" s="21"/>
      <c r="BPS13" s="21"/>
      <c r="BPT13" s="21"/>
      <c r="BPU13" s="21"/>
      <c r="BPV13" s="21"/>
      <c r="BPW13" s="21"/>
      <c r="BPX13" s="21"/>
      <c r="BPY13" s="21"/>
      <c r="BPZ13" s="21"/>
      <c r="BQA13" s="21"/>
      <c r="BQB13" s="21"/>
      <c r="BQC13" s="21"/>
      <c r="BQD13" s="21"/>
      <c r="BQE13" s="21"/>
      <c r="BQF13" s="21"/>
      <c r="BQG13" s="21"/>
      <c r="BQH13" s="21"/>
      <c r="BQI13" s="21"/>
      <c r="BQJ13" s="21"/>
      <c r="BQK13" s="21"/>
      <c r="BQL13" s="21"/>
      <c r="BQM13" s="21"/>
      <c r="BQN13" s="21"/>
      <c r="BQO13" s="21"/>
      <c r="BQP13" s="21"/>
      <c r="BQQ13" s="21"/>
      <c r="BQR13" s="21"/>
      <c r="BQS13" s="21"/>
      <c r="BQT13" s="21"/>
      <c r="BQU13" s="21"/>
      <c r="BQV13" s="21"/>
      <c r="BQW13" s="21"/>
      <c r="BQX13" s="21"/>
      <c r="BQY13" s="21"/>
      <c r="BQZ13" s="21"/>
      <c r="BRA13" s="21"/>
      <c r="BRB13" s="21"/>
      <c r="BRC13" s="21"/>
      <c r="BRD13" s="21"/>
      <c r="BRE13" s="21"/>
      <c r="BRF13" s="21"/>
      <c r="BRG13" s="21"/>
      <c r="BRH13" s="21"/>
      <c r="BRI13" s="21"/>
      <c r="BRJ13" s="21"/>
      <c r="BRK13" s="21"/>
      <c r="BRL13" s="21"/>
      <c r="BRM13" s="21"/>
      <c r="BRN13" s="21"/>
      <c r="BRO13" s="21"/>
      <c r="BRP13" s="21"/>
      <c r="BRQ13" s="21"/>
      <c r="BRR13" s="21"/>
      <c r="BRS13" s="21"/>
      <c r="BRT13" s="21"/>
      <c r="BRU13" s="21"/>
      <c r="BRV13" s="21"/>
      <c r="BRW13" s="21"/>
      <c r="BRX13" s="21"/>
      <c r="BRY13" s="21"/>
      <c r="BRZ13" s="21"/>
      <c r="BSA13" s="21"/>
      <c r="BSB13" s="21"/>
      <c r="BSC13" s="21"/>
      <c r="BSD13" s="21"/>
      <c r="BSE13" s="21"/>
      <c r="BSF13" s="21"/>
      <c r="BSG13" s="21"/>
      <c r="BSH13" s="21"/>
      <c r="BSI13" s="21"/>
      <c r="BSJ13" s="21"/>
      <c r="BSK13" s="21"/>
      <c r="BSL13" s="21"/>
      <c r="BSM13" s="21"/>
      <c r="BSN13" s="21"/>
      <c r="BSO13" s="21"/>
      <c r="BSP13" s="21"/>
      <c r="BSQ13" s="21"/>
      <c r="BSR13" s="21"/>
      <c r="BSS13" s="21"/>
      <c r="BST13" s="21"/>
      <c r="BSU13" s="21"/>
      <c r="BSV13" s="21"/>
      <c r="BSW13" s="21"/>
      <c r="BSX13" s="21"/>
      <c r="BSY13" s="21"/>
      <c r="BSZ13" s="21"/>
      <c r="BTA13" s="21"/>
      <c r="BTB13" s="21"/>
      <c r="BTC13" s="21"/>
      <c r="BTD13" s="21"/>
      <c r="BTE13" s="21"/>
      <c r="BTF13" s="21"/>
      <c r="BTG13" s="21"/>
      <c r="BTH13" s="21"/>
      <c r="BTI13" s="21"/>
      <c r="BTJ13" s="21"/>
      <c r="BTK13" s="21"/>
      <c r="BTL13" s="21"/>
      <c r="BTM13" s="21"/>
      <c r="BTN13" s="21"/>
      <c r="BTO13" s="21"/>
      <c r="BTP13" s="21"/>
      <c r="BTQ13" s="21"/>
      <c r="BTR13" s="21"/>
      <c r="BTS13" s="21"/>
      <c r="BTT13" s="21"/>
      <c r="BTU13" s="21"/>
      <c r="BTV13" s="21"/>
      <c r="BTW13" s="21"/>
      <c r="BTX13" s="21"/>
      <c r="BTY13" s="21"/>
      <c r="BTZ13" s="21"/>
      <c r="BUA13" s="21"/>
      <c r="BUB13" s="21"/>
      <c r="BUC13" s="21"/>
      <c r="BUD13" s="21"/>
      <c r="BUE13" s="21"/>
      <c r="BUF13" s="21"/>
      <c r="BUG13" s="21"/>
      <c r="BUH13" s="21"/>
      <c r="BUI13" s="21"/>
      <c r="BUJ13" s="21"/>
      <c r="BUK13" s="21"/>
      <c r="BUL13" s="21"/>
      <c r="BUM13" s="21"/>
      <c r="BUN13" s="21"/>
      <c r="BUO13" s="21"/>
      <c r="BUP13" s="21"/>
      <c r="BUQ13" s="21"/>
      <c r="BUR13" s="21"/>
      <c r="BUS13" s="21"/>
      <c r="BUT13" s="21"/>
      <c r="BUU13" s="21"/>
      <c r="BUV13" s="21"/>
      <c r="BUW13" s="21"/>
      <c r="BUX13" s="21"/>
      <c r="BUY13" s="21"/>
      <c r="BUZ13" s="21"/>
      <c r="BVA13" s="21"/>
      <c r="BVB13" s="21"/>
      <c r="BVC13" s="21"/>
      <c r="BVD13" s="21"/>
      <c r="BVE13" s="21"/>
      <c r="BVF13" s="21"/>
      <c r="BVG13" s="21"/>
      <c r="BVH13" s="21"/>
      <c r="BVI13" s="21"/>
      <c r="BVJ13" s="21"/>
      <c r="BVK13" s="21"/>
      <c r="BVL13" s="21"/>
      <c r="BVM13" s="21"/>
      <c r="BVN13" s="21"/>
      <c r="BVO13" s="21"/>
      <c r="BVP13" s="21"/>
      <c r="BVQ13" s="21"/>
      <c r="BVR13" s="21"/>
      <c r="BVS13" s="21"/>
      <c r="BVT13" s="21"/>
      <c r="BVU13" s="21"/>
      <c r="BVV13" s="21"/>
      <c r="BVW13" s="21"/>
      <c r="BVX13" s="21"/>
      <c r="BVY13" s="21"/>
      <c r="BVZ13" s="21"/>
      <c r="BWA13" s="21"/>
      <c r="BWB13" s="21"/>
      <c r="BWC13" s="21"/>
      <c r="BWD13" s="21"/>
      <c r="BWE13" s="21"/>
      <c r="BWF13" s="21"/>
      <c r="BWG13" s="21"/>
      <c r="BWH13" s="21"/>
      <c r="BWI13" s="21"/>
      <c r="BWJ13" s="21"/>
      <c r="BWK13" s="21"/>
      <c r="BWL13" s="21"/>
      <c r="BWM13" s="21"/>
      <c r="BWN13" s="21"/>
      <c r="BWO13" s="21"/>
      <c r="BWP13" s="21"/>
      <c r="BWQ13" s="21"/>
      <c r="BWR13" s="21"/>
      <c r="BWS13" s="21"/>
      <c r="BWT13" s="21"/>
      <c r="BWU13" s="21"/>
      <c r="BWV13" s="21"/>
      <c r="BWW13" s="21"/>
      <c r="BWX13" s="21"/>
      <c r="BWY13" s="21"/>
      <c r="BWZ13" s="21"/>
      <c r="BXA13" s="21"/>
      <c r="BXB13" s="21"/>
      <c r="BXC13" s="21"/>
      <c r="BXD13" s="21"/>
      <c r="BXE13" s="21"/>
      <c r="BXF13" s="21"/>
      <c r="BXG13" s="21"/>
      <c r="BXH13" s="21"/>
      <c r="BXI13" s="21"/>
      <c r="BXJ13" s="21"/>
      <c r="BXK13" s="21"/>
      <c r="BXL13" s="21"/>
      <c r="BXM13" s="21"/>
      <c r="BXN13" s="21"/>
      <c r="BXO13" s="21"/>
      <c r="BXP13" s="21"/>
      <c r="BXQ13" s="21"/>
      <c r="BXR13" s="21"/>
      <c r="BXS13" s="21"/>
      <c r="BXT13" s="21"/>
      <c r="BXU13" s="21"/>
      <c r="BXV13" s="21"/>
      <c r="BXW13" s="21"/>
      <c r="BXX13" s="21"/>
      <c r="BXY13" s="21"/>
      <c r="BXZ13" s="21"/>
      <c r="BYA13" s="21"/>
      <c r="BYB13" s="21"/>
      <c r="BYC13" s="21"/>
      <c r="BYD13" s="21"/>
      <c r="BYE13" s="21"/>
      <c r="BYF13" s="21"/>
      <c r="BYG13" s="21"/>
      <c r="BYH13" s="21"/>
      <c r="BYI13" s="21"/>
      <c r="BYJ13" s="21"/>
      <c r="BYK13" s="21"/>
      <c r="BYL13" s="21"/>
      <c r="BYM13" s="21"/>
      <c r="BYN13" s="21"/>
      <c r="BYO13" s="21"/>
      <c r="BYP13" s="21"/>
      <c r="BYQ13" s="21"/>
      <c r="BYR13" s="21"/>
      <c r="BYS13" s="21"/>
      <c r="BYT13" s="21"/>
      <c r="BYU13" s="21"/>
      <c r="BYV13" s="21"/>
      <c r="BYW13" s="21"/>
      <c r="BYX13" s="21"/>
      <c r="BYY13" s="21"/>
      <c r="BYZ13" s="21"/>
      <c r="BZA13" s="21"/>
      <c r="BZB13" s="21"/>
      <c r="BZC13" s="21"/>
      <c r="BZD13" s="21"/>
      <c r="BZE13" s="21"/>
      <c r="BZF13" s="21"/>
      <c r="BZG13" s="21"/>
      <c r="BZH13" s="21"/>
      <c r="BZI13" s="21"/>
      <c r="BZJ13" s="21"/>
      <c r="BZK13" s="21"/>
      <c r="BZL13" s="21"/>
      <c r="BZM13" s="21"/>
      <c r="BZN13" s="21"/>
      <c r="BZO13" s="21"/>
      <c r="BZP13" s="21"/>
      <c r="BZQ13" s="21"/>
      <c r="BZR13" s="21"/>
      <c r="BZS13" s="21"/>
      <c r="BZT13" s="21"/>
      <c r="BZU13" s="21"/>
      <c r="BZV13" s="21"/>
      <c r="BZW13" s="21"/>
      <c r="BZX13" s="21"/>
      <c r="BZY13" s="21"/>
      <c r="BZZ13" s="21"/>
      <c r="CAA13" s="21"/>
      <c r="CAB13" s="21"/>
      <c r="CAC13" s="21"/>
      <c r="CAD13" s="21"/>
      <c r="CAE13" s="21"/>
      <c r="CAF13" s="21"/>
      <c r="CAG13" s="21"/>
      <c r="CAH13" s="21"/>
      <c r="CAI13" s="21"/>
      <c r="CAJ13" s="21"/>
      <c r="CAK13" s="21"/>
      <c r="CAL13" s="21"/>
      <c r="CAM13" s="21"/>
      <c r="CAN13" s="21"/>
      <c r="CAO13" s="21"/>
      <c r="CAP13" s="21"/>
      <c r="CAQ13" s="21"/>
      <c r="CAR13" s="21"/>
      <c r="CAS13" s="21"/>
      <c r="CAT13" s="21"/>
      <c r="CAU13" s="21"/>
      <c r="CAV13" s="21"/>
      <c r="CAW13" s="21"/>
      <c r="CAX13" s="21"/>
      <c r="CAY13" s="21"/>
      <c r="CAZ13" s="21"/>
      <c r="CBA13" s="21"/>
      <c r="CBB13" s="21"/>
      <c r="CBC13" s="21"/>
      <c r="CBD13" s="21"/>
      <c r="CBE13" s="21"/>
      <c r="CBF13" s="21"/>
      <c r="CBG13" s="21"/>
      <c r="CBH13" s="21"/>
      <c r="CBI13" s="21"/>
      <c r="CBJ13" s="21"/>
      <c r="CBK13" s="21"/>
      <c r="CBL13" s="21"/>
      <c r="CBM13" s="21"/>
      <c r="CBN13" s="21"/>
      <c r="CBO13" s="21"/>
      <c r="CBP13" s="21"/>
      <c r="CBQ13" s="21"/>
      <c r="CBR13" s="21"/>
      <c r="CBS13" s="21"/>
      <c r="CBT13" s="21"/>
      <c r="CBU13" s="21"/>
      <c r="CBV13" s="21"/>
      <c r="CBW13" s="21"/>
      <c r="CBX13" s="21"/>
      <c r="CBY13" s="21"/>
      <c r="CBZ13" s="21"/>
      <c r="CCA13" s="21"/>
      <c r="CCB13" s="21"/>
      <c r="CCC13" s="21"/>
      <c r="CCD13" s="21"/>
      <c r="CCE13" s="21"/>
      <c r="CCF13" s="21"/>
      <c r="CCG13" s="21"/>
      <c r="CCH13" s="21"/>
      <c r="CCI13" s="21"/>
      <c r="CCJ13" s="21"/>
      <c r="CCK13" s="21"/>
      <c r="CCL13" s="21"/>
      <c r="CCM13" s="21"/>
      <c r="CCN13" s="21"/>
      <c r="CCO13" s="21"/>
      <c r="CCP13" s="21"/>
      <c r="CCQ13" s="21"/>
      <c r="CCR13" s="21"/>
      <c r="CCS13" s="21"/>
      <c r="CCT13" s="21"/>
      <c r="CCU13" s="21"/>
      <c r="CCV13" s="21"/>
      <c r="CCW13" s="21"/>
      <c r="CCX13" s="21"/>
      <c r="CCY13" s="21"/>
      <c r="CCZ13" s="21"/>
      <c r="CDA13" s="21"/>
      <c r="CDB13" s="21"/>
      <c r="CDC13" s="21"/>
      <c r="CDD13" s="21"/>
      <c r="CDE13" s="21"/>
      <c r="CDF13" s="21"/>
      <c r="CDG13" s="21"/>
      <c r="CDH13" s="21"/>
      <c r="CDI13" s="21"/>
      <c r="CDJ13" s="21"/>
      <c r="CDK13" s="21"/>
      <c r="CDL13" s="21"/>
      <c r="CDM13" s="21"/>
      <c r="CDN13" s="21"/>
      <c r="CDO13" s="21"/>
      <c r="CDP13" s="21"/>
      <c r="CDQ13" s="21"/>
      <c r="CDR13" s="21"/>
      <c r="CDS13" s="21"/>
      <c r="CDT13" s="21"/>
      <c r="CDU13" s="21"/>
      <c r="CDV13" s="21"/>
      <c r="CDW13" s="21"/>
      <c r="CDX13" s="21"/>
      <c r="CDY13" s="21"/>
      <c r="CDZ13" s="21"/>
      <c r="CEA13" s="21"/>
      <c r="CEB13" s="21"/>
      <c r="CEC13" s="21"/>
      <c r="CED13" s="21"/>
      <c r="CEE13" s="21"/>
      <c r="CEF13" s="21"/>
      <c r="CEG13" s="21"/>
      <c r="CEH13" s="21"/>
      <c r="CEI13" s="21"/>
      <c r="CEJ13" s="21"/>
      <c r="CEK13" s="21"/>
      <c r="CEL13" s="21"/>
      <c r="CEM13" s="21"/>
      <c r="CEN13" s="21"/>
      <c r="CEO13" s="21"/>
      <c r="CEP13" s="21"/>
      <c r="CEQ13" s="21"/>
      <c r="CER13" s="21"/>
      <c r="CES13" s="21"/>
      <c r="CET13" s="21"/>
      <c r="CEU13" s="21"/>
      <c r="CEV13" s="21"/>
      <c r="CEW13" s="21"/>
      <c r="CEX13" s="21"/>
      <c r="CEY13" s="21"/>
      <c r="CEZ13" s="21"/>
      <c r="CFA13" s="21"/>
      <c r="CFB13" s="21"/>
      <c r="CFC13" s="21"/>
      <c r="CFD13" s="21"/>
      <c r="CFE13" s="21"/>
      <c r="CFF13" s="21"/>
      <c r="CFG13" s="21"/>
      <c r="CFH13" s="21"/>
      <c r="CFI13" s="21"/>
      <c r="CFJ13" s="21"/>
      <c r="CFK13" s="21"/>
      <c r="CFL13" s="21"/>
      <c r="CFM13" s="21"/>
      <c r="CFN13" s="21"/>
      <c r="CFO13" s="21"/>
      <c r="CFP13" s="21"/>
      <c r="CFQ13" s="21"/>
      <c r="CFR13" s="21"/>
      <c r="CFS13" s="21"/>
      <c r="CFT13" s="21"/>
      <c r="CFU13" s="21"/>
      <c r="CFV13" s="21"/>
      <c r="CFW13" s="21"/>
      <c r="CFX13" s="21"/>
      <c r="CFY13" s="21"/>
      <c r="CFZ13" s="21"/>
      <c r="CGA13" s="21"/>
      <c r="CGB13" s="21"/>
      <c r="CGC13" s="21"/>
      <c r="CGD13" s="21"/>
      <c r="CGE13" s="21"/>
      <c r="CGF13" s="21"/>
      <c r="CGG13" s="21"/>
      <c r="CGH13" s="21"/>
      <c r="CGI13" s="21"/>
      <c r="CGJ13" s="21"/>
      <c r="CGK13" s="21"/>
      <c r="CGL13" s="21"/>
      <c r="CGM13" s="21"/>
      <c r="CGN13" s="21"/>
      <c r="CGO13" s="21"/>
      <c r="CGP13" s="21"/>
      <c r="CGQ13" s="21"/>
      <c r="CGR13" s="21"/>
      <c r="CGS13" s="21"/>
      <c r="CGT13" s="21"/>
      <c r="CGU13" s="21"/>
      <c r="CGV13" s="21"/>
      <c r="CGW13" s="21"/>
      <c r="CGX13" s="21"/>
      <c r="CGY13" s="21"/>
      <c r="CGZ13" s="21"/>
      <c r="CHA13" s="21"/>
      <c r="CHB13" s="21"/>
      <c r="CHC13" s="21"/>
      <c r="CHD13" s="21"/>
      <c r="CHE13" s="21"/>
      <c r="CHF13" s="21"/>
      <c r="CHG13" s="21"/>
      <c r="CHH13" s="21"/>
      <c r="CHI13" s="21"/>
      <c r="CHJ13" s="21"/>
      <c r="CHK13" s="21"/>
      <c r="CHL13" s="21"/>
      <c r="CHM13" s="21"/>
      <c r="CHN13" s="21"/>
      <c r="CHO13" s="21"/>
      <c r="CHP13" s="21"/>
      <c r="CHQ13" s="21"/>
      <c r="CHR13" s="21"/>
      <c r="CHS13" s="21"/>
      <c r="CHT13" s="21"/>
      <c r="CHU13" s="21"/>
      <c r="CHV13" s="21"/>
      <c r="CHW13" s="21"/>
      <c r="CHX13" s="21"/>
      <c r="CHY13" s="21"/>
      <c r="CHZ13" s="21"/>
      <c r="CIA13" s="21"/>
      <c r="CIB13" s="21"/>
      <c r="CIC13" s="21"/>
      <c r="CID13" s="21"/>
      <c r="CIE13" s="21"/>
      <c r="CIF13" s="21"/>
      <c r="CIG13" s="21"/>
      <c r="CIH13" s="21"/>
      <c r="CII13" s="21"/>
      <c r="CIJ13" s="21"/>
      <c r="CIK13" s="21"/>
      <c r="CIL13" s="21"/>
      <c r="CIM13" s="21"/>
      <c r="CIN13" s="21"/>
      <c r="CIO13" s="21"/>
      <c r="CIP13" s="21"/>
      <c r="CIQ13" s="21"/>
      <c r="CIR13" s="21"/>
      <c r="CIS13" s="21"/>
      <c r="CIT13" s="21"/>
      <c r="CIU13" s="21"/>
      <c r="CIV13" s="21"/>
      <c r="CIW13" s="21"/>
      <c r="CIX13" s="21"/>
      <c r="CIY13" s="21"/>
      <c r="CIZ13" s="21"/>
      <c r="CJA13" s="21"/>
      <c r="CJB13" s="21"/>
      <c r="CJC13" s="21"/>
      <c r="CJD13" s="21"/>
      <c r="CJE13" s="21"/>
      <c r="CJF13" s="21"/>
      <c r="CJG13" s="21"/>
      <c r="CJH13" s="21"/>
      <c r="CJI13" s="21"/>
      <c r="CJJ13" s="21"/>
      <c r="CJK13" s="21"/>
      <c r="CJL13" s="21"/>
      <c r="CJM13" s="21"/>
      <c r="CJN13" s="21"/>
      <c r="CJO13" s="21"/>
      <c r="CJP13" s="21"/>
      <c r="CJQ13" s="21"/>
      <c r="CJR13" s="21"/>
      <c r="CJS13" s="21"/>
      <c r="CJT13" s="21"/>
      <c r="CJU13" s="21"/>
      <c r="CJV13" s="21"/>
      <c r="CJW13" s="21"/>
      <c r="CJX13" s="21"/>
      <c r="CJY13" s="21"/>
      <c r="CJZ13" s="21"/>
      <c r="CKA13" s="21"/>
      <c r="CKB13" s="21"/>
      <c r="CKC13" s="21"/>
      <c r="CKD13" s="21"/>
      <c r="CKE13" s="21"/>
      <c r="CKF13" s="21"/>
      <c r="CKG13" s="21"/>
      <c r="CKH13" s="21"/>
      <c r="CKI13" s="21"/>
      <c r="CKJ13" s="21"/>
      <c r="CKK13" s="21"/>
      <c r="CKL13" s="21"/>
      <c r="CKM13" s="21"/>
      <c r="CKN13" s="21"/>
      <c r="CKO13" s="21"/>
      <c r="CKP13" s="21"/>
      <c r="CKQ13" s="21"/>
      <c r="CKR13" s="21"/>
      <c r="CKS13" s="21"/>
      <c r="CKT13" s="21"/>
      <c r="CKU13" s="21"/>
      <c r="CKV13" s="21"/>
      <c r="CKW13" s="21"/>
      <c r="CKX13" s="21"/>
      <c r="CKY13" s="21"/>
      <c r="CKZ13" s="21"/>
      <c r="CLA13" s="21"/>
      <c r="CLB13" s="21"/>
      <c r="CLC13" s="21"/>
      <c r="CLD13" s="21"/>
      <c r="CLE13" s="21"/>
      <c r="CLF13" s="21"/>
      <c r="CLG13" s="21"/>
      <c r="CLH13" s="21"/>
      <c r="CLI13" s="21"/>
      <c r="CLJ13" s="21"/>
      <c r="CLK13" s="21"/>
      <c r="CLL13" s="21"/>
      <c r="CLM13" s="21"/>
      <c r="CLN13" s="21"/>
      <c r="CLO13" s="21"/>
      <c r="CLP13" s="21"/>
      <c r="CLQ13" s="21"/>
      <c r="CLR13" s="21"/>
      <c r="CLS13" s="21"/>
      <c r="CLT13" s="21"/>
      <c r="CLU13" s="21"/>
      <c r="CLV13" s="21"/>
      <c r="CLW13" s="21"/>
      <c r="CLX13" s="21"/>
      <c r="CLY13" s="21"/>
      <c r="CLZ13" s="21"/>
      <c r="CMA13" s="21"/>
      <c r="CMB13" s="21"/>
      <c r="CMC13" s="21"/>
      <c r="CMD13" s="21"/>
      <c r="CME13" s="21"/>
      <c r="CMF13" s="21"/>
      <c r="CMG13" s="21"/>
      <c r="CMH13" s="21"/>
      <c r="CMI13" s="21"/>
      <c r="CMJ13" s="21"/>
      <c r="CMK13" s="21"/>
      <c r="CML13" s="21"/>
      <c r="CMM13" s="21"/>
      <c r="CMN13" s="21"/>
      <c r="CMO13" s="21"/>
      <c r="CMP13" s="21"/>
      <c r="CMQ13" s="21"/>
      <c r="CMR13" s="21"/>
      <c r="CMS13" s="21"/>
      <c r="CMT13" s="21"/>
      <c r="CMU13" s="21"/>
      <c r="CMV13" s="21"/>
      <c r="CMW13" s="21"/>
      <c r="CMX13" s="21"/>
      <c r="CMY13" s="21"/>
      <c r="CMZ13" s="21"/>
      <c r="CNA13" s="21"/>
      <c r="CNB13" s="21"/>
      <c r="CNC13" s="21"/>
      <c r="CND13" s="21"/>
      <c r="CNE13" s="21"/>
      <c r="CNF13" s="21"/>
      <c r="CNG13" s="21"/>
      <c r="CNH13" s="21"/>
      <c r="CNI13" s="21"/>
      <c r="CNJ13" s="21"/>
      <c r="CNK13" s="21"/>
      <c r="CNL13" s="21"/>
      <c r="CNM13" s="21"/>
      <c r="CNN13" s="21"/>
      <c r="CNO13" s="21"/>
      <c r="CNP13" s="21"/>
      <c r="CNQ13" s="21"/>
      <c r="CNR13" s="21"/>
      <c r="CNS13" s="21"/>
      <c r="CNT13" s="21"/>
      <c r="CNU13" s="21"/>
      <c r="CNV13" s="21"/>
      <c r="CNW13" s="21"/>
      <c r="CNX13" s="21"/>
      <c r="CNY13" s="21"/>
      <c r="CNZ13" s="21"/>
      <c r="COA13" s="21"/>
      <c r="COB13" s="21"/>
      <c r="COC13" s="21"/>
      <c r="COD13" s="21"/>
      <c r="COE13" s="21"/>
      <c r="COF13" s="21"/>
      <c r="COG13" s="21"/>
      <c r="COH13" s="21"/>
      <c r="COI13" s="21"/>
      <c r="COJ13" s="21"/>
      <c r="COK13" s="21"/>
      <c r="COL13" s="21"/>
      <c r="COM13" s="21"/>
      <c r="CON13" s="21"/>
      <c r="COO13" s="21"/>
      <c r="COP13" s="21"/>
      <c r="COQ13" s="21"/>
      <c r="COR13" s="21"/>
      <c r="COS13" s="21"/>
      <c r="COT13" s="21"/>
      <c r="COU13" s="21"/>
      <c r="COV13" s="21"/>
      <c r="COW13" s="21"/>
      <c r="COX13" s="21"/>
      <c r="COY13" s="21"/>
      <c r="COZ13" s="21"/>
      <c r="CPA13" s="21"/>
      <c r="CPB13" s="21"/>
      <c r="CPC13" s="21"/>
      <c r="CPD13" s="21"/>
      <c r="CPE13" s="21"/>
      <c r="CPF13" s="21"/>
      <c r="CPG13" s="21"/>
      <c r="CPH13" s="21"/>
      <c r="CPI13" s="21"/>
      <c r="CPJ13" s="21"/>
      <c r="CPK13" s="21"/>
      <c r="CPL13" s="21"/>
      <c r="CPM13" s="21"/>
      <c r="CPN13" s="21"/>
      <c r="CPO13" s="21"/>
      <c r="CPP13" s="21"/>
      <c r="CPQ13" s="21"/>
      <c r="CPR13" s="21"/>
      <c r="CPS13" s="21"/>
      <c r="CPT13" s="21"/>
      <c r="CPU13" s="21"/>
      <c r="CPV13" s="21"/>
      <c r="CPW13" s="21"/>
      <c r="CPX13" s="21"/>
      <c r="CPY13" s="21"/>
      <c r="CPZ13" s="21"/>
      <c r="CQA13" s="21"/>
      <c r="CQB13" s="21"/>
      <c r="CQC13" s="21"/>
      <c r="CQD13" s="21"/>
      <c r="CQE13" s="21"/>
      <c r="CQF13" s="21"/>
      <c r="CQG13" s="21"/>
      <c r="CQH13" s="21"/>
      <c r="CQI13" s="21"/>
      <c r="CQJ13" s="21"/>
      <c r="CQK13" s="21"/>
      <c r="CQL13" s="21"/>
      <c r="CQM13" s="21"/>
      <c r="CQN13" s="21"/>
      <c r="CQO13" s="21"/>
      <c r="CQP13" s="21"/>
      <c r="CQQ13" s="21"/>
      <c r="CQR13" s="21"/>
      <c r="CQS13" s="21"/>
      <c r="CQT13" s="21"/>
      <c r="CQU13" s="21"/>
      <c r="CQV13" s="21"/>
      <c r="CQW13" s="21"/>
      <c r="CQX13" s="21"/>
      <c r="CQY13" s="21"/>
      <c r="CQZ13" s="21"/>
      <c r="CRA13" s="21"/>
      <c r="CRB13" s="21"/>
      <c r="CRC13" s="21"/>
      <c r="CRD13" s="21"/>
      <c r="CRE13" s="21"/>
      <c r="CRF13" s="21"/>
      <c r="CRG13" s="21"/>
      <c r="CRH13" s="21"/>
      <c r="CRI13" s="21"/>
      <c r="CRJ13" s="21"/>
      <c r="CRK13" s="21"/>
      <c r="CRL13" s="21"/>
      <c r="CRM13" s="21"/>
      <c r="CRN13" s="21"/>
      <c r="CRO13" s="21"/>
      <c r="CRP13" s="21"/>
      <c r="CRQ13" s="21"/>
      <c r="CRR13" s="21"/>
      <c r="CRS13" s="21"/>
      <c r="CRT13" s="21"/>
      <c r="CRU13" s="21"/>
      <c r="CRV13" s="21"/>
      <c r="CRW13" s="21"/>
      <c r="CRX13" s="21"/>
      <c r="CRY13" s="21"/>
      <c r="CRZ13" s="21"/>
      <c r="CSA13" s="21"/>
      <c r="CSB13" s="21"/>
      <c r="CSC13" s="21"/>
      <c r="CSD13" s="21"/>
      <c r="CSE13" s="21"/>
      <c r="CSF13" s="21"/>
      <c r="CSG13" s="21"/>
      <c r="CSH13" s="21"/>
      <c r="CSI13" s="21"/>
      <c r="CSJ13" s="21"/>
      <c r="CSK13" s="21"/>
      <c r="CSL13" s="21"/>
      <c r="CSM13" s="21"/>
      <c r="CSN13" s="21"/>
      <c r="CSO13" s="21"/>
      <c r="CSP13" s="21"/>
      <c r="CSQ13" s="21"/>
      <c r="CSR13" s="21"/>
      <c r="CSS13" s="21"/>
      <c r="CST13" s="21"/>
      <c r="CSU13" s="21"/>
      <c r="CSV13" s="21"/>
      <c r="CSW13" s="21"/>
      <c r="CSX13" s="21"/>
      <c r="CSY13" s="21"/>
      <c r="CSZ13" s="21"/>
      <c r="CTA13" s="21"/>
      <c r="CTB13" s="21"/>
      <c r="CTC13" s="21"/>
      <c r="CTD13" s="21"/>
      <c r="CTE13" s="21"/>
      <c r="CTF13" s="21"/>
      <c r="CTG13" s="21"/>
      <c r="CTH13" s="21"/>
      <c r="CTI13" s="21"/>
      <c r="CTJ13" s="21"/>
      <c r="CTK13" s="21"/>
      <c r="CTL13" s="21"/>
      <c r="CTM13" s="21"/>
      <c r="CTN13" s="21"/>
      <c r="CTO13" s="21"/>
      <c r="CTP13" s="21"/>
      <c r="CTQ13" s="21"/>
      <c r="CTR13" s="21"/>
      <c r="CTS13" s="21"/>
      <c r="CTT13" s="21"/>
      <c r="CTU13" s="21"/>
      <c r="CTV13" s="21"/>
      <c r="CTW13" s="21"/>
      <c r="CTX13" s="21"/>
      <c r="CTY13" s="21"/>
      <c r="CTZ13" s="21"/>
      <c r="CUA13" s="21"/>
      <c r="CUB13" s="21"/>
      <c r="CUC13" s="21"/>
      <c r="CUD13" s="21"/>
      <c r="CUE13" s="21"/>
      <c r="CUF13" s="21"/>
      <c r="CUG13" s="21"/>
      <c r="CUH13" s="21"/>
      <c r="CUI13" s="21"/>
      <c r="CUJ13" s="21"/>
      <c r="CUK13" s="21"/>
      <c r="CUL13" s="21"/>
      <c r="CUM13" s="21"/>
      <c r="CUN13" s="21"/>
      <c r="CUO13" s="21"/>
      <c r="CUP13" s="21"/>
      <c r="CUQ13" s="21"/>
      <c r="CUR13" s="21"/>
      <c r="CUS13" s="21"/>
      <c r="CUT13" s="21"/>
      <c r="CUU13" s="21"/>
      <c r="CUV13" s="21"/>
      <c r="CUW13" s="21"/>
      <c r="CUX13" s="21"/>
      <c r="CUY13" s="21"/>
      <c r="CUZ13" s="21"/>
      <c r="CVA13" s="21"/>
      <c r="CVB13" s="21"/>
      <c r="CVC13" s="21"/>
      <c r="CVD13" s="21"/>
      <c r="CVE13" s="21"/>
      <c r="CVF13" s="21"/>
      <c r="CVG13" s="21"/>
      <c r="CVH13" s="21"/>
      <c r="CVI13" s="21"/>
      <c r="CVJ13" s="21"/>
      <c r="CVK13" s="21"/>
      <c r="CVL13" s="21"/>
      <c r="CVM13" s="21"/>
      <c r="CVN13" s="21"/>
      <c r="CVO13" s="21"/>
      <c r="CVP13" s="21"/>
      <c r="CVQ13" s="21"/>
      <c r="CVR13" s="21"/>
      <c r="CVS13" s="21"/>
      <c r="CVT13" s="21"/>
      <c r="CVU13" s="21"/>
      <c r="CVV13" s="21"/>
      <c r="CVW13" s="21"/>
      <c r="CVX13" s="21"/>
      <c r="CVY13" s="21"/>
      <c r="CVZ13" s="21"/>
      <c r="CWA13" s="21"/>
      <c r="CWB13" s="21"/>
      <c r="CWC13" s="21"/>
      <c r="CWD13" s="21"/>
      <c r="CWE13" s="21"/>
      <c r="CWF13" s="21"/>
      <c r="CWG13" s="21"/>
      <c r="CWH13" s="21"/>
      <c r="CWI13" s="21"/>
      <c r="CWJ13" s="21"/>
      <c r="CWK13" s="21"/>
      <c r="CWL13" s="21"/>
      <c r="CWM13" s="21"/>
      <c r="CWN13" s="21"/>
      <c r="CWO13" s="21"/>
      <c r="CWP13" s="21"/>
      <c r="CWQ13" s="21"/>
      <c r="CWR13" s="21"/>
      <c r="CWS13" s="21"/>
      <c r="CWT13" s="21"/>
      <c r="CWU13" s="21"/>
      <c r="CWV13" s="21"/>
      <c r="CWW13" s="21"/>
      <c r="CWX13" s="21"/>
      <c r="CWY13" s="21"/>
      <c r="CWZ13" s="21"/>
      <c r="CXA13" s="21"/>
      <c r="CXB13" s="21"/>
      <c r="CXC13" s="21"/>
      <c r="CXD13" s="21"/>
      <c r="CXE13" s="21"/>
      <c r="CXF13" s="21"/>
      <c r="CXG13" s="21"/>
      <c r="CXH13" s="21"/>
      <c r="CXI13" s="21"/>
      <c r="CXJ13" s="21"/>
      <c r="CXK13" s="21"/>
      <c r="CXL13" s="21"/>
      <c r="CXM13" s="21"/>
      <c r="CXN13" s="21"/>
      <c r="CXO13" s="21"/>
      <c r="CXP13" s="21"/>
      <c r="CXQ13" s="21"/>
      <c r="CXR13" s="21"/>
      <c r="CXS13" s="21"/>
      <c r="CXT13" s="21"/>
      <c r="CXU13" s="21"/>
      <c r="CXV13" s="21"/>
      <c r="CXW13" s="21"/>
      <c r="CXX13" s="21"/>
      <c r="CXY13" s="21"/>
      <c r="CXZ13" s="21"/>
      <c r="CYA13" s="21"/>
      <c r="CYB13" s="21"/>
      <c r="CYC13" s="21"/>
      <c r="CYD13" s="21"/>
      <c r="CYE13" s="21"/>
      <c r="CYF13" s="21"/>
      <c r="CYG13" s="21"/>
      <c r="CYH13" s="21"/>
      <c r="CYI13" s="21"/>
      <c r="CYJ13" s="21"/>
      <c r="CYK13" s="21"/>
      <c r="CYL13" s="21"/>
      <c r="CYM13" s="21"/>
      <c r="CYN13" s="21"/>
      <c r="CYO13" s="21"/>
      <c r="CYP13" s="21"/>
      <c r="CYQ13" s="21"/>
      <c r="CYR13" s="21"/>
      <c r="CYS13" s="21"/>
      <c r="CYT13" s="21"/>
      <c r="CYU13" s="21"/>
      <c r="CYV13" s="21"/>
      <c r="CYW13" s="21"/>
      <c r="CYX13" s="21"/>
      <c r="CYY13" s="21"/>
      <c r="CYZ13" s="21"/>
      <c r="CZA13" s="21"/>
      <c r="CZB13" s="21"/>
      <c r="CZC13" s="21"/>
      <c r="CZD13" s="21"/>
      <c r="CZE13" s="21"/>
      <c r="CZF13" s="21"/>
      <c r="CZG13" s="21"/>
      <c r="CZH13" s="21"/>
      <c r="CZI13" s="21"/>
      <c r="CZJ13" s="21"/>
      <c r="CZK13" s="21"/>
      <c r="CZL13" s="21"/>
      <c r="CZM13" s="21"/>
      <c r="CZN13" s="21"/>
      <c r="CZO13" s="21"/>
      <c r="CZP13" s="21"/>
      <c r="CZQ13" s="21"/>
      <c r="CZR13" s="21"/>
      <c r="CZS13" s="21"/>
      <c r="CZT13" s="21"/>
      <c r="CZU13" s="21"/>
      <c r="CZV13" s="21"/>
      <c r="CZW13" s="21"/>
      <c r="CZX13" s="21"/>
      <c r="CZY13" s="21"/>
      <c r="CZZ13" s="21"/>
      <c r="DAA13" s="21"/>
      <c r="DAB13" s="21"/>
      <c r="DAC13" s="21"/>
      <c r="DAD13" s="21"/>
      <c r="DAE13" s="21"/>
      <c r="DAF13" s="21"/>
      <c r="DAG13" s="21"/>
      <c r="DAH13" s="21"/>
      <c r="DAI13" s="21"/>
      <c r="DAJ13" s="21"/>
      <c r="DAK13" s="21"/>
      <c r="DAL13" s="21"/>
      <c r="DAM13" s="21"/>
      <c r="DAN13" s="21"/>
      <c r="DAO13" s="21"/>
      <c r="DAP13" s="21"/>
      <c r="DAQ13" s="21"/>
      <c r="DAR13" s="21"/>
      <c r="DAS13" s="21"/>
      <c r="DAT13" s="21"/>
      <c r="DAU13" s="21"/>
      <c r="DAV13" s="21"/>
      <c r="DAW13" s="21"/>
      <c r="DAX13" s="21"/>
      <c r="DAY13" s="21"/>
      <c r="DAZ13" s="21"/>
      <c r="DBA13" s="21"/>
      <c r="DBB13" s="21"/>
      <c r="DBC13" s="21"/>
      <c r="DBD13" s="21"/>
      <c r="DBE13" s="21"/>
      <c r="DBF13" s="21"/>
      <c r="DBG13" s="21"/>
      <c r="DBH13" s="21"/>
      <c r="DBI13" s="21"/>
      <c r="DBJ13" s="21"/>
      <c r="DBK13" s="21"/>
      <c r="DBL13" s="21"/>
      <c r="DBM13" s="21"/>
      <c r="DBN13" s="21"/>
      <c r="DBO13" s="21"/>
      <c r="DBP13" s="21"/>
      <c r="DBQ13" s="21"/>
      <c r="DBR13" s="21"/>
      <c r="DBS13" s="21"/>
      <c r="DBT13" s="21"/>
      <c r="DBU13" s="21"/>
      <c r="DBV13" s="21"/>
      <c r="DBW13" s="21"/>
      <c r="DBX13" s="21"/>
      <c r="DBY13" s="21"/>
      <c r="DBZ13" s="21"/>
      <c r="DCA13" s="21"/>
      <c r="DCB13" s="21"/>
      <c r="DCC13" s="21"/>
      <c r="DCD13" s="21"/>
      <c r="DCE13" s="21"/>
      <c r="DCF13" s="21"/>
      <c r="DCG13" s="21"/>
      <c r="DCH13" s="21"/>
      <c r="DCI13" s="21"/>
      <c r="DCJ13" s="21"/>
      <c r="DCK13" s="21"/>
      <c r="DCL13" s="21"/>
      <c r="DCM13" s="21"/>
      <c r="DCN13" s="21"/>
      <c r="DCO13" s="21"/>
      <c r="DCP13" s="21"/>
      <c r="DCQ13" s="21"/>
      <c r="DCR13" s="21"/>
      <c r="DCS13" s="21"/>
      <c r="DCT13" s="21"/>
      <c r="DCU13" s="21"/>
      <c r="DCV13" s="21"/>
      <c r="DCW13" s="21"/>
      <c r="DCX13" s="21"/>
      <c r="DCY13" s="21"/>
      <c r="DCZ13" s="21"/>
      <c r="DDA13" s="21"/>
      <c r="DDB13" s="21"/>
      <c r="DDC13" s="21"/>
      <c r="DDD13" s="21"/>
      <c r="DDE13" s="21"/>
      <c r="DDF13" s="21"/>
      <c r="DDG13" s="21"/>
      <c r="DDH13" s="21"/>
      <c r="DDI13" s="21"/>
      <c r="DDJ13" s="21"/>
      <c r="DDK13" s="21"/>
      <c r="DDL13" s="21"/>
      <c r="DDM13" s="21"/>
      <c r="DDN13" s="21"/>
      <c r="DDO13" s="21"/>
      <c r="DDP13" s="21"/>
      <c r="DDQ13" s="21"/>
      <c r="DDR13" s="21"/>
      <c r="DDS13" s="21"/>
      <c r="DDT13" s="21"/>
      <c r="DDU13" s="21"/>
      <c r="DDV13" s="21"/>
      <c r="DDW13" s="21"/>
      <c r="DDX13" s="21"/>
      <c r="DDY13" s="21"/>
      <c r="DDZ13" s="21"/>
      <c r="DEA13" s="21"/>
      <c r="DEB13" s="21"/>
      <c r="DEC13" s="21"/>
      <c r="DED13" s="21"/>
      <c r="DEE13" s="21"/>
      <c r="DEF13" s="21"/>
      <c r="DEG13" s="21"/>
      <c r="DEH13" s="21"/>
      <c r="DEI13" s="21"/>
      <c r="DEJ13" s="21"/>
      <c r="DEK13" s="21"/>
      <c r="DEL13" s="21"/>
      <c r="DEM13" s="21"/>
      <c r="DEN13" s="21"/>
      <c r="DEO13" s="21"/>
      <c r="DEP13" s="21"/>
      <c r="DEQ13" s="21"/>
      <c r="DER13" s="21"/>
      <c r="DES13" s="21"/>
      <c r="DET13" s="21"/>
      <c r="DEU13" s="21"/>
      <c r="DEV13" s="21"/>
      <c r="DEW13" s="21"/>
      <c r="DEX13" s="21"/>
      <c r="DEY13" s="21"/>
      <c r="DEZ13" s="21"/>
      <c r="DFA13" s="21"/>
      <c r="DFB13" s="21"/>
      <c r="DFC13" s="21"/>
      <c r="DFD13" s="21"/>
      <c r="DFE13" s="21"/>
      <c r="DFF13" s="21"/>
      <c r="DFG13" s="21"/>
      <c r="DFH13" s="21"/>
      <c r="DFI13" s="21"/>
      <c r="DFJ13" s="21"/>
      <c r="DFK13" s="21"/>
      <c r="DFL13" s="21"/>
      <c r="DFM13" s="21"/>
      <c r="DFN13" s="21"/>
      <c r="DFO13" s="21"/>
      <c r="DFP13" s="21"/>
      <c r="DFQ13" s="21"/>
      <c r="DFR13" s="21"/>
      <c r="DFS13" s="21"/>
      <c r="DFT13" s="21"/>
      <c r="DFU13" s="21"/>
      <c r="DFV13" s="21"/>
      <c r="DFW13" s="21"/>
      <c r="DFX13" s="21"/>
      <c r="DFY13" s="21"/>
      <c r="DFZ13" s="21"/>
      <c r="DGA13" s="21"/>
      <c r="DGB13" s="21"/>
      <c r="DGC13" s="21"/>
      <c r="DGD13" s="21"/>
      <c r="DGE13" s="21"/>
      <c r="DGF13" s="21"/>
      <c r="DGG13" s="21"/>
      <c r="DGH13" s="21"/>
      <c r="DGI13" s="21"/>
      <c r="DGJ13" s="21"/>
      <c r="DGK13" s="21"/>
      <c r="DGL13" s="21"/>
      <c r="DGM13" s="21"/>
      <c r="DGN13" s="21"/>
      <c r="DGO13" s="21"/>
      <c r="DGP13" s="21"/>
      <c r="DGQ13" s="21"/>
      <c r="DGR13" s="21"/>
      <c r="DGS13" s="21"/>
      <c r="DGT13" s="21"/>
      <c r="DGU13" s="21"/>
      <c r="DGV13" s="21"/>
      <c r="DGW13" s="21"/>
      <c r="DGX13" s="21"/>
      <c r="DGY13" s="21"/>
      <c r="DGZ13" s="21"/>
      <c r="DHA13" s="21"/>
      <c r="DHB13" s="21"/>
      <c r="DHC13" s="21"/>
      <c r="DHD13" s="21"/>
      <c r="DHE13" s="21"/>
      <c r="DHF13" s="21"/>
      <c r="DHG13" s="21"/>
      <c r="DHH13" s="21"/>
      <c r="DHI13" s="21"/>
      <c r="DHJ13" s="21"/>
      <c r="DHK13" s="21"/>
      <c r="DHL13" s="21"/>
      <c r="DHM13" s="21"/>
      <c r="DHN13" s="21"/>
      <c r="DHO13" s="21"/>
      <c r="DHP13" s="21"/>
      <c r="DHQ13" s="21"/>
      <c r="DHR13" s="21"/>
      <c r="DHS13" s="21"/>
      <c r="DHT13" s="21"/>
      <c r="DHU13" s="21"/>
      <c r="DHV13" s="21"/>
      <c r="DHW13" s="21"/>
      <c r="DHX13" s="21"/>
      <c r="DHY13" s="21"/>
      <c r="DHZ13" s="21"/>
      <c r="DIA13" s="21"/>
      <c r="DIB13" s="21"/>
      <c r="DIC13" s="21"/>
      <c r="DID13" s="21"/>
      <c r="DIE13" s="21"/>
      <c r="DIF13" s="21"/>
      <c r="DIG13" s="21"/>
      <c r="DIH13" s="21"/>
      <c r="DII13" s="21"/>
      <c r="DIJ13" s="21"/>
      <c r="DIK13" s="21"/>
      <c r="DIL13" s="21"/>
      <c r="DIM13" s="21"/>
      <c r="DIN13" s="21"/>
      <c r="DIO13" s="21"/>
      <c r="DIP13" s="21"/>
      <c r="DIQ13" s="21"/>
      <c r="DIR13" s="21"/>
      <c r="DIS13" s="21"/>
      <c r="DIT13" s="21"/>
      <c r="DIU13" s="21"/>
      <c r="DIV13" s="21"/>
      <c r="DIW13" s="21"/>
      <c r="DIX13" s="21"/>
      <c r="DIY13" s="21"/>
      <c r="DIZ13" s="21"/>
      <c r="DJA13" s="21"/>
      <c r="DJB13" s="21"/>
      <c r="DJC13" s="21"/>
      <c r="DJD13" s="21"/>
      <c r="DJE13" s="21"/>
      <c r="DJF13" s="21"/>
      <c r="DJG13" s="21"/>
      <c r="DJH13" s="21"/>
      <c r="DJI13" s="21"/>
      <c r="DJJ13" s="21"/>
      <c r="DJK13" s="21"/>
      <c r="DJL13" s="21"/>
      <c r="DJM13" s="21"/>
      <c r="DJN13" s="21"/>
      <c r="DJO13" s="21"/>
      <c r="DJP13" s="21"/>
      <c r="DJQ13" s="21"/>
      <c r="DJR13" s="21"/>
      <c r="DJS13" s="21"/>
      <c r="DJT13" s="21"/>
      <c r="DJU13" s="21"/>
      <c r="DJV13" s="21"/>
      <c r="DJW13" s="21"/>
      <c r="DJX13" s="21"/>
      <c r="DJY13" s="21"/>
      <c r="DJZ13" s="21"/>
      <c r="DKA13" s="21"/>
      <c r="DKB13" s="21"/>
      <c r="DKC13" s="21"/>
      <c r="DKD13" s="21"/>
      <c r="DKE13" s="21"/>
      <c r="DKF13" s="21"/>
      <c r="DKG13" s="21"/>
      <c r="DKH13" s="21"/>
      <c r="DKI13" s="21"/>
      <c r="DKJ13" s="21"/>
      <c r="DKK13" s="21"/>
      <c r="DKL13" s="21"/>
      <c r="DKM13" s="21"/>
      <c r="DKN13" s="21"/>
      <c r="DKO13" s="21"/>
      <c r="DKP13" s="21"/>
      <c r="DKQ13" s="21"/>
      <c r="DKR13" s="21"/>
      <c r="DKS13" s="21"/>
      <c r="DKT13" s="21"/>
      <c r="DKU13" s="21"/>
      <c r="DKV13" s="21"/>
      <c r="DKW13" s="21"/>
      <c r="DKX13" s="21"/>
      <c r="DKY13" s="21"/>
      <c r="DKZ13" s="21"/>
      <c r="DLA13" s="21"/>
      <c r="DLB13" s="21"/>
      <c r="DLC13" s="21"/>
      <c r="DLD13" s="21"/>
      <c r="DLE13" s="21"/>
      <c r="DLF13" s="21"/>
      <c r="DLG13" s="21"/>
      <c r="DLH13" s="21"/>
      <c r="DLI13" s="21"/>
      <c r="DLJ13" s="21"/>
      <c r="DLK13" s="21"/>
      <c r="DLL13" s="21"/>
      <c r="DLM13" s="21"/>
      <c r="DLN13" s="21"/>
      <c r="DLO13" s="21"/>
      <c r="DLP13" s="21"/>
      <c r="DLQ13" s="21"/>
      <c r="DLR13" s="21"/>
      <c r="DLS13" s="21"/>
      <c r="DLT13" s="21"/>
      <c r="DLU13" s="21"/>
      <c r="DLV13" s="21"/>
      <c r="DLW13" s="21"/>
      <c r="DLX13" s="21"/>
      <c r="DLY13" s="21"/>
      <c r="DLZ13" s="21"/>
      <c r="DMA13" s="21"/>
      <c r="DMB13" s="21"/>
      <c r="DMC13" s="21"/>
      <c r="DMD13" s="21"/>
      <c r="DME13" s="21"/>
      <c r="DMF13" s="21"/>
      <c r="DMG13" s="21"/>
      <c r="DMH13" s="21"/>
      <c r="DMI13" s="21"/>
      <c r="DMJ13" s="21"/>
      <c r="DMK13" s="21"/>
      <c r="DML13" s="21"/>
      <c r="DMM13" s="21"/>
      <c r="DMN13" s="21"/>
      <c r="DMO13" s="21"/>
      <c r="DMP13" s="21"/>
      <c r="DMQ13" s="21"/>
      <c r="DMR13" s="21"/>
      <c r="DMS13" s="21"/>
      <c r="DMT13" s="21"/>
      <c r="DMU13" s="21"/>
      <c r="DMV13" s="21"/>
      <c r="DMW13" s="21"/>
      <c r="DMX13" s="21"/>
      <c r="DMY13" s="21"/>
      <c r="DMZ13" s="21"/>
      <c r="DNA13" s="21"/>
      <c r="DNB13" s="21"/>
      <c r="DNC13" s="21"/>
      <c r="DND13" s="21"/>
      <c r="DNE13" s="21"/>
      <c r="DNF13" s="21"/>
      <c r="DNG13" s="21"/>
      <c r="DNH13" s="21"/>
      <c r="DNI13" s="21"/>
      <c r="DNJ13" s="21"/>
      <c r="DNK13" s="21"/>
      <c r="DNL13" s="21"/>
      <c r="DNM13" s="21"/>
      <c r="DNN13" s="21"/>
      <c r="DNO13" s="21"/>
      <c r="DNP13" s="21"/>
      <c r="DNQ13" s="21"/>
      <c r="DNR13" s="21"/>
      <c r="DNS13" s="21"/>
      <c r="DNT13" s="21"/>
      <c r="DNU13" s="21"/>
      <c r="DNV13" s="21"/>
      <c r="DNW13" s="21"/>
      <c r="DNX13" s="21"/>
      <c r="DNY13" s="21"/>
      <c r="DNZ13" s="21"/>
      <c r="DOA13" s="21"/>
      <c r="DOB13" s="21"/>
      <c r="DOC13" s="21"/>
      <c r="DOD13" s="21"/>
      <c r="DOE13" s="21"/>
      <c r="DOF13" s="21"/>
      <c r="DOG13" s="21"/>
      <c r="DOH13" s="21"/>
      <c r="DOI13" s="21"/>
      <c r="DOJ13" s="21"/>
      <c r="DOK13" s="21"/>
      <c r="DOL13" s="21"/>
      <c r="DOM13" s="21"/>
      <c r="DON13" s="21"/>
      <c r="DOO13" s="21"/>
      <c r="DOP13" s="21"/>
      <c r="DOQ13" s="21"/>
      <c r="DOR13" s="21"/>
      <c r="DOS13" s="21"/>
      <c r="DOT13" s="21"/>
      <c r="DOU13" s="21"/>
      <c r="DOV13" s="21"/>
      <c r="DOW13" s="21"/>
      <c r="DOX13" s="21"/>
      <c r="DOY13" s="21"/>
      <c r="DOZ13" s="21"/>
      <c r="DPA13" s="21"/>
      <c r="DPB13" s="21"/>
      <c r="DPC13" s="21"/>
      <c r="DPD13" s="21"/>
      <c r="DPE13" s="21"/>
      <c r="DPF13" s="21"/>
      <c r="DPG13" s="21"/>
      <c r="DPH13" s="21"/>
      <c r="DPI13" s="21"/>
      <c r="DPJ13" s="21"/>
      <c r="DPK13" s="21"/>
      <c r="DPL13" s="21"/>
      <c r="DPM13" s="21"/>
      <c r="DPN13" s="21"/>
      <c r="DPO13" s="21"/>
      <c r="DPP13" s="21"/>
      <c r="DPQ13" s="21"/>
      <c r="DPR13" s="21"/>
      <c r="DPS13" s="21"/>
      <c r="DPT13" s="21"/>
      <c r="DPU13" s="21"/>
      <c r="DPV13" s="21"/>
      <c r="DPW13" s="21"/>
      <c r="DPX13" s="21"/>
      <c r="DPY13" s="21"/>
      <c r="DPZ13" s="21"/>
      <c r="DQA13" s="21"/>
      <c r="DQB13" s="21"/>
      <c r="DQC13" s="21"/>
      <c r="DQD13" s="21"/>
      <c r="DQE13" s="21"/>
      <c r="DQF13" s="21"/>
      <c r="DQG13" s="21"/>
      <c r="DQH13" s="21"/>
      <c r="DQI13" s="21"/>
      <c r="DQJ13" s="21"/>
      <c r="DQK13" s="21"/>
      <c r="DQL13" s="21"/>
      <c r="DQM13" s="21"/>
      <c r="DQN13" s="21"/>
      <c r="DQO13" s="21"/>
      <c r="DQP13" s="21"/>
      <c r="DQQ13" s="21"/>
      <c r="DQR13" s="21"/>
      <c r="DQS13" s="21"/>
      <c r="DQT13" s="21"/>
      <c r="DQU13" s="21"/>
      <c r="DQV13" s="21"/>
      <c r="DQW13" s="21"/>
      <c r="DQX13" s="21"/>
      <c r="DQY13" s="21"/>
      <c r="DQZ13" s="21"/>
      <c r="DRA13" s="21"/>
      <c r="DRB13" s="21"/>
      <c r="DRC13" s="21"/>
      <c r="DRD13" s="21"/>
      <c r="DRE13" s="21"/>
      <c r="DRF13" s="21"/>
      <c r="DRG13" s="21"/>
      <c r="DRH13" s="21"/>
      <c r="DRI13" s="21"/>
      <c r="DRJ13" s="21"/>
      <c r="DRK13" s="21"/>
      <c r="DRL13" s="21"/>
      <c r="DRM13" s="21"/>
      <c r="DRN13" s="21"/>
      <c r="DRO13" s="21"/>
      <c r="DRP13" s="21"/>
      <c r="DRQ13" s="21"/>
      <c r="DRR13" s="21"/>
      <c r="DRS13" s="21"/>
      <c r="DRT13" s="21"/>
      <c r="DRU13" s="21"/>
      <c r="DRV13" s="21"/>
      <c r="DRW13" s="21"/>
      <c r="DRX13" s="21"/>
      <c r="DRY13" s="21"/>
      <c r="DRZ13" s="21"/>
      <c r="DSA13" s="21"/>
      <c r="DSB13" s="21"/>
      <c r="DSC13" s="21"/>
      <c r="DSD13" s="21"/>
      <c r="DSE13" s="21"/>
      <c r="DSF13" s="21"/>
      <c r="DSG13" s="21"/>
      <c r="DSH13" s="21"/>
      <c r="DSI13" s="21"/>
      <c r="DSJ13" s="21"/>
      <c r="DSK13" s="21"/>
      <c r="DSL13" s="21"/>
      <c r="DSM13" s="21"/>
      <c r="DSN13" s="21"/>
      <c r="DSO13" s="21"/>
      <c r="DSP13" s="21"/>
      <c r="DSQ13" s="21"/>
      <c r="DSR13" s="21"/>
      <c r="DSS13" s="21"/>
      <c r="DST13" s="21"/>
      <c r="DSU13" s="21"/>
      <c r="DSV13" s="21"/>
      <c r="DSW13" s="21"/>
      <c r="DSX13" s="21"/>
      <c r="DSY13" s="21"/>
      <c r="DSZ13" s="21"/>
      <c r="DTA13" s="21"/>
      <c r="DTB13" s="21"/>
      <c r="DTC13" s="21"/>
      <c r="DTD13" s="21"/>
      <c r="DTE13" s="21"/>
      <c r="DTF13" s="21"/>
      <c r="DTG13" s="21"/>
      <c r="DTH13" s="21"/>
      <c r="DTI13" s="21"/>
      <c r="DTJ13" s="21"/>
      <c r="DTK13" s="21"/>
      <c r="DTL13" s="21"/>
      <c r="DTM13" s="21"/>
      <c r="DTN13" s="21"/>
      <c r="DTO13" s="21"/>
      <c r="DTP13" s="21"/>
      <c r="DTQ13" s="21"/>
      <c r="DTR13" s="21"/>
      <c r="DTS13" s="21"/>
      <c r="DTT13" s="21"/>
      <c r="DTU13" s="21"/>
      <c r="DTV13" s="21"/>
      <c r="DTW13" s="21"/>
      <c r="DTX13" s="21"/>
      <c r="DTY13" s="21"/>
      <c r="DTZ13" s="21"/>
      <c r="DUA13" s="21"/>
      <c r="DUB13" s="21"/>
      <c r="DUC13" s="21"/>
      <c r="DUD13" s="21"/>
      <c r="DUE13" s="21"/>
      <c r="DUF13" s="21"/>
      <c r="DUG13" s="21"/>
      <c r="DUH13" s="21"/>
      <c r="DUI13" s="21"/>
      <c r="DUJ13" s="21"/>
      <c r="DUK13" s="21"/>
      <c r="DUL13" s="21"/>
      <c r="DUM13" s="21"/>
      <c r="DUN13" s="21"/>
      <c r="DUO13" s="21"/>
      <c r="DUP13" s="21"/>
      <c r="DUQ13" s="21"/>
      <c r="DUR13" s="21"/>
      <c r="DUS13" s="21"/>
      <c r="DUT13" s="21"/>
      <c r="DUU13" s="21"/>
      <c r="DUV13" s="21"/>
      <c r="DUW13" s="21"/>
      <c r="DUX13" s="21"/>
      <c r="DUY13" s="21"/>
      <c r="DUZ13" s="21"/>
      <c r="DVA13" s="21"/>
      <c r="DVB13" s="21"/>
      <c r="DVC13" s="21"/>
      <c r="DVD13" s="21"/>
      <c r="DVE13" s="21"/>
      <c r="DVF13" s="21"/>
      <c r="DVG13" s="21"/>
      <c r="DVH13" s="21"/>
      <c r="DVI13" s="21"/>
      <c r="DVJ13" s="21"/>
      <c r="DVK13" s="21"/>
      <c r="DVL13" s="21"/>
      <c r="DVM13" s="21"/>
      <c r="DVN13" s="21"/>
      <c r="DVO13" s="21"/>
      <c r="DVP13" s="21"/>
      <c r="DVQ13" s="21"/>
      <c r="DVR13" s="21"/>
      <c r="DVS13" s="21"/>
      <c r="DVT13" s="21"/>
      <c r="DVU13" s="21"/>
      <c r="DVV13" s="21"/>
      <c r="DVW13" s="21"/>
      <c r="DVX13" s="21"/>
      <c r="DVY13" s="21"/>
      <c r="DVZ13" s="21"/>
      <c r="DWA13" s="21"/>
      <c r="DWB13" s="21"/>
      <c r="DWC13" s="21"/>
      <c r="DWD13" s="21"/>
      <c r="DWE13" s="21"/>
      <c r="DWF13" s="21"/>
      <c r="DWG13" s="21"/>
      <c r="DWH13" s="21"/>
      <c r="DWI13" s="21"/>
      <c r="DWJ13" s="21"/>
      <c r="DWK13" s="21"/>
      <c r="DWL13" s="21"/>
      <c r="DWM13" s="21"/>
      <c r="DWN13" s="21"/>
      <c r="DWO13" s="21"/>
      <c r="DWP13" s="21"/>
      <c r="DWQ13" s="21"/>
      <c r="DWR13" s="21"/>
      <c r="DWS13" s="21"/>
      <c r="DWT13" s="21"/>
      <c r="DWU13" s="21"/>
      <c r="DWV13" s="21"/>
      <c r="DWW13" s="21"/>
      <c r="DWX13" s="21"/>
      <c r="DWY13" s="21"/>
      <c r="DWZ13" s="21"/>
      <c r="DXA13" s="21"/>
      <c r="DXB13" s="21"/>
      <c r="DXC13" s="21"/>
      <c r="DXD13" s="21"/>
      <c r="DXE13" s="21"/>
      <c r="DXF13" s="21"/>
      <c r="DXG13" s="21"/>
      <c r="DXH13" s="21"/>
      <c r="DXI13" s="21"/>
      <c r="DXJ13" s="21"/>
      <c r="DXK13" s="21"/>
      <c r="DXL13" s="21"/>
      <c r="DXM13" s="21"/>
      <c r="DXN13" s="21"/>
      <c r="DXO13" s="21"/>
      <c r="DXP13" s="21"/>
      <c r="DXQ13" s="21"/>
      <c r="DXR13" s="21"/>
      <c r="DXS13" s="21"/>
      <c r="DXT13" s="21"/>
      <c r="DXU13" s="21"/>
      <c r="DXV13" s="21"/>
      <c r="DXW13" s="21"/>
      <c r="DXX13" s="21"/>
      <c r="DXY13" s="21"/>
      <c r="DXZ13" s="21"/>
      <c r="DYA13" s="21"/>
      <c r="DYB13" s="21"/>
      <c r="DYC13" s="21"/>
      <c r="DYD13" s="21"/>
      <c r="DYE13" s="21"/>
      <c r="DYF13" s="21"/>
      <c r="DYG13" s="21"/>
      <c r="DYH13" s="21"/>
      <c r="DYI13" s="21"/>
      <c r="DYJ13" s="21"/>
      <c r="DYK13" s="21"/>
      <c r="DYL13" s="21"/>
      <c r="DYM13" s="21"/>
      <c r="DYN13" s="21"/>
      <c r="DYO13" s="21"/>
      <c r="DYP13" s="21"/>
      <c r="DYQ13" s="21"/>
      <c r="DYR13" s="21"/>
      <c r="DYS13" s="21"/>
      <c r="DYT13" s="21"/>
      <c r="DYU13" s="21"/>
      <c r="DYV13" s="21"/>
      <c r="DYW13" s="21"/>
      <c r="DYX13" s="21"/>
      <c r="DYY13" s="21"/>
      <c r="DYZ13" s="21"/>
      <c r="DZA13" s="21"/>
      <c r="DZB13" s="21"/>
      <c r="DZC13" s="21"/>
      <c r="DZD13" s="21"/>
      <c r="DZE13" s="21"/>
      <c r="DZF13" s="21"/>
      <c r="DZG13" s="21"/>
      <c r="DZH13" s="21"/>
      <c r="DZI13" s="21"/>
      <c r="DZJ13" s="21"/>
      <c r="DZK13" s="21"/>
      <c r="DZL13" s="21"/>
      <c r="DZM13" s="21"/>
      <c r="DZN13" s="21"/>
      <c r="DZO13" s="21"/>
      <c r="DZP13" s="21"/>
      <c r="DZQ13" s="21"/>
      <c r="DZR13" s="21"/>
      <c r="DZS13" s="21"/>
      <c r="DZT13" s="21"/>
      <c r="DZU13" s="21"/>
      <c r="DZV13" s="21"/>
      <c r="DZW13" s="21"/>
      <c r="DZX13" s="21"/>
      <c r="DZY13" s="21"/>
      <c r="DZZ13" s="21"/>
      <c r="EAA13" s="21"/>
      <c r="EAB13" s="21"/>
      <c r="EAC13" s="21"/>
      <c r="EAD13" s="21"/>
      <c r="EAE13" s="21"/>
      <c r="EAF13" s="21"/>
      <c r="EAG13" s="21"/>
      <c r="EAH13" s="21"/>
      <c r="EAI13" s="21"/>
      <c r="EAJ13" s="21"/>
      <c r="EAK13" s="21"/>
      <c r="EAL13" s="21"/>
      <c r="EAM13" s="21"/>
      <c r="EAN13" s="21"/>
      <c r="EAO13" s="21"/>
      <c r="EAP13" s="21"/>
      <c r="EAQ13" s="21"/>
      <c r="EAR13" s="21"/>
      <c r="EAS13" s="21"/>
      <c r="EAT13" s="21"/>
      <c r="EAU13" s="21"/>
      <c r="EAV13" s="21"/>
      <c r="EAW13" s="21"/>
      <c r="EAX13" s="21"/>
      <c r="EAY13" s="21"/>
      <c r="EAZ13" s="21"/>
      <c r="EBA13" s="21"/>
      <c r="EBB13" s="21"/>
      <c r="EBC13" s="21"/>
      <c r="EBD13" s="21"/>
      <c r="EBE13" s="21"/>
      <c r="EBF13" s="21"/>
      <c r="EBG13" s="21"/>
      <c r="EBH13" s="21"/>
      <c r="EBI13" s="21"/>
      <c r="EBJ13" s="21"/>
      <c r="EBK13" s="21"/>
      <c r="EBL13" s="21"/>
      <c r="EBM13" s="21"/>
      <c r="EBN13" s="21"/>
      <c r="EBO13" s="21"/>
      <c r="EBP13" s="21"/>
      <c r="EBQ13" s="21"/>
      <c r="EBR13" s="21"/>
      <c r="EBS13" s="21"/>
      <c r="EBT13" s="21"/>
      <c r="EBU13" s="21"/>
      <c r="EBV13" s="21"/>
      <c r="EBW13" s="21"/>
      <c r="EBX13" s="21"/>
      <c r="EBY13" s="21"/>
      <c r="EBZ13" s="21"/>
      <c r="ECA13" s="21"/>
      <c r="ECB13" s="21"/>
      <c r="ECC13" s="21"/>
      <c r="ECD13" s="21"/>
      <c r="ECE13" s="21"/>
      <c r="ECF13" s="21"/>
      <c r="ECG13" s="21"/>
      <c r="ECH13" s="21"/>
      <c r="ECI13" s="21"/>
      <c r="ECJ13" s="21"/>
      <c r="ECK13" s="21"/>
      <c r="ECL13" s="21"/>
      <c r="ECM13" s="21"/>
      <c r="ECN13" s="21"/>
      <c r="ECO13" s="21"/>
      <c r="ECP13" s="21"/>
      <c r="ECQ13" s="21"/>
      <c r="ECR13" s="21"/>
      <c r="ECS13" s="21"/>
      <c r="ECT13" s="21"/>
      <c r="ECU13" s="21"/>
      <c r="ECV13" s="21"/>
      <c r="ECW13" s="21"/>
      <c r="ECX13" s="21"/>
      <c r="ECY13" s="21"/>
      <c r="ECZ13" s="21"/>
      <c r="EDA13" s="21"/>
      <c r="EDB13" s="21"/>
      <c r="EDC13" s="21"/>
      <c r="EDD13" s="21"/>
      <c r="EDE13" s="21"/>
      <c r="EDF13" s="21"/>
      <c r="EDG13" s="21"/>
      <c r="EDH13" s="21"/>
      <c r="EDI13" s="21"/>
      <c r="EDJ13" s="21"/>
      <c r="EDK13" s="21"/>
      <c r="EDL13" s="21"/>
      <c r="EDM13" s="21"/>
      <c r="EDN13" s="21"/>
      <c r="EDO13" s="21"/>
      <c r="EDP13" s="21"/>
      <c r="EDQ13" s="21"/>
      <c r="EDR13" s="21"/>
      <c r="EDS13" s="21"/>
      <c r="EDT13" s="21"/>
      <c r="EDU13" s="21"/>
      <c r="EDV13" s="21"/>
      <c r="EDW13" s="21"/>
      <c r="EDX13" s="21"/>
      <c r="EDY13" s="21"/>
      <c r="EDZ13" s="21"/>
      <c r="EEA13" s="21"/>
      <c r="EEB13" s="21"/>
      <c r="EEC13" s="21"/>
      <c r="EED13" s="21"/>
      <c r="EEE13" s="21"/>
      <c r="EEF13" s="21"/>
      <c r="EEG13" s="21"/>
      <c r="EEH13" s="21"/>
      <c r="EEI13" s="21"/>
      <c r="EEJ13" s="21"/>
      <c r="EEK13" s="21"/>
      <c r="EEL13" s="21"/>
      <c r="EEM13" s="21"/>
      <c r="EEN13" s="21"/>
      <c r="EEO13" s="21"/>
      <c r="EEP13" s="21"/>
      <c r="EEQ13" s="21"/>
      <c r="EER13" s="21"/>
      <c r="EES13" s="21"/>
      <c r="EET13" s="21"/>
      <c r="EEU13" s="21"/>
      <c r="EEV13" s="21"/>
      <c r="EEW13" s="21"/>
      <c r="EEX13" s="21"/>
      <c r="EEY13" s="21"/>
      <c r="EEZ13" s="21"/>
      <c r="EFA13" s="21"/>
      <c r="EFB13" s="21"/>
      <c r="EFC13" s="21"/>
      <c r="EFD13" s="21"/>
      <c r="EFE13" s="21"/>
      <c r="EFF13" s="21"/>
      <c r="EFG13" s="21"/>
      <c r="EFH13" s="21"/>
      <c r="EFI13" s="21"/>
      <c r="EFJ13" s="21"/>
      <c r="EFK13" s="21"/>
      <c r="EFL13" s="21"/>
      <c r="EFM13" s="21"/>
      <c r="EFN13" s="21"/>
      <c r="EFO13" s="21"/>
      <c r="EFP13" s="21"/>
      <c r="EFQ13" s="21"/>
      <c r="EFR13" s="21"/>
      <c r="EFS13" s="21"/>
      <c r="EFT13" s="21"/>
      <c r="EFU13" s="21"/>
      <c r="EFV13" s="21"/>
      <c r="EFW13" s="21"/>
      <c r="EFX13" s="21"/>
      <c r="EFY13" s="21"/>
      <c r="EFZ13" s="21"/>
      <c r="EGA13" s="21"/>
      <c r="EGB13" s="21"/>
      <c r="EGC13" s="21"/>
      <c r="EGD13" s="21"/>
      <c r="EGE13" s="21"/>
      <c r="EGF13" s="21"/>
      <c r="EGG13" s="21"/>
      <c r="EGH13" s="21"/>
      <c r="EGI13" s="21"/>
      <c r="EGJ13" s="21"/>
      <c r="EGK13" s="21"/>
      <c r="EGL13" s="21"/>
      <c r="EGM13" s="21"/>
      <c r="EGN13" s="21"/>
      <c r="EGO13" s="21"/>
      <c r="EGP13" s="21"/>
      <c r="EGQ13" s="21"/>
      <c r="EGR13" s="21"/>
      <c r="EGS13" s="21"/>
      <c r="EGT13" s="21"/>
      <c r="EGU13" s="21"/>
      <c r="EGV13" s="21"/>
      <c r="EGW13" s="21"/>
      <c r="EGX13" s="21"/>
      <c r="EGY13" s="21"/>
      <c r="EGZ13" s="21"/>
      <c r="EHA13" s="21"/>
      <c r="EHB13" s="21"/>
      <c r="EHC13" s="21"/>
      <c r="EHD13" s="21"/>
      <c r="EHE13" s="21"/>
      <c r="EHF13" s="21"/>
      <c r="EHG13" s="21"/>
      <c r="EHH13" s="21"/>
      <c r="EHI13" s="21"/>
      <c r="EHJ13" s="21"/>
      <c r="EHK13" s="21"/>
      <c r="EHL13" s="21"/>
      <c r="EHM13" s="21"/>
      <c r="EHN13" s="21"/>
      <c r="EHO13" s="21"/>
      <c r="EHP13" s="21"/>
      <c r="EHQ13" s="21"/>
      <c r="EHR13" s="21"/>
      <c r="EHS13" s="21"/>
      <c r="EHT13" s="21"/>
      <c r="EHU13" s="21"/>
      <c r="EHV13" s="21"/>
      <c r="EHW13" s="21"/>
      <c r="EHX13" s="21"/>
      <c r="EHY13" s="21"/>
      <c r="EHZ13" s="21"/>
      <c r="EIA13" s="21"/>
      <c r="EIB13" s="21"/>
      <c r="EIC13" s="21"/>
      <c r="EID13" s="21"/>
      <c r="EIE13" s="21"/>
      <c r="EIF13" s="21"/>
      <c r="EIG13" s="21"/>
      <c r="EIH13" s="21"/>
      <c r="EII13" s="21"/>
      <c r="EIJ13" s="21"/>
      <c r="EIK13" s="21"/>
      <c r="EIL13" s="21"/>
      <c r="EIM13" s="21"/>
      <c r="EIN13" s="21"/>
      <c r="EIO13" s="21"/>
      <c r="EIP13" s="21"/>
      <c r="EIQ13" s="21"/>
      <c r="EIR13" s="21"/>
      <c r="EIS13" s="21"/>
      <c r="EIT13" s="21"/>
      <c r="EIU13" s="21"/>
      <c r="EIV13" s="21"/>
      <c r="EIW13" s="21"/>
      <c r="EIX13" s="21"/>
      <c r="EIY13" s="21"/>
      <c r="EIZ13" s="21"/>
      <c r="EJA13" s="21"/>
      <c r="EJB13" s="21"/>
      <c r="EJC13" s="21"/>
      <c r="EJD13" s="21"/>
      <c r="EJE13" s="21"/>
      <c r="EJF13" s="21"/>
      <c r="EJG13" s="21"/>
      <c r="EJH13" s="21"/>
      <c r="EJI13" s="21"/>
      <c r="EJJ13" s="21"/>
      <c r="EJK13" s="21"/>
      <c r="EJL13" s="21"/>
      <c r="EJM13" s="21"/>
      <c r="EJN13" s="21"/>
      <c r="EJO13" s="21"/>
      <c r="EJP13" s="21"/>
      <c r="EJQ13" s="21"/>
      <c r="EJR13" s="21"/>
      <c r="EJS13" s="21"/>
      <c r="EJT13" s="21"/>
      <c r="EJU13" s="21"/>
      <c r="EJV13" s="21"/>
      <c r="EJW13" s="21"/>
      <c r="EJX13" s="21"/>
      <c r="EJY13" s="21"/>
      <c r="EJZ13" s="21"/>
      <c r="EKA13" s="21"/>
      <c r="EKB13" s="21"/>
      <c r="EKC13" s="21"/>
      <c r="EKD13" s="21"/>
      <c r="EKE13" s="21"/>
      <c r="EKF13" s="21"/>
      <c r="EKG13" s="21"/>
      <c r="EKH13" s="21"/>
      <c r="EKI13" s="21"/>
      <c r="EKJ13" s="21"/>
      <c r="EKK13" s="21"/>
      <c r="EKL13" s="21"/>
      <c r="EKM13" s="21"/>
      <c r="EKN13" s="21"/>
      <c r="EKO13" s="21"/>
      <c r="EKP13" s="21"/>
      <c r="EKQ13" s="21"/>
      <c r="EKR13" s="21"/>
      <c r="EKS13" s="21"/>
      <c r="EKT13" s="21"/>
      <c r="EKU13" s="21"/>
      <c r="EKV13" s="21"/>
      <c r="EKW13" s="21"/>
      <c r="EKX13" s="21"/>
      <c r="EKY13" s="21"/>
      <c r="EKZ13" s="21"/>
      <c r="ELA13" s="21"/>
      <c r="ELB13" s="21"/>
      <c r="ELC13" s="21"/>
      <c r="ELD13" s="21"/>
      <c r="ELE13" s="21"/>
      <c r="ELF13" s="21"/>
      <c r="ELG13" s="21"/>
      <c r="ELH13" s="21"/>
      <c r="ELI13" s="21"/>
      <c r="ELJ13" s="21"/>
      <c r="ELK13" s="21"/>
      <c r="ELL13" s="21"/>
      <c r="ELM13" s="21"/>
      <c r="ELN13" s="21"/>
      <c r="ELO13" s="21"/>
      <c r="ELP13" s="21"/>
      <c r="ELQ13" s="21"/>
      <c r="ELR13" s="21"/>
      <c r="ELS13" s="21"/>
      <c r="ELT13" s="21"/>
      <c r="ELU13" s="21"/>
      <c r="ELV13" s="21"/>
      <c r="ELW13" s="21"/>
      <c r="ELX13" s="21"/>
      <c r="ELY13" s="21"/>
      <c r="ELZ13" s="21"/>
      <c r="EMA13" s="21"/>
      <c r="EMB13" s="21"/>
      <c r="EMC13" s="21"/>
      <c r="EMD13" s="21"/>
      <c r="EME13" s="21"/>
      <c r="EMF13" s="21"/>
      <c r="EMG13" s="21"/>
      <c r="EMH13" s="21"/>
      <c r="EMI13" s="21"/>
      <c r="EMJ13" s="21"/>
      <c r="EMK13" s="21"/>
      <c r="EML13" s="21"/>
      <c r="EMM13" s="21"/>
      <c r="EMN13" s="21"/>
      <c r="EMO13" s="21"/>
      <c r="EMP13" s="21"/>
      <c r="EMQ13" s="21"/>
      <c r="EMR13" s="21"/>
      <c r="EMS13" s="21"/>
      <c r="EMT13" s="21"/>
      <c r="EMU13" s="21"/>
      <c r="EMV13" s="21"/>
      <c r="EMW13" s="21"/>
      <c r="EMX13" s="21"/>
      <c r="EMY13" s="21"/>
      <c r="EMZ13" s="21"/>
      <c r="ENA13" s="21"/>
      <c r="ENB13" s="21"/>
      <c r="ENC13" s="21"/>
      <c r="END13" s="21"/>
      <c r="ENE13" s="21"/>
      <c r="ENF13" s="21"/>
      <c r="ENG13" s="21"/>
      <c r="ENH13" s="21"/>
      <c r="ENI13" s="21"/>
      <c r="ENJ13" s="21"/>
      <c r="ENK13" s="21"/>
      <c r="ENL13" s="21"/>
      <c r="ENM13" s="21"/>
      <c r="ENN13" s="21"/>
      <c r="ENO13" s="21"/>
      <c r="ENP13" s="21"/>
      <c r="ENQ13" s="21"/>
      <c r="ENR13" s="21"/>
      <c r="ENS13" s="21"/>
      <c r="ENT13" s="21"/>
      <c r="ENU13" s="21"/>
      <c r="ENV13" s="21"/>
      <c r="ENW13" s="21"/>
      <c r="ENX13" s="21"/>
      <c r="ENY13" s="21"/>
      <c r="ENZ13" s="21"/>
      <c r="EOA13" s="21"/>
      <c r="EOB13" s="21"/>
      <c r="EOC13" s="21"/>
      <c r="EOD13" s="21"/>
      <c r="EOE13" s="21"/>
      <c r="EOF13" s="21"/>
      <c r="EOG13" s="21"/>
      <c r="EOH13" s="21"/>
      <c r="EOI13" s="21"/>
      <c r="EOJ13" s="21"/>
      <c r="EOK13" s="21"/>
      <c r="EOL13" s="21"/>
      <c r="EOM13" s="21"/>
      <c r="EON13" s="21"/>
      <c r="EOO13" s="21"/>
      <c r="EOP13" s="21"/>
      <c r="EOQ13" s="21"/>
      <c r="EOR13" s="21"/>
      <c r="EOS13" s="21"/>
      <c r="EOT13" s="21"/>
      <c r="EOU13" s="21"/>
      <c r="EOV13" s="21"/>
      <c r="EOW13" s="21"/>
      <c r="EOX13" s="21"/>
      <c r="EOY13" s="21"/>
      <c r="EOZ13" s="21"/>
      <c r="EPA13" s="21"/>
      <c r="EPB13" s="21"/>
      <c r="EPC13" s="21"/>
      <c r="EPD13" s="21"/>
      <c r="EPE13" s="21"/>
      <c r="EPF13" s="21"/>
      <c r="EPG13" s="21"/>
      <c r="EPH13" s="21"/>
      <c r="EPI13" s="21"/>
      <c r="EPJ13" s="21"/>
      <c r="EPK13" s="21"/>
      <c r="EPL13" s="21"/>
      <c r="EPM13" s="21"/>
      <c r="EPN13" s="21"/>
      <c r="EPO13" s="21"/>
      <c r="EPP13" s="21"/>
      <c r="EPQ13" s="21"/>
      <c r="EPR13" s="21"/>
      <c r="EPS13" s="21"/>
      <c r="EPT13" s="21"/>
      <c r="EPU13" s="21"/>
      <c r="EPV13" s="21"/>
      <c r="EPW13" s="21"/>
      <c r="EPX13" s="21"/>
      <c r="EPY13" s="21"/>
      <c r="EPZ13" s="21"/>
      <c r="EQA13" s="21"/>
      <c r="EQB13" s="21"/>
      <c r="EQC13" s="21"/>
      <c r="EQD13" s="21"/>
      <c r="EQE13" s="21"/>
      <c r="EQF13" s="21"/>
      <c r="EQG13" s="21"/>
      <c r="EQH13" s="21"/>
      <c r="EQI13" s="21"/>
      <c r="EQJ13" s="21"/>
      <c r="EQK13" s="21"/>
      <c r="EQL13" s="21"/>
      <c r="EQM13" s="21"/>
      <c r="EQN13" s="21"/>
      <c r="EQO13" s="21"/>
      <c r="EQP13" s="21"/>
      <c r="EQQ13" s="21"/>
      <c r="EQR13" s="21"/>
      <c r="EQS13" s="21"/>
      <c r="EQT13" s="21"/>
      <c r="EQU13" s="21"/>
      <c r="EQV13" s="21"/>
      <c r="EQW13" s="21"/>
      <c r="EQX13" s="21"/>
      <c r="EQY13" s="21"/>
      <c r="EQZ13" s="21"/>
      <c r="ERA13" s="21"/>
      <c r="ERB13" s="21"/>
      <c r="ERC13" s="21"/>
      <c r="ERD13" s="21"/>
      <c r="ERE13" s="21"/>
      <c r="ERF13" s="21"/>
      <c r="ERG13" s="21"/>
      <c r="ERH13" s="21"/>
      <c r="ERI13" s="21"/>
      <c r="ERJ13" s="21"/>
      <c r="ERK13" s="21"/>
      <c r="ERL13" s="21"/>
      <c r="ERM13" s="21"/>
      <c r="ERN13" s="21"/>
      <c r="ERO13" s="21"/>
      <c r="ERP13" s="21"/>
      <c r="ERQ13" s="21"/>
      <c r="ERR13" s="21"/>
      <c r="ERS13" s="21"/>
      <c r="ERT13" s="21"/>
      <c r="ERU13" s="21"/>
      <c r="ERV13" s="21"/>
      <c r="ERW13" s="21"/>
      <c r="ERX13" s="21"/>
      <c r="ERY13" s="21"/>
      <c r="ERZ13" s="21"/>
      <c r="ESA13" s="21"/>
      <c r="ESB13" s="21"/>
      <c r="ESC13" s="21"/>
      <c r="ESD13" s="21"/>
      <c r="ESE13" s="21"/>
      <c r="ESF13" s="21"/>
      <c r="ESG13" s="21"/>
      <c r="ESH13" s="21"/>
      <c r="ESI13" s="21"/>
      <c r="ESJ13" s="21"/>
      <c r="ESK13" s="21"/>
      <c r="ESL13" s="21"/>
      <c r="ESM13" s="21"/>
      <c r="ESN13" s="21"/>
      <c r="ESO13" s="21"/>
      <c r="ESP13" s="21"/>
      <c r="ESQ13" s="21"/>
      <c r="ESR13" s="21"/>
      <c r="ESS13" s="21"/>
      <c r="EST13" s="21"/>
      <c r="ESU13" s="21"/>
      <c r="ESV13" s="21"/>
      <c r="ESW13" s="21"/>
      <c r="ESX13" s="21"/>
      <c r="ESY13" s="21"/>
      <c r="ESZ13" s="21"/>
      <c r="ETA13" s="21"/>
      <c r="ETB13" s="21"/>
      <c r="ETC13" s="21"/>
      <c r="ETD13" s="21"/>
      <c r="ETE13" s="21"/>
      <c r="ETF13" s="21"/>
      <c r="ETG13" s="21"/>
      <c r="ETH13" s="21"/>
      <c r="ETI13" s="21"/>
      <c r="ETJ13" s="21"/>
      <c r="ETK13" s="21"/>
      <c r="ETL13" s="21"/>
      <c r="ETM13" s="21"/>
      <c r="ETN13" s="21"/>
      <c r="ETO13" s="21"/>
      <c r="ETP13" s="21"/>
      <c r="ETQ13" s="21"/>
      <c r="ETR13" s="21"/>
      <c r="ETS13" s="21"/>
      <c r="ETT13" s="21"/>
      <c r="ETU13" s="21"/>
      <c r="ETV13" s="21"/>
      <c r="ETW13" s="21"/>
      <c r="ETX13" s="21"/>
      <c r="ETY13" s="21"/>
      <c r="ETZ13" s="21"/>
      <c r="EUA13" s="21"/>
      <c r="EUB13" s="21"/>
      <c r="EUC13" s="21"/>
      <c r="EUD13" s="21"/>
      <c r="EUE13" s="21"/>
      <c r="EUF13" s="21"/>
      <c r="EUG13" s="21"/>
      <c r="EUH13" s="21"/>
      <c r="EUI13" s="21"/>
      <c r="EUJ13" s="21"/>
      <c r="EUK13" s="21"/>
      <c r="EUL13" s="21"/>
      <c r="EUM13" s="21"/>
      <c r="EUN13" s="21"/>
      <c r="EUO13" s="21"/>
      <c r="EUP13" s="21"/>
      <c r="EUQ13" s="21"/>
      <c r="EUR13" s="21"/>
      <c r="EUS13" s="21"/>
      <c r="EUT13" s="21"/>
      <c r="EUU13" s="21"/>
      <c r="EUV13" s="21"/>
      <c r="EUW13" s="21"/>
      <c r="EUX13" s="21"/>
      <c r="EUY13" s="21"/>
      <c r="EUZ13" s="21"/>
      <c r="EVA13" s="21"/>
      <c r="EVB13" s="21"/>
      <c r="EVC13" s="21"/>
      <c r="EVD13" s="21"/>
      <c r="EVE13" s="21"/>
      <c r="EVF13" s="21"/>
      <c r="EVG13" s="21"/>
      <c r="EVH13" s="21"/>
      <c r="EVI13" s="21"/>
      <c r="EVJ13" s="21"/>
      <c r="EVK13" s="21"/>
      <c r="EVL13" s="21"/>
      <c r="EVM13" s="21"/>
      <c r="EVN13" s="21"/>
      <c r="EVO13" s="21"/>
      <c r="EVP13" s="21"/>
      <c r="EVQ13" s="21"/>
      <c r="EVR13" s="21"/>
      <c r="EVS13" s="21"/>
      <c r="EVT13" s="21"/>
      <c r="EVU13" s="21"/>
      <c r="EVV13" s="21"/>
      <c r="EVW13" s="21"/>
      <c r="EVX13" s="21"/>
      <c r="EVY13" s="21"/>
      <c r="EVZ13" s="21"/>
      <c r="EWA13" s="21"/>
      <c r="EWB13" s="21"/>
      <c r="EWC13" s="21"/>
      <c r="EWD13" s="21"/>
      <c r="EWE13" s="21"/>
      <c r="EWF13" s="21"/>
      <c r="EWG13" s="21"/>
      <c r="EWH13" s="21"/>
      <c r="EWI13" s="21"/>
      <c r="EWJ13" s="21"/>
      <c r="EWK13" s="21"/>
      <c r="EWL13" s="21"/>
      <c r="EWM13" s="21"/>
      <c r="EWN13" s="21"/>
      <c r="EWO13" s="21"/>
      <c r="EWP13" s="21"/>
      <c r="EWQ13" s="21"/>
      <c r="EWR13" s="21"/>
      <c r="EWS13" s="21"/>
      <c r="EWT13" s="21"/>
      <c r="EWU13" s="21"/>
      <c r="EWV13" s="21"/>
      <c r="EWW13" s="21"/>
      <c r="EWX13" s="21"/>
      <c r="EWY13" s="21"/>
      <c r="EWZ13" s="21"/>
      <c r="EXA13" s="21"/>
      <c r="EXB13" s="21"/>
      <c r="EXC13" s="21"/>
      <c r="EXD13" s="21"/>
      <c r="EXE13" s="21"/>
      <c r="EXF13" s="21"/>
      <c r="EXG13" s="21"/>
      <c r="EXH13" s="21"/>
      <c r="EXI13" s="21"/>
      <c r="EXJ13" s="21"/>
      <c r="EXK13" s="21"/>
      <c r="EXL13" s="21"/>
      <c r="EXM13" s="21"/>
      <c r="EXN13" s="21"/>
      <c r="EXO13" s="21"/>
      <c r="EXP13" s="21"/>
      <c r="EXQ13" s="21"/>
      <c r="EXR13" s="21"/>
      <c r="EXS13" s="21"/>
      <c r="EXT13" s="21"/>
      <c r="EXU13" s="21"/>
      <c r="EXV13" s="21"/>
      <c r="EXW13" s="21"/>
      <c r="EXX13" s="21"/>
      <c r="EXY13" s="21"/>
      <c r="EXZ13" s="21"/>
      <c r="EYA13" s="21"/>
      <c r="EYB13" s="21"/>
      <c r="EYC13" s="21"/>
      <c r="EYD13" s="21"/>
      <c r="EYE13" s="21"/>
      <c r="EYF13" s="21"/>
      <c r="EYG13" s="21"/>
      <c r="EYH13" s="21"/>
      <c r="EYI13" s="21"/>
      <c r="EYJ13" s="21"/>
      <c r="EYK13" s="21"/>
      <c r="EYL13" s="21"/>
      <c r="EYM13" s="21"/>
      <c r="EYN13" s="21"/>
      <c r="EYO13" s="21"/>
      <c r="EYP13" s="21"/>
      <c r="EYQ13" s="21"/>
      <c r="EYR13" s="21"/>
      <c r="EYS13" s="21"/>
      <c r="EYT13" s="21"/>
      <c r="EYU13" s="21"/>
      <c r="EYV13" s="21"/>
      <c r="EYW13" s="21"/>
      <c r="EYX13" s="21"/>
      <c r="EYY13" s="21"/>
      <c r="EYZ13" s="21"/>
      <c r="EZA13" s="21"/>
      <c r="EZB13" s="21"/>
      <c r="EZC13" s="21"/>
      <c r="EZD13" s="21"/>
      <c r="EZE13" s="21"/>
      <c r="EZF13" s="21"/>
      <c r="EZG13" s="21"/>
      <c r="EZH13" s="21"/>
      <c r="EZI13" s="21"/>
      <c r="EZJ13" s="21"/>
      <c r="EZK13" s="21"/>
      <c r="EZL13" s="21"/>
      <c r="EZM13" s="21"/>
      <c r="EZN13" s="21"/>
      <c r="EZO13" s="21"/>
      <c r="EZP13" s="21"/>
      <c r="EZQ13" s="21"/>
      <c r="EZR13" s="21"/>
      <c r="EZS13" s="21"/>
      <c r="EZT13" s="21"/>
      <c r="EZU13" s="21"/>
      <c r="EZV13" s="21"/>
      <c r="EZW13" s="21"/>
      <c r="EZX13" s="21"/>
      <c r="EZY13" s="21"/>
      <c r="EZZ13" s="21"/>
      <c r="FAA13" s="21"/>
      <c r="FAB13" s="21"/>
      <c r="FAC13" s="21"/>
      <c r="FAD13" s="21"/>
      <c r="FAE13" s="21"/>
      <c r="FAF13" s="21"/>
      <c r="FAG13" s="21"/>
      <c r="FAH13" s="21"/>
      <c r="FAI13" s="21"/>
      <c r="FAJ13" s="21"/>
      <c r="FAK13" s="21"/>
      <c r="FAL13" s="21"/>
      <c r="FAM13" s="21"/>
      <c r="FAN13" s="21"/>
      <c r="FAO13" s="21"/>
      <c r="FAP13" s="21"/>
      <c r="FAQ13" s="21"/>
      <c r="FAR13" s="21"/>
      <c r="FAS13" s="21"/>
      <c r="FAT13" s="21"/>
      <c r="FAU13" s="21"/>
      <c r="FAV13" s="21"/>
      <c r="FAW13" s="21"/>
      <c r="FAX13" s="21"/>
      <c r="FAY13" s="21"/>
      <c r="FAZ13" s="21"/>
      <c r="FBA13" s="21"/>
      <c r="FBB13" s="21"/>
      <c r="FBC13" s="21"/>
      <c r="FBD13" s="21"/>
      <c r="FBE13" s="21"/>
      <c r="FBF13" s="21"/>
      <c r="FBG13" s="21"/>
      <c r="FBH13" s="21"/>
      <c r="FBI13" s="21"/>
      <c r="FBJ13" s="21"/>
      <c r="FBK13" s="21"/>
      <c r="FBL13" s="21"/>
      <c r="FBM13" s="21"/>
      <c r="FBN13" s="21"/>
      <c r="FBO13" s="21"/>
      <c r="FBP13" s="21"/>
      <c r="FBQ13" s="21"/>
      <c r="FBR13" s="21"/>
      <c r="FBS13" s="21"/>
      <c r="FBT13" s="21"/>
      <c r="FBU13" s="21"/>
      <c r="FBV13" s="21"/>
      <c r="FBW13" s="21"/>
      <c r="FBX13" s="21"/>
      <c r="FBY13" s="21"/>
      <c r="FBZ13" s="21"/>
      <c r="FCA13" s="21"/>
      <c r="FCB13" s="21"/>
      <c r="FCC13" s="21"/>
      <c r="FCD13" s="21"/>
      <c r="FCE13" s="21"/>
      <c r="FCF13" s="21"/>
      <c r="FCG13" s="21"/>
      <c r="FCH13" s="21"/>
      <c r="FCI13" s="21"/>
      <c r="FCJ13" s="21"/>
      <c r="FCK13" s="21"/>
      <c r="FCL13" s="21"/>
      <c r="FCM13" s="21"/>
      <c r="FCN13" s="21"/>
      <c r="FCO13" s="21"/>
      <c r="FCP13" s="21"/>
      <c r="FCQ13" s="21"/>
      <c r="FCR13" s="21"/>
      <c r="FCS13" s="21"/>
      <c r="FCT13" s="21"/>
      <c r="FCU13" s="21"/>
      <c r="FCV13" s="21"/>
      <c r="FCW13" s="21"/>
      <c r="FCX13" s="21"/>
      <c r="FCY13" s="21"/>
      <c r="FCZ13" s="21"/>
      <c r="FDA13" s="21"/>
      <c r="FDB13" s="21"/>
      <c r="FDC13" s="21"/>
      <c r="FDD13" s="21"/>
      <c r="FDE13" s="21"/>
      <c r="FDF13" s="21"/>
      <c r="FDG13" s="21"/>
      <c r="FDH13" s="21"/>
      <c r="FDI13" s="21"/>
      <c r="FDJ13" s="21"/>
      <c r="FDK13" s="21"/>
      <c r="FDL13" s="21"/>
      <c r="FDM13" s="21"/>
      <c r="FDN13" s="21"/>
      <c r="FDO13" s="21"/>
      <c r="FDP13" s="21"/>
      <c r="FDQ13" s="21"/>
      <c r="FDR13" s="21"/>
      <c r="FDS13" s="21"/>
      <c r="FDT13" s="21"/>
      <c r="FDU13" s="21"/>
      <c r="FDV13" s="21"/>
      <c r="FDW13" s="21"/>
      <c r="FDX13" s="21"/>
      <c r="FDY13" s="21"/>
      <c r="FDZ13" s="21"/>
      <c r="FEA13" s="21"/>
      <c r="FEB13" s="21"/>
      <c r="FEC13" s="21"/>
      <c r="FED13" s="21"/>
      <c r="FEE13" s="21"/>
      <c r="FEF13" s="21"/>
      <c r="FEG13" s="21"/>
      <c r="FEH13" s="21"/>
      <c r="FEI13" s="21"/>
      <c r="FEJ13" s="21"/>
      <c r="FEK13" s="21"/>
      <c r="FEL13" s="21"/>
      <c r="FEM13" s="21"/>
      <c r="FEN13" s="21"/>
      <c r="FEO13" s="21"/>
      <c r="FEP13" s="21"/>
      <c r="FEQ13" s="21"/>
      <c r="FER13" s="21"/>
      <c r="FES13" s="21"/>
      <c r="FET13" s="21"/>
      <c r="FEU13" s="21"/>
      <c r="FEV13" s="21"/>
      <c r="FEW13" s="21"/>
      <c r="FEX13" s="21"/>
      <c r="FEY13" s="21"/>
      <c r="FEZ13" s="21"/>
      <c r="FFA13" s="21"/>
      <c r="FFB13" s="21"/>
      <c r="FFC13" s="21"/>
      <c r="FFD13" s="21"/>
      <c r="FFE13" s="21"/>
      <c r="FFF13" s="21"/>
      <c r="FFG13" s="21"/>
      <c r="FFH13" s="21"/>
      <c r="FFI13" s="21"/>
      <c r="FFJ13" s="21"/>
      <c r="FFK13" s="21"/>
      <c r="FFL13" s="21"/>
      <c r="FFM13" s="21"/>
      <c r="FFN13" s="21"/>
      <c r="FFO13" s="21"/>
      <c r="FFP13" s="21"/>
      <c r="FFQ13" s="21"/>
      <c r="FFR13" s="21"/>
      <c r="FFS13" s="21"/>
      <c r="FFT13" s="21"/>
      <c r="FFU13" s="21"/>
      <c r="FFV13" s="21"/>
      <c r="FFW13" s="21"/>
      <c r="FFX13" s="21"/>
      <c r="FFY13" s="21"/>
      <c r="FFZ13" s="21"/>
      <c r="FGA13" s="21"/>
      <c r="FGB13" s="21"/>
      <c r="FGC13" s="21"/>
      <c r="FGD13" s="21"/>
      <c r="FGE13" s="21"/>
      <c r="FGF13" s="21"/>
      <c r="FGG13" s="21"/>
      <c r="FGH13" s="21"/>
      <c r="FGI13" s="21"/>
      <c r="FGJ13" s="21"/>
      <c r="FGK13" s="21"/>
      <c r="FGL13" s="21"/>
      <c r="FGM13" s="21"/>
      <c r="FGN13" s="21"/>
      <c r="FGO13" s="21"/>
      <c r="FGP13" s="21"/>
      <c r="FGQ13" s="21"/>
      <c r="FGR13" s="21"/>
      <c r="FGS13" s="21"/>
      <c r="FGT13" s="21"/>
      <c r="FGU13" s="21"/>
      <c r="FGV13" s="21"/>
      <c r="FGW13" s="21"/>
      <c r="FGX13" s="21"/>
      <c r="FGY13" s="21"/>
      <c r="FGZ13" s="21"/>
      <c r="FHA13" s="21"/>
      <c r="FHB13" s="21"/>
      <c r="FHC13" s="21"/>
      <c r="FHD13" s="21"/>
      <c r="FHE13" s="21"/>
      <c r="FHF13" s="21"/>
      <c r="FHG13" s="21"/>
      <c r="FHH13" s="21"/>
      <c r="FHI13" s="21"/>
      <c r="FHJ13" s="21"/>
      <c r="FHK13" s="21"/>
      <c r="FHL13" s="21"/>
      <c r="FHM13" s="21"/>
      <c r="FHN13" s="21"/>
      <c r="FHO13" s="21"/>
      <c r="FHP13" s="21"/>
      <c r="FHQ13" s="21"/>
      <c r="FHR13" s="21"/>
      <c r="FHS13" s="21"/>
      <c r="FHT13" s="21"/>
      <c r="FHU13" s="21"/>
      <c r="FHV13" s="21"/>
      <c r="FHW13" s="21"/>
      <c r="FHX13" s="21"/>
      <c r="FHY13" s="21"/>
      <c r="FHZ13" s="21"/>
      <c r="FIA13" s="21"/>
      <c r="FIB13" s="21"/>
      <c r="FIC13" s="21"/>
      <c r="FID13" s="21"/>
      <c r="FIE13" s="21"/>
      <c r="FIF13" s="21"/>
      <c r="FIG13" s="21"/>
      <c r="FIH13" s="21"/>
      <c r="FII13" s="21"/>
      <c r="FIJ13" s="21"/>
      <c r="FIK13" s="21"/>
      <c r="FIL13" s="21"/>
      <c r="FIM13" s="21"/>
      <c r="FIN13" s="21"/>
      <c r="FIO13" s="21"/>
      <c r="FIP13" s="21"/>
      <c r="FIQ13" s="21"/>
      <c r="FIR13" s="21"/>
      <c r="FIS13" s="21"/>
      <c r="FIT13" s="21"/>
      <c r="FIU13" s="21"/>
      <c r="FIV13" s="21"/>
      <c r="FIW13" s="21"/>
      <c r="FIX13" s="21"/>
      <c r="FIY13" s="21"/>
      <c r="FIZ13" s="21"/>
      <c r="FJA13" s="21"/>
      <c r="FJB13" s="21"/>
      <c r="FJC13" s="21"/>
      <c r="FJD13" s="21"/>
      <c r="FJE13" s="21"/>
      <c r="FJF13" s="21"/>
      <c r="FJG13" s="21"/>
      <c r="FJH13" s="21"/>
      <c r="FJI13" s="21"/>
      <c r="FJJ13" s="21"/>
      <c r="FJK13" s="21"/>
      <c r="FJL13" s="21"/>
      <c r="FJM13" s="21"/>
      <c r="FJN13" s="21"/>
      <c r="FJO13" s="21"/>
      <c r="FJP13" s="21"/>
      <c r="FJQ13" s="21"/>
      <c r="FJR13" s="21"/>
      <c r="FJS13" s="21"/>
      <c r="FJT13" s="21"/>
      <c r="FJU13" s="21"/>
      <c r="FJV13" s="21"/>
      <c r="FJW13" s="21"/>
      <c r="FJX13" s="21"/>
      <c r="FJY13" s="21"/>
      <c r="FJZ13" s="21"/>
      <c r="FKA13" s="21"/>
      <c r="FKB13" s="21"/>
      <c r="FKC13" s="21"/>
      <c r="FKD13" s="21"/>
      <c r="FKE13" s="21"/>
      <c r="FKF13" s="21"/>
      <c r="FKG13" s="21"/>
      <c r="FKH13" s="21"/>
      <c r="FKI13" s="21"/>
      <c r="FKJ13" s="21"/>
      <c r="FKK13" s="21"/>
      <c r="FKL13" s="21"/>
      <c r="FKM13" s="21"/>
      <c r="FKN13" s="21"/>
      <c r="FKO13" s="21"/>
      <c r="FKP13" s="21"/>
      <c r="FKQ13" s="21"/>
      <c r="FKR13" s="21"/>
      <c r="FKS13" s="21"/>
      <c r="FKT13" s="21"/>
      <c r="FKU13" s="21"/>
      <c r="FKV13" s="21"/>
      <c r="FKW13" s="21"/>
      <c r="FKX13" s="21"/>
      <c r="FKY13" s="21"/>
      <c r="FKZ13" s="21"/>
      <c r="FLA13" s="21"/>
      <c r="FLB13" s="21"/>
      <c r="FLC13" s="21"/>
      <c r="FLD13" s="21"/>
      <c r="FLE13" s="21"/>
      <c r="FLF13" s="21"/>
      <c r="FLG13" s="21"/>
      <c r="FLH13" s="21"/>
      <c r="FLI13" s="21"/>
      <c r="FLJ13" s="21"/>
      <c r="FLK13" s="21"/>
      <c r="FLL13" s="21"/>
      <c r="FLM13" s="21"/>
      <c r="FLN13" s="21"/>
      <c r="FLO13" s="21"/>
      <c r="FLP13" s="21"/>
      <c r="FLQ13" s="21"/>
      <c r="FLR13" s="21"/>
      <c r="FLS13" s="21"/>
      <c r="FLT13" s="21"/>
      <c r="FLU13" s="21"/>
      <c r="FLV13" s="21"/>
      <c r="FLW13" s="21"/>
      <c r="FLX13" s="21"/>
      <c r="FLY13" s="21"/>
      <c r="FLZ13" s="21"/>
      <c r="FMA13" s="21"/>
      <c r="FMB13" s="21"/>
      <c r="FMC13" s="21"/>
      <c r="FMD13" s="21"/>
      <c r="FME13" s="21"/>
      <c r="FMF13" s="21"/>
      <c r="FMG13" s="21"/>
      <c r="FMH13" s="21"/>
      <c r="FMI13" s="21"/>
      <c r="FMJ13" s="21"/>
      <c r="FMK13" s="21"/>
      <c r="FML13" s="21"/>
      <c r="FMM13" s="21"/>
      <c r="FMN13" s="21"/>
      <c r="FMO13" s="21"/>
      <c r="FMP13" s="21"/>
      <c r="FMQ13" s="21"/>
      <c r="FMR13" s="21"/>
      <c r="FMS13" s="21"/>
      <c r="FMT13" s="21"/>
      <c r="FMU13" s="21"/>
      <c r="FMV13" s="21"/>
      <c r="FMW13" s="21"/>
      <c r="FMX13" s="21"/>
      <c r="FMY13" s="21"/>
      <c r="FMZ13" s="21"/>
      <c r="FNA13" s="21"/>
      <c r="FNB13" s="21"/>
      <c r="FNC13" s="21"/>
      <c r="FND13" s="21"/>
      <c r="FNE13" s="21"/>
      <c r="FNF13" s="21"/>
      <c r="FNG13" s="21"/>
      <c r="FNH13" s="21"/>
      <c r="FNI13" s="21"/>
      <c r="FNJ13" s="21"/>
      <c r="FNK13" s="21"/>
      <c r="FNL13" s="21"/>
      <c r="FNM13" s="21"/>
      <c r="FNN13" s="21"/>
      <c r="FNO13" s="21"/>
      <c r="FNP13" s="21"/>
      <c r="FNQ13" s="21"/>
      <c r="FNR13" s="21"/>
      <c r="FNS13" s="21"/>
      <c r="FNT13" s="21"/>
      <c r="FNU13" s="21"/>
      <c r="FNV13" s="21"/>
      <c r="FNW13" s="21"/>
      <c r="FNX13" s="21"/>
      <c r="FNY13" s="21"/>
      <c r="FNZ13" s="21"/>
      <c r="FOA13" s="21"/>
      <c r="FOB13" s="21"/>
      <c r="FOC13" s="21"/>
      <c r="FOD13" s="21"/>
      <c r="FOE13" s="21"/>
      <c r="FOF13" s="21"/>
      <c r="FOG13" s="21"/>
      <c r="FOH13" s="21"/>
      <c r="FOI13" s="21"/>
      <c r="FOJ13" s="21"/>
      <c r="FOK13" s="21"/>
      <c r="FOL13" s="21"/>
      <c r="FOM13" s="21"/>
      <c r="FON13" s="21"/>
      <c r="FOO13" s="21"/>
      <c r="FOP13" s="21"/>
      <c r="FOQ13" s="21"/>
      <c r="FOR13" s="21"/>
      <c r="FOS13" s="21"/>
      <c r="FOT13" s="21"/>
      <c r="FOU13" s="21"/>
      <c r="FOV13" s="21"/>
      <c r="FOW13" s="21"/>
      <c r="FOX13" s="21"/>
      <c r="FOY13" s="21"/>
      <c r="FOZ13" s="21"/>
      <c r="FPA13" s="21"/>
      <c r="FPB13" s="21"/>
      <c r="FPC13" s="21"/>
      <c r="FPD13" s="21"/>
      <c r="FPE13" s="21"/>
      <c r="FPF13" s="21"/>
      <c r="FPG13" s="21"/>
      <c r="FPH13" s="21"/>
      <c r="FPI13" s="21"/>
      <c r="FPJ13" s="21"/>
      <c r="FPK13" s="21"/>
      <c r="FPL13" s="21"/>
      <c r="FPM13" s="21"/>
      <c r="FPN13" s="21"/>
      <c r="FPO13" s="21"/>
      <c r="FPP13" s="21"/>
      <c r="FPQ13" s="21"/>
      <c r="FPR13" s="21"/>
      <c r="FPS13" s="21"/>
      <c r="FPT13" s="21"/>
      <c r="FPU13" s="21"/>
      <c r="FPV13" s="21"/>
      <c r="FPW13" s="21"/>
      <c r="FPX13" s="21"/>
      <c r="FPY13" s="21"/>
      <c r="FPZ13" s="21"/>
      <c r="FQA13" s="21"/>
      <c r="FQB13" s="21"/>
      <c r="FQC13" s="21"/>
      <c r="FQD13" s="21"/>
      <c r="FQE13" s="21"/>
      <c r="FQF13" s="21"/>
      <c r="FQG13" s="21"/>
      <c r="FQH13" s="21"/>
      <c r="FQI13" s="21"/>
      <c r="FQJ13" s="21"/>
      <c r="FQK13" s="21"/>
      <c r="FQL13" s="21"/>
      <c r="FQM13" s="21"/>
      <c r="FQN13" s="21"/>
      <c r="FQO13" s="21"/>
      <c r="FQP13" s="21"/>
      <c r="FQQ13" s="21"/>
      <c r="FQR13" s="21"/>
      <c r="FQS13" s="21"/>
      <c r="FQT13" s="21"/>
      <c r="FQU13" s="21"/>
      <c r="FQV13" s="21"/>
      <c r="FQW13" s="21"/>
      <c r="FQX13" s="21"/>
      <c r="FQY13" s="21"/>
      <c r="FQZ13" s="21"/>
      <c r="FRA13" s="21"/>
      <c r="FRB13" s="21"/>
      <c r="FRC13" s="21"/>
      <c r="FRD13" s="21"/>
      <c r="FRE13" s="21"/>
      <c r="FRF13" s="21"/>
      <c r="FRG13" s="21"/>
      <c r="FRH13" s="21"/>
      <c r="FRI13" s="21"/>
      <c r="FRJ13" s="21"/>
      <c r="FRK13" s="21"/>
      <c r="FRL13" s="21"/>
      <c r="FRM13" s="21"/>
      <c r="FRN13" s="21"/>
      <c r="FRO13" s="21"/>
      <c r="FRP13" s="21"/>
      <c r="FRQ13" s="21"/>
      <c r="FRR13" s="21"/>
      <c r="FRS13" s="21"/>
      <c r="FRT13" s="21"/>
      <c r="FRU13" s="21"/>
      <c r="FRV13" s="21"/>
      <c r="FRW13" s="21"/>
      <c r="FRX13" s="21"/>
      <c r="FRY13" s="21"/>
      <c r="FRZ13" s="21"/>
      <c r="FSA13" s="21"/>
      <c r="FSB13" s="21"/>
      <c r="FSC13" s="21"/>
      <c r="FSD13" s="21"/>
      <c r="FSE13" s="21"/>
      <c r="FSF13" s="21"/>
      <c r="FSG13" s="21"/>
      <c r="FSH13" s="21"/>
      <c r="FSI13" s="21"/>
      <c r="FSJ13" s="21"/>
      <c r="FSK13" s="21"/>
      <c r="FSL13" s="21"/>
      <c r="FSM13" s="21"/>
      <c r="FSN13" s="21"/>
      <c r="FSO13" s="21"/>
      <c r="FSP13" s="21"/>
      <c r="FSQ13" s="21"/>
      <c r="FSR13" s="21"/>
      <c r="FSS13" s="21"/>
      <c r="FST13" s="21"/>
      <c r="FSU13" s="21"/>
      <c r="FSV13" s="21"/>
      <c r="FSW13" s="21"/>
      <c r="FSX13" s="21"/>
      <c r="FSY13" s="21"/>
      <c r="FSZ13" s="21"/>
      <c r="FTA13" s="21"/>
      <c r="FTB13" s="21"/>
      <c r="FTC13" s="21"/>
      <c r="FTD13" s="21"/>
      <c r="FTE13" s="21"/>
      <c r="FTF13" s="21"/>
      <c r="FTG13" s="21"/>
      <c r="FTH13" s="21"/>
      <c r="FTI13" s="21"/>
      <c r="FTJ13" s="21"/>
      <c r="FTK13" s="21"/>
      <c r="FTL13" s="21"/>
      <c r="FTM13" s="21"/>
      <c r="FTN13" s="21"/>
      <c r="FTO13" s="21"/>
      <c r="FTP13" s="21"/>
      <c r="FTQ13" s="21"/>
      <c r="FTR13" s="21"/>
      <c r="FTS13" s="21"/>
      <c r="FTT13" s="21"/>
      <c r="FTU13" s="21"/>
      <c r="FTV13" s="21"/>
      <c r="FTW13" s="21"/>
      <c r="FTX13" s="21"/>
      <c r="FTY13" s="21"/>
      <c r="FTZ13" s="21"/>
      <c r="FUA13" s="21"/>
      <c r="FUB13" s="21"/>
      <c r="FUC13" s="21"/>
      <c r="FUD13" s="21"/>
      <c r="FUE13" s="21"/>
      <c r="FUF13" s="21"/>
      <c r="FUG13" s="21"/>
      <c r="FUH13" s="21"/>
      <c r="FUI13" s="21"/>
      <c r="FUJ13" s="21"/>
      <c r="FUK13" s="21"/>
      <c r="FUL13" s="21"/>
      <c r="FUM13" s="21"/>
      <c r="FUN13" s="21"/>
      <c r="FUO13" s="21"/>
      <c r="FUP13" s="21"/>
      <c r="FUQ13" s="21"/>
      <c r="FUR13" s="21"/>
      <c r="FUS13" s="21"/>
      <c r="FUT13" s="21"/>
      <c r="FUU13" s="21"/>
      <c r="FUV13" s="21"/>
      <c r="FUW13" s="21"/>
      <c r="FUX13" s="21"/>
      <c r="FUY13" s="21"/>
      <c r="FUZ13" s="21"/>
      <c r="FVA13" s="21"/>
      <c r="FVB13" s="21"/>
      <c r="FVC13" s="21"/>
      <c r="FVD13" s="21"/>
      <c r="FVE13" s="21"/>
      <c r="FVF13" s="21"/>
      <c r="FVG13" s="21"/>
      <c r="FVH13" s="21"/>
      <c r="FVI13" s="21"/>
      <c r="FVJ13" s="21"/>
      <c r="FVK13" s="21"/>
      <c r="FVL13" s="21"/>
      <c r="FVM13" s="21"/>
      <c r="FVN13" s="21"/>
      <c r="FVO13" s="21"/>
      <c r="FVP13" s="21"/>
      <c r="FVQ13" s="21"/>
      <c r="FVR13" s="21"/>
      <c r="FVS13" s="21"/>
      <c r="FVT13" s="21"/>
      <c r="FVU13" s="21"/>
      <c r="FVV13" s="21"/>
      <c r="FVW13" s="21"/>
      <c r="FVX13" s="21"/>
      <c r="FVY13" s="21"/>
      <c r="FVZ13" s="21"/>
      <c r="FWA13" s="21"/>
      <c r="FWB13" s="21"/>
      <c r="FWC13" s="21"/>
      <c r="FWD13" s="21"/>
      <c r="FWE13" s="21"/>
      <c r="FWF13" s="21"/>
      <c r="FWG13" s="21"/>
      <c r="FWH13" s="21"/>
      <c r="FWI13" s="21"/>
      <c r="FWJ13" s="21"/>
      <c r="FWK13" s="21"/>
      <c r="FWL13" s="21"/>
      <c r="FWM13" s="21"/>
      <c r="FWN13" s="21"/>
      <c r="FWO13" s="21"/>
      <c r="FWP13" s="21"/>
      <c r="FWQ13" s="21"/>
      <c r="FWR13" s="21"/>
      <c r="FWS13" s="21"/>
      <c r="FWT13" s="21"/>
      <c r="FWU13" s="21"/>
      <c r="FWV13" s="21"/>
      <c r="FWW13" s="21"/>
      <c r="FWX13" s="21"/>
      <c r="FWY13" s="21"/>
      <c r="FWZ13" s="21"/>
      <c r="FXA13" s="21"/>
      <c r="FXB13" s="21"/>
      <c r="FXC13" s="21"/>
      <c r="FXD13" s="21"/>
      <c r="FXE13" s="21"/>
      <c r="FXF13" s="21"/>
      <c r="FXG13" s="21"/>
      <c r="FXH13" s="21"/>
      <c r="FXI13" s="21"/>
      <c r="FXJ13" s="21"/>
      <c r="FXK13" s="21"/>
      <c r="FXL13" s="21"/>
      <c r="FXM13" s="21"/>
      <c r="FXN13" s="21"/>
      <c r="FXO13" s="21"/>
      <c r="FXP13" s="21"/>
      <c r="FXQ13" s="21"/>
      <c r="FXR13" s="21"/>
      <c r="FXS13" s="21"/>
      <c r="FXT13" s="21"/>
      <c r="FXU13" s="21"/>
      <c r="FXV13" s="21"/>
      <c r="FXW13" s="21"/>
      <c r="FXX13" s="21"/>
      <c r="FXY13" s="21"/>
      <c r="FXZ13" s="21"/>
      <c r="FYA13" s="21"/>
      <c r="FYB13" s="21"/>
      <c r="FYC13" s="21"/>
      <c r="FYD13" s="21"/>
      <c r="FYE13" s="21"/>
      <c r="FYF13" s="21"/>
      <c r="FYG13" s="21"/>
      <c r="FYH13" s="21"/>
      <c r="FYI13" s="21"/>
      <c r="FYJ13" s="21"/>
      <c r="FYK13" s="21"/>
      <c r="FYL13" s="21"/>
      <c r="FYM13" s="21"/>
      <c r="FYN13" s="21"/>
      <c r="FYO13" s="21"/>
      <c r="FYP13" s="21"/>
      <c r="FYQ13" s="21"/>
      <c r="FYR13" s="21"/>
      <c r="FYS13" s="21"/>
      <c r="FYT13" s="21"/>
      <c r="FYU13" s="21"/>
      <c r="FYV13" s="21"/>
      <c r="FYW13" s="21"/>
      <c r="FYX13" s="21"/>
      <c r="FYY13" s="21"/>
      <c r="FYZ13" s="21"/>
      <c r="FZA13" s="21"/>
      <c r="FZB13" s="21"/>
      <c r="FZC13" s="21"/>
      <c r="FZD13" s="21"/>
      <c r="FZE13" s="21"/>
      <c r="FZF13" s="21"/>
      <c r="FZG13" s="21"/>
      <c r="FZH13" s="21"/>
      <c r="FZI13" s="21"/>
      <c r="FZJ13" s="21"/>
      <c r="FZK13" s="21"/>
      <c r="FZL13" s="21"/>
      <c r="FZM13" s="21"/>
      <c r="FZN13" s="21"/>
      <c r="FZO13" s="21"/>
      <c r="FZP13" s="21"/>
      <c r="FZQ13" s="21"/>
      <c r="FZR13" s="21"/>
      <c r="FZS13" s="21"/>
      <c r="FZT13" s="21"/>
      <c r="FZU13" s="21"/>
      <c r="FZV13" s="21"/>
      <c r="FZW13" s="21"/>
      <c r="FZX13" s="21"/>
      <c r="FZY13" s="21"/>
      <c r="FZZ13" s="21"/>
      <c r="GAA13" s="21"/>
      <c r="GAB13" s="21"/>
      <c r="GAC13" s="21"/>
      <c r="GAD13" s="21"/>
      <c r="GAE13" s="21"/>
      <c r="GAF13" s="21"/>
      <c r="GAG13" s="21"/>
      <c r="GAH13" s="21"/>
      <c r="GAI13" s="21"/>
      <c r="GAJ13" s="21"/>
      <c r="GAK13" s="21"/>
      <c r="GAL13" s="21"/>
      <c r="GAM13" s="21"/>
      <c r="GAN13" s="21"/>
      <c r="GAO13" s="21"/>
      <c r="GAP13" s="21"/>
      <c r="GAQ13" s="21"/>
      <c r="GAR13" s="21"/>
      <c r="GAS13" s="21"/>
      <c r="GAT13" s="21"/>
      <c r="GAU13" s="21"/>
      <c r="GAV13" s="21"/>
      <c r="GAW13" s="21"/>
      <c r="GAX13" s="21"/>
      <c r="GAY13" s="21"/>
      <c r="GAZ13" s="21"/>
      <c r="GBA13" s="21"/>
      <c r="GBB13" s="21"/>
      <c r="GBC13" s="21"/>
      <c r="GBD13" s="21"/>
      <c r="GBE13" s="21"/>
      <c r="GBF13" s="21"/>
      <c r="GBG13" s="21"/>
      <c r="GBH13" s="21"/>
      <c r="GBI13" s="21"/>
      <c r="GBJ13" s="21"/>
      <c r="GBK13" s="21"/>
      <c r="GBL13" s="21"/>
      <c r="GBM13" s="21"/>
      <c r="GBN13" s="21"/>
      <c r="GBO13" s="21"/>
      <c r="GBP13" s="21"/>
      <c r="GBQ13" s="21"/>
      <c r="GBR13" s="21"/>
      <c r="GBS13" s="21"/>
      <c r="GBT13" s="21"/>
      <c r="GBU13" s="21"/>
      <c r="GBV13" s="21"/>
      <c r="GBW13" s="21"/>
      <c r="GBX13" s="21"/>
      <c r="GBY13" s="21"/>
      <c r="GBZ13" s="21"/>
      <c r="GCA13" s="21"/>
      <c r="GCB13" s="21"/>
      <c r="GCC13" s="21"/>
      <c r="GCD13" s="21"/>
      <c r="GCE13" s="21"/>
      <c r="GCF13" s="21"/>
      <c r="GCG13" s="21"/>
      <c r="GCH13" s="21"/>
      <c r="GCI13" s="21"/>
      <c r="GCJ13" s="21"/>
      <c r="GCK13" s="21"/>
      <c r="GCL13" s="21"/>
      <c r="GCM13" s="21"/>
      <c r="GCN13" s="21"/>
      <c r="GCO13" s="21"/>
      <c r="GCP13" s="21"/>
      <c r="GCQ13" s="21"/>
      <c r="GCR13" s="21"/>
      <c r="GCS13" s="21"/>
      <c r="GCT13" s="21"/>
      <c r="GCU13" s="21"/>
      <c r="GCV13" s="21"/>
      <c r="GCW13" s="21"/>
      <c r="GCX13" s="21"/>
      <c r="GCY13" s="21"/>
      <c r="GCZ13" s="21"/>
      <c r="GDA13" s="21"/>
      <c r="GDB13" s="21"/>
      <c r="GDC13" s="21"/>
      <c r="GDD13" s="21"/>
      <c r="GDE13" s="21"/>
      <c r="GDF13" s="21"/>
      <c r="GDG13" s="21"/>
      <c r="GDH13" s="21"/>
      <c r="GDI13" s="21"/>
      <c r="GDJ13" s="21"/>
      <c r="GDK13" s="21"/>
      <c r="GDL13" s="21"/>
      <c r="GDM13" s="21"/>
      <c r="GDN13" s="21"/>
      <c r="GDO13" s="21"/>
      <c r="GDP13" s="21"/>
      <c r="GDQ13" s="21"/>
      <c r="GDR13" s="21"/>
      <c r="GDS13" s="21"/>
      <c r="GDT13" s="21"/>
      <c r="GDU13" s="21"/>
      <c r="GDV13" s="21"/>
      <c r="GDW13" s="21"/>
      <c r="GDX13" s="21"/>
      <c r="GDY13" s="21"/>
      <c r="GDZ13" s="21"/>
      <c r="GEA13" s="21"/>
      <c r="GEB13" s="21"/>
      <c r="GEC13" s="21"/>
      <c r="GED13" s="21"/>
      <c r="GEE13" s="21"/>
      <c r="GEF13" s="21"/>
      <c r="GEG13" s="21"/>
      <c r="GEH13" s="21"/>
      <c r="GEI13" s="21"/>
      <c r="GEJ13" s="21"/>
      <c r="GEK13" s="21"/>
      <c r="GEL13" s="21"/>
      <c r="GEM13" s="21"/>
      <c r="GEN13" s="21"/>
      <c r="GEO13" s="21"/>
      <c r="GEP13" s="21"/>
      <c r="GEQ13" s="21"/>
      <c r="GER13" s="21"/>
      <c r="GES13" s="21"/>
      <c r="GET13" s="21"/>
      <c r="GEU13" s="21"/>
      <c r="GEV13" s="21"/>
      <c r="GEW13" s="21"/>
      <c r="GEX13" s="21"/>
      <c r="GEY13" s="21"/>
      <c r="GEZ13" s="21"/>
      <c r="GFA13" s="21"/>
      <c r="GFB13" s="21"/>
      <c r="GFC13" s="21"/>
      <c r="GFD13" s="21"/>
      <c r="GFE13" s="21"/>
      <c r="GFF13" s="21"/>
      <c r="GFG13" s="21"/>
      <c r="GFH13" s="21"/>
      <c r="GFI13" s="21"/>
      <c r="GFJ13" s="21"/>
      <c r="GFK13" s="21"/>
      <c r="GFL13" s="21"/>
      <c r="GFM13" s="21"/>
      <c r="GFN13" s="21"/>
      <c r="GFO13" s="21"/>
      <c r="GFP13" s="21"/>
      <c r="GFQ13" s="21"/>
      <c r="GFR13" s="21"/>
      <c r="GFS13" s="21"/>
      <c r="GFT13" s="21"/>
      <c r="GFU13" s="21"/>
      <c r="GFV13" s="21"/>
      <c r="GFW13" s="21"/>
      <c r="GFX13" s="21"/>
      <c r="GFY13" s="21"/>
      <c r="GFZ13" s="21"/>
      <c r="GGA13" s="21"/>
      <c r="GGB13" s="21"/>
      <c r="GGC13" s="21"/>
      <c r="GGD13" s="21"/>
      <c r="GGE13" s="21"/>
      <c r="GGF13" s="21"/>
      <c r="GGG13" s="21"/>
      <c r="GGH13" s="21"/>
      <c r="GGI13" s="21"/>
      <c r="GGJ13" s="21"/>
      <c r="GGK13" s="21"/>
      <c r="GGL13" s="21"/>
      <c r="GGM13" s="21"/>
      <c r="GGN13" s="21"/>
      <c r="GGO13" s="21"/>
      <c r="GGP13" s="21"/>
      <c r="GGQ13" s="21"/>
      <c r="GGR13" s="21"/>
      <c r="GGS13" s="21"/>
      <c r="GGT13" s="21"/>
      <c r="GGU13" s="21"/>
      <c r="GGV13" s="21"/>
      <c r="GGW13" s="21"/>
      <c r="GGX13" s="21"/>
      <c r="GGY13" s="21"/>
      <c r="GGZ13" s="21"/>
      <c r="GHA13" s="21"/>
      <c r="GHB13" s="21"/>
      <c r="GHC13" s="21"/>
      <c r="GHD13" s="21"/>
      <c r="GHE13" s="21"/>
      <c r="GHF13" s="21"/>
      <c r="GHG13" s="21"/>
      <c r="GHH13" s="21"/>
      <c r="GHI13" s="21"/>
      <c r="GHJ13" s="21"/>
      <c r="GHK13" s="21"/>
      <c r="GHL13" s="21"/>
      <c r="GHM13" s="21"/>
      <c r="GHN13" s="21"/>
      <c r="GHO13" s="21"/>
      <c r="GHP13" s="21"/>
      <c r="GHQ13" s="21"/>
      <c r="GHR13" s="21"/>
      <c r="GHS13" s="21"/>
      <c r="GHT13" s="21"/>
      <c r="GHU13" s="21"/>
      <c r="GHV13" s="21"/>
      <c r="GHW13" s="21"/>
      <c r="GHX13" s="21"/>
      <c r="GHY13" s="21"/>
      <c r="GHZ13" s="21"/>
      <c r="GIA13" s="21"/>
      <c r="GIB13" s="21"/>
      <c r="GIC13" s="21"/>
      <c r="GID13" s="21"/>
      <c r="GIE13" s="21"/>
      <c r="GIF13" s="21"/>
      <c r="GIG13" s="21"/>
      <c r="GIH13" s="21"/>
      <c r="GII13" s="21"/>
      <c r="GIJ13" s="21"/>
      <c r="GIK13" s="21"/>
      <c r="GIL13" s="21"/>
      <c r="GIM13" s="21"/>
      <c r="GIN13" s="21"/>
      <c r="GIO13" s="21"/>
      <c r="GIP13" s="21"/>
      <c r="GIQ13" s="21"/>
      <c r="GIR13" s="21"/>
      <c r="GIS13" s="21"/>
      <c r="GIT13" s="21"/>
      <c r="GIU13" s="21"/>
      <c r="GIV13" s="21"/>
      <c r="GIW13" s="21"/>
      <c r="GIX13" s="21"/>
      <c r="GIY13" s="21"/>
      <c r="GIZ13" s="21"/>
      <c r="GJA13" s="21"/>
      <c r="GJB13" s="21"/>
      <c r="GJC13" s="21"/>
      <c r="GJD13" s="21"/>
      <c r="GJE13" s="21"/>
      <c r="GJF13" s="21"/>
      <c r="GJG13" s="21"/>
      <c r="GJH13" s="21"/>
      <c r="GJI13" s="21"/>
      <c r="GJJ13" s="21"/>
      <c r="GJK13" s="21"/>
      <c r="GJL13" s="21"/>
      <c r="GJM13" s="21"/>
      <c r="GJN13" s="21"/>
      <c r="GJO13" s="21"/>
      <c r="GJP13" s="21"/>
      <c r="GJQ13" s="21"/>
      <c r="GJR13" s="21"/>
      <c r="GJS13" s="21"/>
      <c r="GJT13" s="21"/>
      <c r="GJU13" s="21"/>
      <c r="GJV13" s="21"/>
      <c r="GJW13" s="21"/>
      <c r="GJX13" s="21"/>
      <c r="GJY13" s="21"/>
      <c r="GJZ13" s="21"/>
      <c r="GKA13" s="21"/>
      <c r="GKB13" s="21"/>
      <c r="GKC13" s="21"/>
      <c r="GKD13" s="21"/>
      <c r="GKE13" s="21"/>
      <c r="GKF13" s="21"/>
      <c r="GKG13" s="21"/>
      <c r="GKH13" s="21"/>
      <c r="GKI13" s="21"/>
      <c r="GKJ13" s="21"/>
      <c r="GKK13" s="21"/>
      <c r="GKL13" s="21"/>
      <c r="GKM13" s="21"/>
      <c r="GKN13" s="21"/>
      <c r="GKO13" s="21"/>
      <c r="GKP13" s="21"/>
      <c r="GKQ13" s="21"/>
      <c r="GKR13" s="21"/>
      <c r="GKS13" s="21"/>
      <c r="GKT13" s="21"/>
      <c r="GKU13" s="21"/>
      <c r="GKV13" s="21"/>
      <c r="GKW13" s="21"/>
      <c r="GKX13" s="21"/>
      <c r="GKY13" s="21"/>
      <c r="GKZ13" s="21"/>
      <c r="GLA13" s="21"/>
      <c r="GLB13" s="21"/>
      <c r="GLC13" s="21"/>
      <c r="GLD13" s="21"/>
      <c r="GLE13" s="21"/>
      <c r="GLF13" s="21"/>
      <c r="GLG13" s="21"/>
      <c r="GLH13" s="21"/>
      <c r="GLI13" s="21"/>
      <c r="GLJ13" s="21"/>
      <c r="GLK13" s="21"/>
      <c r="GLL13" s="21"/>
      <c r="GLM13" s="21"/>
      <c r="GLN13" s="21"/>
      <c r="GLO13" s="21"/>
      <c r="GLP13" s="21"/>
      <c r="GLQ13" s="21"/>
      <c r="GLR13" s="21"/>
      <c r="GLS13" s="21"/>
      <c r="GLT13" s="21"/>
      <c r="GLU13" s="21"/>
      <c r="GLV13" s="21"/>
      <c r="GLW13" s="21"/>
      <c r="GLX13" s="21"/>
      <c r="GLY13" s="21"/>
      <c r="GLZ13" s="21"/>
      <c r="GMA13" s="21"/>
      <c r="GMB13" s="21"/>
      <c r="GMC13" s="21"/>
      <c r="GMD13" s="21"/>
      <c r="GME13" s="21"/>
      <c r="GMF13" s="21"/>
      <c r="GMG13" s="21"/>
      <c r="GMH13" s="21"/>
      <c r="GMI13" s="21"/>
      <c r="GMJ13" s="21"/>
      <c r="GMK13" s="21"/>
      <c r="GML13" s="21"/>
      <c r="GMM13" s="21"/>
      <c r="GMN13" s="21"/>
      <c r="GMO13" s="21"/>
      <c r="GMP13" s="21"/>
      <c r="GMQ13" s="21"/>
      <c r="GMR13" s="21"/>
      <c r="GMS13" s="21"/>
      <c r="GMT13" s="21"/>
      <c r="GMU13" s="21"/>
      <c r="GMV13" s="21"/>
      <c r="GMW13" s="21"/>
      <c r="GMX13" s="21"/>
      <c r="GMY13" s="21"/>
      <c r="GMZ13" s="21"/>
      <c r="GNA13" s="21"/>
      <c r="GNB13" s="21"/>
      <c r="GNC13" s="21"/>
      <c r="GND13" s="21"/>
      <c r="GNE13" s="21"/>
      <c r="GNF13" s="21"/>
      <c r="GNG13" s="21"/>
      <c r="GNH13" s="21"/>
      <c r="GNI13" s="21"/>
      <c r="GNJ13" s="21"/>
      <c r="GNK13" s="21"/>
      <c r="GNL13" s="21"/>
      <c r="GNM13" s="21"/>
      <c r="GNN13" s="21"/>
      <c r="GNO13" s="21"/>
      <c r="GNP13" s="21"/>
      <c r="GNQ13" s="21"/>
      <c r="GNR13" s="21"/>
      <c r="GNS13" s="21"/>
      <c r="GNT13" s="21"/>
      <c r="GNU13" s="21"/>
      <c r="GNV13" s="21"/>
      <c r="GNW13" s="21"/>
      <c r="GNX13" s="21"/>
      <c r="GNY13" s="21"/>
      <c r="GNZ13" s="21"/>
      <c r="GOA13" s="21"/>
      <c r="GOB13" s="21"/>
      <c r="GOC13" s="21"/>
      <c r="GOD13" s="21"/>
      <c r="GOE13" s="21"/>
      <c r="GOF13" s="21"/>
      <c r="GOG13" s="21"/>
      <c r="GOH13" s="21"/>
      <c r="GOI13" s="21"/>
      <c r="GOJ13" s="21"/>
      <c r="GOK13" s="21"/>
      <c r="GOL13" s="21"/>
      <c r="GOM13" s="21"/>
      <c r="GON13" s="21"/>
      <c r="GOO13" s="21"/>
      <c r="GOP13" s="21"/>
      <c r="GOQ13" s="21"/>
      <c r="GOR13" s="21"/>
      <c r="GOS13" s="21"/>
      <c r="GOT13" s="21"/>
      <c r="GOU13" s="21"/>
      <c r="GOV13" s="21"/>
      <c r="GOW13" s="21"/>
      <c r="GOX13" s="21"/>
      <c r="GOY13" s="21"/>
      <c r="GOZ13" s="21"/>
      <c r="GPA13" s="21"/>
      <c r="GPB13" s="21"/>
      <c r="GPC13" s="21"/>
      <c r="GPD13" s="21"/>
      <c r="GPE13" s="21"/>
      <c r="GPF13" s="21"/>
      <c r="GPG13" s="21"/>
      <c r="GPH13" s="21"/>
      <c r="GPI13" s="21"/>
      <c r="GPJ13" s="21"/>
      <c r="GPK13" s="21"/>
      <c r="GPL13" s="21"/>
      <c r="GPM13" s="21"/>
      <c r="GPN13" s="21"/>
      <c r="GPO13" s="21"/>
      <c r="GPP13" s="21"/>
      <c r="GPQ13" s="21"/>
      <c r="GPR13" s="21"/>
      <c r="GPS13" s="21"/>
      <c r="GPT13" s="21"/>
      <c r="GPU13" s="21"/>
      <c r="GPV13" s="21"/>
      <c r="GPW13" s="21"/>
      <c r="GPX13" s="21"/>
      <c r="GPY13" s="21"/>
      <c r="GPZ13" s="21"/>
      <c r="GQA13" s="21"/>
      <c r="GQB13" s="21"/>
      <c r="GQC13" s="21"/>
      <c r="GQD13" s="21"/>
      <c r="GQE13" s="21"/>
      <c r="GQF13" s="21"/>
      <c r="GQG13" s="21"/>
      <c r="GQH13" s="21"/>
      <c r="GQI13" s="21"/>
      <c r="GQJ13" s="21"/>
      <c r="GQK13" s="21"/>
      <c r="GQL13" s="21"/>
      <c r="GQM13" s="21"/>
      <c r="GQN13" s="21"/>
      <c r="GQO13" s="21"/>
      <c r="GQP13" s="21"/>
      <c r="GQQ13" s="21"/>
      <c r="GQR13" s="21"/>
      <c r="GQS13" s="21"/>
      <c r="GQT13" s="21"/>
      <c r="GQU13" s="21"/>
      <c r="GQV13" s="21"/>
      <c r="GQW13" s="21"/>
      <c r="GQX13" s="21"/>
      <c r="GQY13" s="21"/>
      <c r="GQZ13" s="21"/>
      <c r="GRA13" s="21"/>
      <c r="GRB13" s="21"/>
      <c r="GRC13" s="21"/>
      <c r="GRD13" s="21"/>
      <c r="GRE13" s="21"/>
      <c r="GRF13" s="21"/>
      <c r="GRG13" s="21"/>
      <c r="GRH13" s="21"/>
      <c r="GRI13" s="21"/>
      <c r="GRJ13" s="21"/>
      <c r="GRK13" s="21"/>
      <c r="GRL13" s="21"/>
      <c r="GRM13" s="21"/>
      <c r="GRN13" s="21"/>
      <c r="GRO13" s="21"/>
      <c r="GRP13" s="21"/>
      <c r="GRQ13" s="21"/>
      <c r="GRR13" s="21"/>
      <c r="GRS13" s="21"/>
      <c r="GRT13" s="21"/>
      <c r="GRU13" s="21"/>
      <c r="GRV13" s="21"/>
      <c r="GRW13" s="21"/>
      <c r="GRX13" s="21"/>
      <c r="GRY13" s="21"/>
      <c r="GRZ13" s="21"/>
      <c r="GSA13" s="21"/>
      <c r="GSB13" s="21"/>
      <c r="GSC13" s="21"/>
      <c r="GSD13" s="21"/>
      <c r="GSE13" s="21"/>
      <c r="GSF13" s="21"/>
      <c r="GSG13" s="21"/>
      <c r="GSH13" s="21"/>
      <c r="GSI13" s="21"/>
      <c r="GSJ13" s="21"/>
      <c r="GSK13" s="21"/>
      <c r="GSL13" s="21"/>
      <c r="GSM13" s="21"/>
      <c r="GSN13" s="21"/>
      <c r="GSO13" s="21"/>
      <c r="GSP13" s="21"/>
      <c r="GSQ13" s="21"/>
      <c r="GSR13" s="21"/>
      <c r="GSS13" s="21"/>
      <c r="GST13" s="21"/>
      <c r="GSU13" s="21"/>
      <c r="GSV13" s="21"/>
      <c r="GSW13" s="21"/>
      <c r="GSX13" s="21"/>
      <c r="GSY13" s="21"/>
      <c r="GSZ13" s="21"/>
      <c r="GTA13" s="21"/>
      <c r="GTB13" s="21"/>
      <c r="GTC13" s="21"/>
      <c r="GTD13" s="21"/>
      <c r="GTE13" s="21"/>
      <c r="GTF13" s="21"/>
      <c r="GTG13" s="21"/>
      <c r="GTH13" s="21"/>
      <c r="GTI13" s="21"/>
      <c r="GTJ13" s="21"/>
      <c r="GTK13" s="21"/>
      <c r="GTL13" s="21"/>
      <c r="GTM13" s="21"/>
      <c r="GTN13" s="21"/>
      <c r="GTO13" s="21"/>
      <c r="GTP13" s="21"/>
      <c r="GTQ13" s="21"/>
      <c r="GTR13" s="21"/>
      <c r="GTS13" s="21"/>
      <c r="GTT13" s="21"/>
      <c r="GTU13" s="21"/>
      <c r="GTV13" s="21"/>
      <c r="GTW13" s="21"/>
      <c r="GTX13" s="21"/>
      <c r="GTY13" s="21"/>
      <c r="GTZ13" s="21"/>
      <c r="GUA13" s="21"/>
      <c r="GUB13" s="21"/>
      <c r="GUC13" s="21"/>
      <c r="GUD13" s="21"/>
      <c r="GUE13" s="21"/>
      <c r="GUF13" s="21"/>
      <c r="GUG13" s="21"/>
      <c r="GUH13" s="21"/>
      <c r="GUI13" s="21"/>
      <c r="GUJ13" s="21"/>
      <c r="GUK13" s="21"/>
      <c r="GUL13" s="21"/>
      <c r="GUM13" s="21"/>
      <c r="GUN13" s="21"/>
      <c r="GUO13" s="21"/>
      <c r="GUP13" s="21"/>
      <c r="GUQ13" s="21"/>
      <c r="GUR13" s="21"/>
      <c r="GUS13" s="21"/>
      <c r="GUT13" s="21"/>
      <c r="GUU13" s="21"/>
      <c r="GUV13" s="21"/>
      <c r="GUW13" s="21"/>
      <c r="GUX13" s="21"/>
      <c r="GUY13" s="21"/>
      <c r="GUZ13" s="21"/>
      <c r="GVA13" s="21"/>
      <c r="GVB13" s="21"/>
      <c r="GVC13" s="21"/>
      <c r="GVD13" s="21"/>
      <c r="GVE13" s="21"/>
      <c r="GVF13" s="21"/>
      <c r="GVG13" s="21"/>
      <c r="GVH13" s="21"/>
      <c r="GVI13" s="21"/>
      <c r="GVJ13" s="21"/>
      <c r="GVK13" s="21"/>
      <c r="GVL13" s="21"/>
      <c r="GVM13" s="21"/>
      <c r="GVN13" s="21"/>
      <c r="GVO13" s="21"/>
      <c r="GVP13" s="21"/>
      <c r="GVQ13" s="21"/>
      <c r="GVR13" s="21"/>
      <c r="GVS13" s="21"/>
      <c r="GVT13" s="21"/>
      <c r="GVU13" s="21"/>
      <c r="GVV13" s="21"/>
      <c r="GVW13" s="21"/>
      <c r="GVX13" s="21"/>
      <c r="GVY13" s="21"/>
      <c r="GVZ13" s="21"/>
      <c r="GWA13" s="21"/>
      <c r="GWB13" s="21"/>
      <c r="GWC13" s="21"/>
      <c r="GWD13" s="21"/>
      <c r="GWE13" s="21"/>
      <c r="GWF13" s="21"/>
      <c r="GWG13" s="21"/>
      <c r="GWH13" s="21"/>
      <c r="GWI13" s="21"/>
      <c r="GWJ13" s="21"/>
      <c r="GWK13" s="21"/>
      <c r="GWL13" s="21"/>
      <c r="GWM13" s="21"/>
      <c r="GWN13" s="21"/>
      <c r="GWO13" s="21"/>
      <c r="GWP13" s="21"/>
      <c r="GWQ13" s="21"/>
      <c r="GWR13" s="21"/>
      <c r="GWS13" s="21"/>
      <c r="GWT13" s="21"/>
      <c r="GWU13" s="21"/>
      <c r="GWV13" s="21"/>
      <c r="GWW13" s="21"/>
      <c r="GWX13" s="21"/>
      <c r="GWY13" s="21"/>
      <c r="GWZ13" s="21"/>
      <c r="GXA13" s="21"/>
      <c r="GXB13" s="21"/>
      <c r="GXC13" s="21"/>
      <c r="GXD13" s="21"/>
      <c r="GXE13" s="21"/>
      <c r="GXF13" s="21"/>
      <c r="GXG13" s="21"/>
      <c r="GXH13" s="21"/>
      <c r="GXI13" s="21"/>
      <c r="GXJ13" s="21"/>
      <c r="GXK13" s="21"/>
      <c r="GXL13" s="21"/>
      <c r="GXM13" s="21"/>
      <c r="GXN13" s="21"/>
      <c r="GXO13" s="21"/>
      <c r="GXP13" s="21"/>
      <c r="GXQ13" s="21"/>
      <c r="GXR13" s="21"/>
      <c r="GXS13" s="21"/>
      <c r="GXT13" s="21"/>
      <c r="GXU13" s="21"/>
      <c r="GXV13" s="21"/>
      <c r="GXW13" s="21"/>
      <c r="GXX13" s="21"/>
      <c r="GXY13" s="21"/>
      <c r="GXZ13" s="21"/>
      <c r="GYA13" s="21"/>
      <c r="GYB13" s="21"/>
      <c r="GYC13" s="21"/>
      <c r="GYD13" s="21"/>
      <c r="GYE13" s="21"/>
      <c r="GYF13" s="21"/>
      <c r="GYG13" s="21"/>
      <c r="GYH13" s="21"/>
      <c r="GYI13" s="21"/>
      <c r="GYJ13" s="21"/>
      <c r="GYK13" s="21"/>
      <c r="GYL13" s="21"/>
      <c r="GYM13" s="21"/>
      <c r="GYN13" s="21"/>
      <c r="GYO13" s="21"/>
      <c r="GYP13" s="21"/>
      <c r="GYQ13" s="21"/>
      <c r="GYR13" s="21"/>
      <c r="GYS13" s="21"/>
      <c r="GYT13" s="21"/>
      <c r="GYU13" s="21"/>
      <c r="GYV13" s="21"/>
      <c r="GYW13" s="21"/>
      <c r="GYX13" s="21"/>
      <c r="GYY13" s="21"/>
      <c r="GYZ13" s="21"/>
      <c r="GZA13" s="21"/>
      <c r="GZB13" s="21"/>
      <c r="GZC13" s="21"/>
      <c r="GZD13" s="21"/>
      <c r="GZE13" s="21"/>
      <c r="GZF13" s="21"/>
      <c r="GZG13" s="21"/>
      <c r="GZH13" s="21"/>
      <c r="GZI13" s="21"/>
      <c r="GZJ13" s="21"/>
      <c r="GZK13" s="21"/>
      <c r="GZL13" s="21"/>
      <c r="GZM13" s="21"/>
      <c r="GZN13" s="21"/>
      <c r="GZO13" s="21"/>
      <c r="GZP13" s="21"/>
      <c r="GZQ13" s="21"/>
      <c r="GZR13" s="21"/>
      <c r="GZS13" s="21"/>
      <c r="GZT13" s="21"/>
      <c r="GZU13" s="21"/>
      <c r="GZV13" s="21"/>
      <c r="GZW13" s="21"/>
      <c r="GZX13" s="21"/>
      <c r="GZY13" s="21"/>
      <c r="GZZ13" s="21"/>
      <c r="HAA13" s="21"/>
      <c r="HAB13" s="21"/>
      <c r="HAC13" s="21"/>
      <c r="HAD13" s="21"/>
      <c r="HAE13" s="21"/>
      <c r="HAF13" s="21"/>
      <c r="HAG13" s="21"/>
      <c r="HAH13" s="21"/>
      <c r="HAI13" s="21"/>
      <c r="HAJ13" s="21"/>
      <c r="HAK13" s="21"/>
      <c r="HAL13" s="21"/>
      <c r="HAM13" s="21"/>
      <c r="HAN13" s="21"/>
      <c r="HAO13" s="21"/>
      <c r="HAP13" s="21"/>
      <c r="HAQ13" s="21"/>
      <c r="HAR13" s="21"/>
      <c r="HAS13" s="21"/>
      <c r="HAT13" s="21"/>
      <c r="HAU13" s="21"/>
      <c r="HAV13" s="21"/>
      <c r="HAW13" s="21"/>
      <c r="HAX13" s="21"/>
      <c r="HAY13" s="21"/>
      <c r="HAZ13" s="21"/>
      <c r="HBA13" s="21"/>
      <c r="HBB13" s="21"/>
      <c r="HBC13" s="21"/>
      <c r="HBD13" s="21"/>
      <c r="HBE13" s="21"/>
      <c r="HBF13" s="21"/>
      <c r="HBG13" s="21"/>
      <c r="HBH13" s="21"/>
      <c r="HBI13" s="21"/>
      <c r="HBJ13" s="21"/>
      <c r="HBK13" s="21"/>
      <c r="HBL13" s="21"/>
      <c r="HBM13" s="21"/>
      <c r="HBN13" s="21"/>
      <c r="HBO13" s="21"/>
      <c r="HBP13" s="21"/>
      <c r="HBQ13" s="21"/>
      <c r="HBR13" s="21"/>
      <c r="HBS13" s="21"/>
      <c r="HBT13" s="21"/>
      <c r="HBU13" s="21"/>
      <c r="HBV13" s="21"/>
      <c r="HBW13" s="21"/>
      <c r="HBX13" s="21"/>
      <c r="HBY13" s="21"/>
      <c r="HBZ13" s="21"/>
      <c r="HCA13" s="21"/>
      <c r="HCB13" s="21"/>
      <c r="HCC13" s="21"/>
      <c r="HCD13" s="21"/>
      <c r="HCE13" s="21"/>
      <c r="HCF13" s="21"/>
      <c r="HCG13" s="21"/>
      <c r="HCH13" s="21"/>
      <c r="HCI13" s="21"/>
      <c r="HCJ13" s="21"/>
      <c r="HCK13" s="21"/>
      <c r="HCL13" s="21"/>
      <c r="HCM13" s="21"/>
      <c r="HCN13" s="21"/>
      <c r="HCO13" s="21"/>
      <c r="HCP13" s="21"/>
      <c r="HCQ13" s="21"/>
      <c r="HCR13" s="21"/>
      <c r="HCS13" s="21"/>
      <c r="HCT13" s="21"/>
      <c r="HCU13" s="21"/>
      <c r="HCV13" s="21"/>
      <c r="HCW13" s="21"/>
      <c r="HCX13" s="21"/>
      <c r="HCY13" s="21"/>
      <c r="HCZ13" s="21"/>
      <c r="HDA13" s="21"/>
      <c r="HDB13" s="21"/>
      <c r="HDC13" s="21"/>
      <c r="HDD13" s="21"/>
      <c r="HDE13" s="21"/>
      <c r="HDF13" s="21"/>
      <c r="HDG13" s="21"/>
      <c r="HDH13" s="21"/>
      <c r="HDI13" s="21"/>
      <c r="HDJ13" s="21"/>
      <c r="HDK13" s="21"/>
      <c r="HDL13" s="21"/>
      <c r="HDM13" s="21"/>
      <c r="HDN13" s="21"/>
      <c r="HDO13" s="21"/>
      <c r="HDP13" s="21"/>
      <c r="HDQ13" s="21"/>
      <c r="HDR13" s="21"/>
      <c r="HDS13" s="21"/>
      <c r="HDT13" s="21"/>
      <c r="HDU13" s="21"/>
      <c r="HDV13" s="21"/>
      <c r="HDW13" s="21"/>
      <c r="HDX13" s="21"/>
      <c r="HDY13" s="21"/>
      <c r="HDZ13" s="21"/>
      <c r="HEA13" s="21"/>
      <c r="HEB13" s="21"/>
      <c r="HEC13" s="21"/>
      <c r="HED13" s="21"/>
      <c r="HEE13" s="21"/>
      <c r="HEF13" s="21"/>
      <c r="HEG13" s="21"/>
      <c r="HEH13" s="21"/>
      <c r="HEI13" s="21"/>
      <c r="HEJ13" s="21"/>
      <c r="HEK13" s="21"/>
      <c r="HEL13" s="21"/>
      <c r="HEM13" s="21"/>
      <c r="HEN13" s="21"/>
      <c r="HEO13" s="21"/>
      <c r="HEP13" s="21"/>
      <c r="HEQ13" s="21"/>
      <c r="HER13" s="21"/>
      <c r="HES13" s="21"/>
      <c r="HET13" s="21"/>
      <c r="HEU13" s="21"/>
      <c r="HEV13" s="21"/>
      <c r="HEW13" s="21"/>
      <c r="HEX13" s="21"/>
      <c r="HEY13" s="21"/>
      <c r="HEZ13" s="21"/>
      <c r="HFA13" s="21"/>
      <c r="HFB13" s="21"/>
      <c r="HFC13" s="21"/>
      <c r="HFD13" s="21"/>
      <c r="HFE13" s="21"/>
      <c r="HFF13" s="21"/>
      <c r="HFG13" s="21"/>
      <c r="HFH13" s="21"/>
      <c r="HFI13" s="21"/>
      <c r="HFJ13" s="21"/>
      <c r="HFK13" s="21"/>
      <c r="HFL13" s="21"/>
      <c r="HFM13" s="21"/>
      <c r="HFN13" s="21"/>
      <c r="HFO13" s="21"/>
      <c r="HFP13" s="21"/>
      <c r="HFQ13" s="21"/>
      <c r="HFR13" s="21"/>
      <c r="HFS13" s="21"/>
      <c r="HFT13" s="21"/>
      <c r="HFU13" s="21"/>
      <c r="HFV13" s="21"/>
      <c r="HFW13" s="21"/>
      <c r="HFX13" s="21"/>
      <c r="HFY13" s="21"/>
      <c r="HFZ13" s="21"/>
      <c r="HGA13" s="21"/>
      <c r="HGB13" s="21"/>
      <c r="HGC13" s="21"/>
      <c r="HGD13" s="21"/>
      <c r="HGE13" s="21"/>
      <c r="HGF13" s="21"/>
      <c r="HGG13" s="21"/>
      <c r="HGH13" s="21"/>
      <c r="HGI13" s="21"/>
      <c r="HGJ13" s="21"/>
      <c r="HGK13" s="21"/>
      <c r="HGL13" s="21"/>
      <c r="HGM13" s="21"/>
      <c r="HGN13" s="21"/>
      <c r="HGO13" s="21"/>
      <c r="HGP13" s="21"/>
      <c r="HGQ13" s="21"/>
      <c r="HGR13" s="21"/>
      <c r="HGS13" s="21"/>
      <c r="HGT13" s="21"/>
      <c r="HGU13" s="21"/>
      <c r="HGV13" s="21"/>
      <c r="HGW13" s="21"/>
      <c r="HGX13" s="21"/>
      <c r="HGY13" s="21"/>
      <c r="HGZ13" s="21"/>
      <c r="HHA13" s="21"/>
      <c r="HHB13" s="21"/>
      <c r="HHC13" s="21"/>
      <c r="HHD13" s="21"/>
      <c r="HHE13" s="21"/>
      <c r="HHF13" s="21"/>
      <c r="HHG13" s="21"/>
      <c r="HHH13" s="21"/>
      <c r="HHI13" s="21"/>
      <c r="HHJ13" s="21"/>
      <c r="HHK13" s="21"/>
      <c r="HHL13" s="21"/>
      <c r="HHM13" s="21"/>
      <c r="HHN13" s="21"/>
      <c r="HHO13" s="21"/>
      <c r="HHP13" s="21"/>
      <c r="HHQ13" s="21"/>
      <c r="HHR13" s="21"/>
      <c r="HHS13" s="21"/>
      <c r="HHT13" s="21"/>
      <c r="HHU13" s="21"/>
      <c r="HHV13" s="21"/>
      <c r="HHW13" s="21"/>
      <c r="HHX13" s="21"/>
      <c r="HHY13" s="21"/>
      <c r="HHZ13" s="21"/>
      <c r="HIA13" s="21"/>
      <c r="HIB13" s="21"/>
      <c r="HIC13" s="21"/>
      <c r="HID13" s="21"/>
      <c r="HIE13" s="21"/>
      <c r="HIF13" s="21"/>
      <c r="HIG13" s="21"/>
      <c r="HIH13" s="21"/>
      <c r="HII13" s="21"/>
      <c r="HIJ13" s="21"/>
      <c r="HIK13" s="21"/>
      <c r="HIL13" s="21"/>
      <c r="HIM13" s="21"/>
      <c r="HIN13" s="21"/>
      <c r="HIO13" s="21"/>
      <c r="HIP13" s="21"/>
      <c r="HIQ13" s="21"/>
      <c r="HIR13" s="21"/>
      <c r="HIS13" s="21"/>
      <c r="HIT13" s="21"/>
      <c r="HIU13" s="21"/>
      <c r="HIV13" s="21"/>
      <c r="HIW13" s="21"/>
      <c r="HIX13" s="21"/>
      <c r="HIY13" s="21"/>
      <c r="HIZ13" s="21"/>
      <c r="HJA13" s="21"/>
      <c r="HJB13" s="21"/>
      <c r="HJC13" s="21"/>
      <c r="HJD13" s="21"/>
      <c r="HJE13" s="21"/>
      <c r="HJF13" s="21"/>
      <c r="HJG13" s="21"/>
      <c r="HJH13" s="21"/>
      <c r="HJI13" s="21"/>
      <c r="HJJ13" s="21"/>
      <c r="HJK13" s="21"/>
      <c r="HJL13" s="21"/>
      <c r="HJM13" s="21"/>
      <c r="HJN13" s="21"/>
      <c r="HJO13" s="21"/>
      <c r="HJP13" s="21"/>
      <c r="HJQ13" s="21"/>
      <c r="HJR13" s="21"/>
      <c r="HJS13" s="21"/>
      <c r="HJT13" s="21"/>
      <c r="HJU13" s="21"/>
      <c r="HJV13" s="21"/>
      <c r="HJW13" s="21"/>
      <c r="HJX13" s="21"/>
      <c r="HJY13" s="21"/>
      <c r="HJZ13" s="21"/>
      <c r="HKA13" s="21"/>
      <c r="HKB13" s="21"/>
      <c r="HKC13" s="21"/>
      <c r="HKD13" s="21"/>
      <c r="HKE13" s="21"/>
      <c r="HKF13" s="21"/>
      <c r="HKG13" s="21"/>
      <c r="HKH13" s="21"/>
      <c r="HKI13" s="21"/>
      <c r="HKJ13" s="21"/>
      <c r="HKK13" s="21"/>
      <c r="HKL13" s="21"/>
      <c r="HKM13" s="21"/>
      <c r="HKN13" s="21"/>
      <c r="HKO13" s="21"/>
      <c r="HKP13" s="21"/>
      <c r="HKQ13" s="21"/>
      <c r="HKR13" s="21"/>
      <c r="HKS13" s="21"/>
      <c r="HKT13" s="21"/>
      <c r="HKU13" s="21"/>
      <c r="HKV13" s="21"/>
      <c r="HKW13" s="21"/>
      <c r="HKX13" s="21"/>
      <c r="HKY13" s="21"/>
      <c r="HKZ13" s="21"/>
      <c r="HLA13" s="21"/>
      <c r="HLB13" s="21"/>
      <c r="HLC13" s="21"/>
      <c r="HLD13" s="21"/>
      <c r="HLE13" s="21"/>
      <c r="HLF13" s="21"/>
      <c r="HLG13" s="21"/>
      <c r="HLH13" s="21"/>
      <c r="HLI13" s="21"/>
      <c r="HLJ13" s="21"/>
      <c r="HLK13" s="21"/>
      <c r="HLL13" s="21"/>
      <c r="HLM13" s="21"/>
      <c r="HLN13" s="21"/>
      <c r="HLO13" s="21"/>
      <c r="HLP13" s="21"/>
      <c r="HLQ13" s="21"/>
      <c r="HLR13" s="21"/>
      <c r="HLS13" s="21"/>
      <c r="HLT13" s="21"/>
      <c r="HLU13" s="21"/>
      <c r="HLV13" s="21"/>
      <c r="HLW13" s="21"/>
      <c r="HLX13" s="21"/>
      <c r="HLY13" s="21"/>
      <c r="HLZ13" s="21"/>
      <c r="HMA13" s="21"/>
      <c r="HMB13" s="21"/>
      <c r="HMC13" s="21"/>
      <c r="HMD13" s="21"/>
      <c r="HME13" s="21"/>
      <c r="HMF13" s="21"/>
      <c r="HMG13" s="21"/>
      <c r="HMH13" s="21"/>
      <c r="HMI13" s="21"/>
      <c r="HMJ13" s="21"/>
      <c r="HMK13" s="21"/>
      <c r="HML13" s="21"/>
      <c r="HMM13" s="21"/>
      <c r="HMN13" s="21"/>
      <c r="HMO13" s="21"/>
      <c r="HMP13" s="21"/>
      <c r="HMQ13" s="21"/>
      <c r="HMR13" s="21"/>
      <c r="HMS13" s="21"/>
      <c r="HMT13" s="21"/>
      <c r="HMU13" s="21"/>
      <c r="HMV13" s="21"/>
      <c r="HMW13" s="21"/>
      <c r="HMX13" s="21"/>
      <c r="HMY13" s="21"/>
      <c r="HMZ13" s="21"/>
      <c r="HNA13" s="21"/>
      <c r="HNB13" s="21"/>
      <c r="HNC13" s="21"/>
      <c r="HND13" s="21"/>
      <c r="HNE13" s="21"/>
      <c r="HNF13" s="21"/>
      <c r="HNG13" s="21"/>
      <c r="HNH13" s="21"/>
      <c r="HNI13" s="21"/>
      <c r="HNJ13" s="21"/>
      <c r="HNK13" s="21"/>
      <c r="HNL13" s="21"/>
      <c r="HNM13" s="21"/>
      <c r="HNN13" s="21"/>
      <c r="HNO13" s="21"/>
      <c r="HNP13" s="21"/>
      <c r="HNQ13" s="21"/>
      <c r="HNR13" s="21"/>
      <c r="HNS13" s="21"/>
      <c r="HNT13" s="21"/>
      <c r="HNU13" s="21"/>
      <c r="HNV13" s="21"/>
      <c r="HNW13" s="21"/>
      <c r="HNX13" s="21"/>
      <c r="HNY13" s="21"/>
      <c r="HNZ13" s="21"/>
      <c r="HOA13" s="21"/>
      <c r="HOB13" s="21"/>
      <c r="HOC13" s="21"/>
      <c r="HOD13" s="21"/>
      <c r="HOE13" s="21"/>
      <c r="HOF13" s="21"/>
      <c r="HOG13" s="21"/>
      <c r="HOH13" s="21"/>
      <c r="HOI13" s="21"/>
      <c r="HOJ13" s="21"/>
      <c r="HOK13" s="21"/>
      <c r="HOL13" s="21"/>
      <c r="HOM13" s="21"/>
      <c r="HON13" s="21"/>
      <c r="HOO13" s="21"/>
      <c r="HOP13" s="21"/>
      <c r="HOQ13" s="21"/>
      <c r="HOR13" s="21"/>
      <c r="HOS13" s="21"/>
      <c r="HOT13" s="21"/>
      <c r="HOU13" s="21"/>
      <c r="HOV13" s="21"/>
      <c r="HOW13" s="21"/>
      <c r="HOX13" s="21"/>
      <c r="HOY13" s="21"/>
      <c r="HOZ13" s="21"/>
      <c r="HPA13" s="21"/>
      <c r="HPB13" s="21"/>
      <c r="HPC13" s="21"/>
      <c r="HPD13" s="21"/>
      <c r="HPE13" s="21"/>
      <c r="HPF13" s="21"/>
      <c r="HPG13" s="21"/>
      <c r="HPH13" s="21"/>
      <c r="HPI13" s="21"/>
      <c r="HPJ13" s="21"/>
      <c r="HPK13" s="21"/>
      <c r="HPL13" s="21"/>
      <c r="HPM13" s="21"/>
      <c r="HPN13" s="21"/>
      <c r="HPO13" s="21"/>
      <c r="HPP13" s="21"/>
      <c r="HPQ13" s="21"/>
      <c r="HPR13" s="21"/>
      <c r="HPS13" s="21"/>
      <c r="HPT13" s="21"/>
      <c r="HPU13" s="21"/>
      <c r="HPV13" s="21"/>
      <c r="HPW13" s="21"/>
      <c r="HPX13" s="21"/>
      <c r="HPY13" s="21"/>
      <c r="HPZ13" s="21"/>
      <c r="HQA13" s="21"/>
      <c r="HQB13" s="21"/>
      <c r="HQC13" s="21"/>
      <c r="HQD13" s="21"/>
      <c r="HQE13" s="21"/>
      <c r="HQF13" s="21"/>
      <c r="HQG13" s="21"/>
      <c r="HQH13" s="21"/>
      <c r="HQI13" s="21"/>
      <c r="HQJ13" s="21"/>
      <c r="HQK13" s="21"/>
      <c r="HQL13" s="21"/>
      <c r="HQM13" s="21"/>
      <c r="HQN13" s="21"/>
      <c r="HQO13" s="21"/>
      <c r="HQP13" s="21"/>
      <c r="HQQ13" s="21"/>
      <c r="HQR13" s="21"/>
      <c r="HQS13" s="21"/>
      <c r="HQT13" s="21"/>
      <c r="HQU13" s="21"/>
      <c r="HQV13" s="21"/>
      <c r="HQW13" s="21"/>
      <c r="HQX13" s="21"/>
      <c r="HQY13" s="21"/>
      <c r="HQZ13" s="21"/>
      <c r="HRA13" s="21"/>
      <c r="HRB13" s="21"/>
      <c r="HRC13" s="21"/>
      <c r="HRD13" s="21"/>
      <c r="HRE13" s="21"/>
      <c r="HRF13" s="21"/>
      <c r="HRG13" s="21"/>
      <c r="HRH13" s="21"/>
      <c r="HRI13" s="21"/>
      <c r="HRJ13" s="21"/>
      <c r="HRK13" s="21"/>
      <c r="HRL13" s="21"/>
      <c r="HRM13" s="21"/>
      <c r="HRN13" s="21"/>
      <c r="HRO13" s="21"/>
      <c r="HRP13" s="21"/>
      <c r="HRQ13" s="21"/>
      <c r="HRR13" s="21"/>
      <c r="HRS13" s="21"/>
      <c r="HRT13" s="21"/>
      <c r="HRU13" s="21"/>
      <c r="HRV13" s="21"/>
      <c r="HRW13" s="21"/>
      <c r="HRX13" s="21"/>
      <c r="HRY13" s="21"/>
      <c r="HRZ13" s="21"/>
      <c r="HSA13" s="21"/>
      <c r="HSB13" s="21"/>
      <c r="HSC13" s="21"/>
      <c r="HSD13" s="21"/>
      <c r="HSE13" s="21"/>
      <c r="HSF13" s="21"/>
      <c r="HSG13" s="21"/>
      <c r="HSH13" s="21"/>
      <c r="HSI13" s="21"/>
      <c r="HSJ13" s="21"/>
      <c r="HSK13" s="21"/>
      <c r="HSL13" s="21"/>
      <c r="HSM13" s="21"/>
      <c r="HSN13" s="21"/>
      <c r="HSO13" s="21"/>
      <c r="HSP13" s="21"/>
      <c r="HSQ13" s="21"/>
      <c r="HSR13" s="21"/>
      <c r="HSS13" s="21"/>
      <c r="HST13" s="21"/>
      <c r="HSU13" s="21"/>
      <c r="HSV13" s="21"/>
      <c r="HSW13" s="21"/>
      <c r="HSX13" s="21"/>
      <c r="HSY13" s="21"/>
      <c r="HSZ13" s="21"/>
      <c r="HTA13" s="21"/>
      <c r="HTB13" s="21"/>
      <c r="HTC13" s="21"/>
      <c r="HTD13" s="21"/>
      <c r="HTE13" s="21"/>
      <c r="HTF13" s="21"/>
      <c r="HTG13" s="21"/>
      <c r="HTH13" s="21"/>
      <c r="HTI13" s="21"/>
      <c r="HTJ13" s="21"/>
      <c r="HTK13" s="21"/>
      <c r="HTL13" s="21"/>
      <c r="HTM13" s="21"/>
      <c r="HTN13" s="21"/>
      <c r="HTO13" s="21"/>
      <c r="HTP13" s="21"/>
      <c r="HTQ13" s="21"/>
      <c r="HTR13" s="21"/>
      <c r="HTS13" s="21"/>
      <c r="HTT13" s="21"/>
      <c r="HTU13" s="21"/>
      <c r="HTV13" s="21"/>
      <c r="HTW13" s="21"/>
      <c r="HTX13" s="21"/>
      <c r="HTY13" s="21"/>
      <c r="HTZ13" s="21"/>
      <c r="HUA13" s="21"/>
      <c r="HUB13" s="21"/>
      <c r="HUC13" s="21"/>
      <c r="HUD13" s="21"/>
      <c r="HUE13" s="21"/>
      <c r="HUF13" s="21"/>
      <c r="HUG13" s="21"/>
      <c r="HUH13" s="21"/>
      <c r="HUI13" s="21"/>
      <c r="HUJ13" s="21"/>
      <c r="HUK13" s="21"/>
      <c r="HUL13" s="21"/>
      <c r="HUM13" s="21"/>
      <c r="HUN13" s="21"/>
      <c r="HUO13" s="21"/>
      <c r="HUP13" s="21"/>
      <c r="HUQ13" s="21"/>
      <c r="HUR13" s="21"/>
      <c r="HUS13" s="21"/>
      <c r="HUT13" s="21"/>
      <c r="HUU13" s="21"/>
      <c r="HUV13" s="21"/>
      <c r="HUW13" s="21"/>
      <c r="HUX13" s="21"/>
      <c r="HUY13" s="21"/>
      <c r="HUZ13" s="21"/>
      <c r="HVA13" s="21"/>
      <c r="HVB13" s="21"/>
      <c r="HVC13" s="21"/>
      <c r="HVD13" s="21"/>
      <c r="HVE13" s="21"/>
      <c r="HVF13" s="21"/>
      <c r="HVG13" s="21"/>
      <c r="HVH13" s="21"/>
      <c r="HVI13" s="21"/>
      <c r="HVJ13" s="21"/>
      <c r="HVK13" s="21"/>
      <c r="HVL13" s="21"/>
      <c r="HVM13" s="21"/>
      <c r="HVN13" s="21"/>
      <c r="HVO13" s="21"/>
      <c r="HVP13" s="21"/>
      <c r="HVQ13" s="21"/>
      <c r="HVR13" s="21"/>
      <c r="HVS13" s="21"/>
      <c r="HVT13" s="21"/>
      <c r="HVU13" s="21"/>
      <c r="HVV13" s="21"/>
      <c r="HVW13" s="21"/>
      <c r="HVX13" s="21"/>
      <c r="HVY13" s="21"/>
      <c r="HVZ13" s="21"/>
      <c r="HWA13" s="21"/>
      <c r="HWB13" s="21"/>
      <c r="HWC13" s="21"/>
      <c r="HWD13" s="21"/>
      <c r="HWE13" s="21"/>
      <c r="HWF13" s="21"/>
      <c r="HWG13" s="21"/>
      <c r="HWH13" s="21"/>
      <c r="HWI13" s="21"/>
      <c r="HWJ13" s="21"/>
      <c r="HWK13" s="21"/>
      <c r="HWL13" s="21"/>
      <c r="HWM13" s="21"/>
      <c r="HWN13" s="21"/>
      <c r="HWO13" s="21"/>
      <c r="HWP13" s="21"/>
      <c r="HWQ13" s="21"/>
      <c r="HWR13" s="21"/>
      <c r="HWS13" s="21"/>
      <c r="HWT13" s="21"/>
      <c r="HWU13" s="21"/>
      <c r="HWV13" s="21"/>
      <c r="HWW13" s="21"/>
      <c r="HWX13" s="21"/>
      <c r="HWY13" s="21"/>
      <c r="HWZ13" s="21"/>
      <c r="HXA13" s="21"/>
      <c r="HXB13" s="21"/>
      <c r="HXC13" s="21"/>
      <c r="HXD13" s="21"/>
      <c r="HXE13" s="21"/>
      <c r="HXF13" s="21"/>
      <c r="HXG13" s="21"/>
      <c r="HXH13" s="21"/>
      <c r="HXI13" s="21"/>
      <c r="HXJ13" s="21"/>
      <c r="HXK13" s="21"/>
      <c r="HXL13" s="21"/>
      <c r="HXM13" s="21"/>
      <c r="HXN13" s="21"/>
      <c r="HXO13" s="21"/>
      <c r="HXP13" s="21"/>
      <c r="HXQ13" s="21"/>
      <c r="HXR13" s="21"/>
      <c r="HXS13" s="21"/>
      <c r="HXT13" s="21"/>
      <c r="HXU13" s="21"/>
      <c r="HXV13" s="21"/>
      <c r="HXW13" s="21"/>
      <c r="HXX13" s="21"/>
      <c r="HXY13" s="21"/>
      <c r="HXZ13" s="21"/>
      <c r="HYA13" s="21"/>
      <c r="HYB13" s="21"/>
      <c r="HYC13" s="21"/>
      <c r="HYD13" s="21"/>
      <c r="HYE13" s="21"/>
      <c r="HYF13" s="21"/>
      <c r="HYG13" s="21"/>
      <c r="HYH13" s="21"/>
      <c r="HYI13" s="21"/>
      <c r="HYJ13" s="21"/>
      <c r="HYK13" s="21"/>
      <c r="HYL13" s="21"/>
      <c r="HYM13" s="21"/>
      <c r="HYN13" s="21"/>
      <c r="HYO13" s="21"/>
      <c r="HYP13" s="21"/>
      <c r="HYQ13" s="21"/>
      <c r="HYR13" s="21"/>
      <c r="HYS13" s="21"/>
      <c r="HYT13" s="21"/>
      <c r="HYU13" s="21"/>
      <c r="HYV13" s="21"/>
      <c r="HYW13" s="21"/>
      <c r="HYX13" s="21"/>
      <c r="HYY13" s="21"/>
      <c r="HYZ13" s="21"/>
      <c r="HZA13" s="21"/>
      <c r="HZB13" s="21"/>
      <c r="HZC13" s="21"/>
      <c r="HZD13" s="21"/>
      <c r="HZE13" s="21"/>
      <c r="HZF13" s="21"/>
      <c r="HZG13" s="21"/>
      <c r="HZH13" s="21"/>
      <c r="HZI13" s="21"/>
      <c r="HZJ13" s="21"/>
      <c r="HZK13" s="21"/>
      <c r="HZL13" s="21"/>
      <c r="HZM13" s="21"/>
      <c r="HZN13" s="21"/>
      <c r="HZO13" s="21"/>
      <c r="HZP13" s="21"/>
      <c r="HZQ13" s="21"/>
      <c r="HZR13" s="21"/>
      <c r="HZS13" s="21"/>
      <c r="HZT13" s="21"/>
      <c r="HZU13" s="21"/>
      <c r="HZV13" s="21"/>
      <c r="HZW13" s="21"/>
      <c r="HZX13" s="21"/>
      <c r="HZY13" s="21"/>
      <c r="HZZ13" s="21"/>
      <c r="IAA13" s="21"/>
      <c r="IAB13" s="21"/>
      <c r="IAC13" s="21"/>
      <c r="IAD13" s="21"/>
      <c r="IAE13" s="21"/>
      <c r="IAF13" s="21"/>
      <c r="IAG13" s="21"/>
      <c r="IAH13" s="21"/>
      <c r="IAI13" s="21"/>
      <c r="IAJ13" s="21"/>
      <c r="IAK13" s="21"/>
      <c r="IAL13" s="21"/>
      <c r="IAM13" s="21"/>
      <c r="IAN13" s="21"/>
      <c r="IAO13" s="21"/>
      <c r="IAP13" s="21"/>
      <c r="IAQ13" s="21"/>
      <c r="IAR13" s="21"/>
      <c r="IAS13" s="21"/>
      <c r="IAT13" s="21"/>
      <c r="IAU13" s="21"/>
      <c r="IAV13" s="21"/>
      <c r="IAW13" s="21"/>
      <c r="IAX13" s="21"/>
      <c r="IAY13" s="21"/>
      <c r="IAZ13" s="21"/>
      <c r="IBA13" s="21"/>
      <c r="IBB13" s="21"/>
      <c r="IBC13" s="21"/>
      <c r="IBD13" s="21"/>
      <c r="IBE13" s="21"/>
      <c r="IBF13" s="21"/>
      <c r="IBG13" s="21"/>
      <c r="IBH13" s="21"/>
      <c r="IBI13" s="21"/>
      <c r="IBJ13" s="21"/>
      <c r="IBK13" s="21"/>
      <c r="IBL13" s="21"/>
      <c r="IBM13" s="21"/>
      <c r="IBN13" s="21"/>
      <c r="IBO13" s="21"/>
      <c r="IBP13" s="21"/>
      <c r="IBQ13" s="21"/>
      <c r="IBR13" s="21"/>
      <c r="IBS13" s="21"/>
      <c r="IBT13" s="21"/>
      <c r="IBU13" s="21"/>
      <c r="IBV13" s="21"/>
      <c r="IBW13" s="21"/>
      <c r="IBX13" s="21"/>
      <c r="IBY13" s="21"/>
      <c r="IBZ13" s="21"/>
      <c r="ICA13" s="21"/>
      <c r="ICB13" s="21"/>
      <c r="ICC13" s="21"/>
      <c r="ICD13" s="21"/>
      <c r="ICE13" s="21"/>
      <c r="ICF13" s="21"/>
      <c r="ICG13" s="21"/>
      <c r="ICH13" s="21"/>
      <c r="ICI13" s="21"/>
      <c r="ICJ13" s="21"/>
      <c r="ICK13" s="21"/>
      <c r="ICL13" s="21"/>
      <c r="ICM13" s="21"/>
      <c r="ICN13" s="21"/>
      <c r="ICO13" s="21"/>
      <c r="ICP13" s="21"/>
      <c r="ICQ13" s="21"/>
      <c r="ICR13" s="21"/>
      <c r="ICS13" s="21"/>
      <c r="ICT13" s="21"/>
      <c r="ICU13" s="21"/>
      <c r="ICV13" s="21"/>
      <c r="ICW13" s="21"/>
      <c r="ICX13" s="21"/>
      <c r="ICY13" s="21"/>
      <c r="ICZ13" s="21"/>
      <c r="IDA13" s="21"/>
      <c r="IDB13" s="21"/>
      <c r="IDC13" s="21"/>
      <c r="IDD13" s="21"/>
      <c r="IDE13" s="21"/>
      <c r="IDF13" s="21"/>
      <c r="IDG13" s="21"/>
      <c r="IDH13" s="21"/>
      <c r="IDI13" s="21"/>
      <c r="IDJ13" s="21"/>
      <c r="IDK13" s="21"/>
      <c r="IDL13" s="21"/>
      <c r="IDM13" s="21"/>
      <c r="IDN13" s="21"/>
      <c r="IDO13" s="21"/>
      <c r="IDP13" s="21"/>
      <c r="IDQ13" s="21"/>
      <c r="IDR13" s="21"/>
      <c r="IDS13" s="21"/>
      <c r="IDT13" s="21"/>
      <c r="IDU13" s="21"/>
      <c r="IDV13" s="21"/>
      <c r="IDW13" s="21"/>
      <c r="IDX13" s="21"/>
      <c r="IDY13" s="21"/>
      <c r="IDZ13" s="21"/>
      <c r="IEA13" s="21"/>
      <c r="IEB13" s="21"/>
      <c r="IEC13" s="21"/>
      <c r="IED13" s="21"/>
      <c r="IEE13" s="21"/>
      <c r="IEF13" s="21"/>
      <c r="IEG13" s="21"/>
      <c r="IEH13" s="21"/>
      <c r="IEI13" s="21"/>
      <c r="IEJ13" s="21"/>
      <c r="IEK13" s="21"/>
      <c r="IEL13" s="21"/>
      <c r="IEM13" s="21"/>
      <c r="IEN13" s="21"/>
      <c r="IEO13" s="21"/>
      <c r="IEP13" s="21"/>
      <c r="IEQ13" s="21"/>
      <c r="IER13" s="21"/>
      <c r="IES13" s="21"/>
      <c r="IET13" s="21"/>
      <c r="IEU13" s="21"/>
      <c r="IEV13" s="21"/>
      <c r="IEW13" s="21"/>
      <c r="IEX13" s="21"/>
      <c r="IEY13" s="21"/>
      <c r="IEZ13" s="21"/>
      <c r="IFA13" s="21"/>
      <c r="IFB13" s="21"/>
      <c r="IFC13" s="21"/>
      <c r="IFD13" s="21"/>
      <c r="IFE13" s="21"/>
      <c r="IFF13" s="21"/>
      <c r="IFG13" s="21"/>
      <c r="IFH13" s="21"/>
      <c r="IFI13" s="21"/>
      <c r="IFJ13" s="21"/>
      <c r="IFK13" s="21"/>
      <c r="IFL13" s="21"/>
      <c r="IFM13" s="21"/>
      <c r="IFN13" s="21"/>
      <c r="IFO13" s="21"/>
      <c r="IFP13" s="21"/>
      <c r="IFQ13" s="21"/>
      <c r="IFR13" s="21"/>
      <c r="IFS13" s="21"/>
      <c r="IFT13" s="21"/>
      <c r="IFU13" s="21"/>
      <c r="IFV13" s="21"/>
      <c r="IFW13" s="21"/>
      <c r="IFX13" s="21"/>
      <c r="IFY13" s="21"/>
      <c r="IFZ13" s="21"/>
      <c r="IGA13" s="21"/>
      <c r="IGB13" s="21"/>
      <c r="IGC13" s="21"/>
      <c r="IGD13" s="21"/>
      <c r="IGE13" s="21"/>
      <c r="IGF13" s="21"/>
      <c r="IGG13" s="21"/>
      <c r="IGH13" s="21"/>
      <c r="IGI13" s="21"/>
      <c r="IGJ13" s="21"/>
      <c r="IGK13" s="21"/>
      <c r="IGL13" s="21"/>
      <c r="IGM13" s="21"/>
      <c r="IGN13" s="21"/>
      <c r="IGO13" s="21"/>
      <c r="IGP13" s="21"/>
      <c r="IGQ13" s="21"/>
      <c r="IGR13" s="21"/>
      <c r="IGS13" s="21"/>
      <c r="IGT13" s="21"/>
      <c r="IGU13" s="21"/>
      <c r="IGV13" s="21"/>
      <c r="IGW13" s="21"/>
      <c r="IGX13" s="21"/>
      <c r="IGY13" s="21"/>
      <c r="IGZ13" s="21"/>
      <c r="IHA13" s="21"/>
      <c r="IHB13" s="21"/>
      <c r="IHC13" s="21"/>
      <c r="IHD13" s="21"/>
      <c r="IHE13" s="21"/>
      <c r="IHF13" s="21"/>
      <c r="IHG13" s="21"/>
      <c r="IHH13" s="21"/>
      <c r="IHI13" s="21"/>
      <c r="IHJ13" s="21"/>
      <c r="IHK13" s="21"/>
      <c r="IHL13" s="21"/>
      <c r="IHM13" s="21"/>
      <c r="IHN13" s="21"/>
      <c r="IHO13" s="21"/>
      <c r="IHP13" s="21"/>
      <c r="IHQ13" s="21"/>
      <c r="IHR13" s="21"/>
      <c r="IHS13" s="21"/>
      <c r="IHT13" s="21"/>
      <c r="IHU13" s="21"/>
      <c r="IHV13" s="21"/>
      <c r="IHW13" s="21"/>
      <c r="IHX13" s="21"/>
      <c r="IHY13" s="21"/>
      <c r="IHZ13" s="21"/>
      <c r="IIA13" s="21"/>
      <c r="IIB13" s="21"/>
      <c r="IIC13" s="21"/>
      <c r="IID13" s="21"/>
      <c r="IIE13" s="21"/>
      <c r="IIF13" s="21"/>
      <c r="IIG13" s="21"/>
      <c r="IIH13" s="21"/>
      <c r="III13" s="21"/>
      <c r="IIJ13" s="21"/>
      <c r="IIK13" s="21"/>
      <c r="IIL13" s="21"/>
      <c r="IIM13" s="21"/>
      <c r="IIN13" s="21"/>
      <c r="IIO13" s="21"/>
      <c r="IIP13" s="21"/>
      <c r="IIQ13" s="21"/>
      <c r="IIR13" s="21"/>
      <c r="IIS13" s="21"/>
      <c r="IIT13" s="21"/>
      <c r="IIU13" s="21"/>
      <c r="IIV13" s="21"/>
      <c r="IIW13" s="21"/>
      <c r="IIX13" s="21"/>
      <c r="IIY13" s="21"/>
      <c r="IIZ13" s="21"/>
      <c r="IJA13" s="21"/>
      <c r="IJB13" s="21"/>
      <c r="IJC13" s="21"/>
      <c r="IJD13" s="21"/>
      <c r="IJE13" s="21"/>
      <c r="IJF13" s="21"/>
      <c r="IJG13" s="21"/>
      <c r="IJH13" s="21"/>
      <c r="IJI13" s="21"/>
      <c r="IJJ13" s="21"/>
      <c r="IJK13" s="21"/>
      <c r="IJL13" s="21"/>
      <c r="IJM13" s="21"/>
      <c r="IJN13" s="21"/>
      <c r="IJO13" s="21"/>
      <c r="IJP13" s="21"/>
      <c r="IJQ13" s="21"/>
      <c r="IJR13" s="21"/>
      <c r="IJS13" s="21"/>
      <c r="IJT13" s="21"/>
      <c r="IJU13" s="21"/>
      <c r="IJV13" s="21"/>
      <c r="IJW13" s="21"/>
      <c r="IJX13" s="21"/>
      <c r="IJY13" s="21"/>
      <c r="IJZ13" s="21"/>
      <c r="IKA13" s="21"/>
      <c r="IKB13" s="21"/>
      <c r="IKC13" s="21"/>
      <c r="IKD13" s="21"/>
      <c r="IKE13" s="21"/>
      <c r="IKF13" s="21"/>
      <c r="IKG13" s="21"/>
      <c r="IKH13" s="21"/>
      <c r="IKI13" s="21"/>
      <c r="IKJ13" s="21"/>
      <c r="IKK13" s="21"/>
      <c r="IKL13" s="21"/>
      <c r="IKM13" s="21"/>
      <c r="IKN13" s="21"/>
      <c r="IKO13" s="21"/>
      <c r="IKP13" s="21"/>
      <c r="IKQ13" s="21"/>
      <c r="IKR13" s="21"/>
      <c r="IKS13" s="21"/>
      <c r="IKT13" s="21"/>
      <c r="IKU13" s="21"/>
      <c r="IKV13" s="21"/>
      <c r="IKW13" s="21"/>
      <c r="IKX13" s="21"/>
      <c r="IKY13" s="21"/>
      <c r="IKZ13" s="21"/>
      <c r="ILA13" s="21"/>
      <c r="ILB13" s="21"/>
      <c r="ILC13" s="21"/>
      <c r="ILD13" s="21"/>
      <c r="ILE13" s="21"/>
      <c r="ILF13" s="21"/>
      <c r="ILG13" s="21"/>
      <c r="ILH13" s="21"/>
      <c r="ILI13" s="21"/>
      <c r="ILJ13" s="21"/>
      <c r="ILK13" s="21"/>
      <c r="ILL13" s="21"/>
      <c r="ILM13" s="21"/>
      <c r="ILN13" s="21"/>
      <c r="ILO13" s="21"/>
      <c r="ILP13" s="21"/>
      <c r="ILQ13" s="21"/>
      <c r="ILR13" s="21"/>
      <c r="ILS13" s="21"/>
      <c r="ILT13" s="21"/>
      <c r="ILU13" s="21"/>
      <c r="ILV13" s="21"/>
      <c r="ILW13" s="21"/>
      <c r="ILX13" s="21"/>
      <c r="ILY13" s="21"/>
      <c r="ILZ13" s="21"/>
      <c r="IMA13" s="21"/>
      <c r="IMB13" s="21"/>
      <c r="IMC13" s="21"/>
      <c r="IMD13" s="21"/>
      <c r="IME13" s="21"/>
      <c r="IMF13" s="21"/>
      <c r="IMG13" s="21"/>
      <c r="IMH13" s="21"/>
      <c r="IMI13" s="21"/>
      <c r="IMJ13" s="21"/>
      <c r="IMK13" s="21"/>
      <c r="IML13" s="21"/>
      <c r="IMM13" s="21"/>
      <c r="IMN13" s="21"/>
      <c r="IMO13" s="21"/>
      <c r="IMP13" s="21"/>
      <c r="IMQ13" s="21"/>
      <c r="IMR13" s="21"/>
      <c r="IMS13" s="21"/>
      <c r="IMT13" s="21"/>
      <c r="IMU13" s="21"/>
      <c r="IMV13" s="21"/>
      <c r="IMW13" s="21"/>
      <c r="IMX13" s="21"/>
      <c r="IMY13" s="21"/>
      <c r="IMZ13" s="21"/>
      <c r="INA13" s="21"/>
      <c r="INB13" s="21"/>
      <c r="INC13" s="21"/>
      <c r="IND13" s="21"/>
      <c r="INE13" s="21"/>
      <c r="INF13" s="21"/>
      <c r="ING13" s="21"/>
      <c r="INH13" s="21"/>
      <c r="INI13" s="21"/>
      <c r="INJ13" s="21"/>
      <c r="INK13" s="21"/>
      <c r="INL13" s="21"/>
      <c r="INM13" s="21"/>
      <c r="INN13" s="21"/>
      <c r="INO13" s="21"/>
      <c r="INP13" s="21"/>
      <c r="INQ13" s="21"/>
      <c r="INR13" s="21"/>
      <c r="INS13" s="21"/>
      <c r="INT13" s="21"/>
      <c r="INU13" s="21"/>
      <c r="INV13" s="21"/>
      <c r="INW13" s="21"/>
      <c r="INX13" s="21"/>
      <c r="INY13" s="21"/>
      <c r="INZ13" s="21"/>
      <c r="IOA13" s="21"/>
      <c r="IOB13" s="21"/>
      <c r="IOC13" s="21"/>
      <c r="IOD13" s="21"/>
      <c r="IOE13" s="21"/>
      <c r="IOF13" s="21"/>
      <c r="IOG13" s="21"/>
      <c r="IOH13" s="21"/>
      <c r="IOI13" s="21"/>
      <c r="IOJ13" s="21"/>
      <c r="IOK13" s="21"/>
      <c r="IOL13" s="21"/>
      <c r="IOM13" s="21"/>
      <c r="ION13" s="21"/>
      <c r="IOO13" s="21"/>
      <c r="IOP13" s="21"/>
      <c r="IOQ13" s="21"/>
      <c r="IOR13" s="21"/>
      <c r="IOS13" s="21"/>
      <c r="IOT13" s="21"/>
      <c r="IOU13" s="21"/>
      <c r="IOV13" s="21"/>
      <c r="IOW13" s="21"/>
      <c r="IOX13" s="21"/>
      <c r="IOY13" s="21"/>
      <c r="IOZ13" s="21"/>
      <c r="IPA13" s="21"/>
      <c r="IPB13" s="21"/>
      <c r="IPC13" s="21"/>
      <c r="IPD13" s="21"/>
      <c r="IPE13" s="21"/>
      <c r="IPF13" s="21"/>
      <c r="IPG13" s="21"/>
      <c r="IPH13" s="21"/>
      <c r="IPI13" s="21"/>
      <c r="IPJ13" s="21"/>
      <c r="IPK13" s="21"/>
      <c r="IPL13" s="21"/>
      <c r="IPM13" s="21"/>
      <c r="IPN13" s="21"/>
      <c r="IPO13" s="21"/>
      <c r="IPP13" s="21"/>
      <c r="IPQ13" s="21"/>
      <c r="IPR13" s="21"/>
      <c r="IPS13" s="21"/>
      <c r="IPT13" s="21"/>
      <c r="IPU13" s="21"/>
      <c r="IPV13" s="21"/>
      <c r="IPW13" s="21"/>
      <c r="IPX13" s="21"/>
      <c r="IPY13" s="21"/>
      <c r="IPZ13" s="21"/>
      <c r="IQA13" s="21"/>
      <c r="IQB13" s="21"/>
      <c r="IQC13" s="21"/>
      <c r="IQD13" s="21"/>
      <c r="IQE13" s="21"/>
      <c r="IQF13" s="21"/>
      <c r="IQG13" s="21"/>
      <c r="IQH13" s="21"/>
      <c r="IQI13" s="21"/>
      <c r="IQJ13" s="21"/>
      <c r="IQK13" s="21"/>
      <c r="IQL13" s="21"/>
      <c r="IQM13" s="21"/>
      <c r="IQN13" s="21"/>
      <c r="IQO13" s="21"/>
      <c r="IQP13" s="21"/>
      <c r="IQQ13" s="21"/>
      <c r="IQR13" s="21"/>
      <c r="IQS13" s="21"/>
      <c r="IQT13" s="21"/>
      <c r="IQU13" s="21"/>
      <c r="IQV13" s="21"/>
      <c r="IQW13" s="21"/>
      <c r="IQX13" s="21"/>
      <c r="IQY13" s="21"/>
      <c r="IQZ13" s="21"/>
      <c r="IRA13" s="21"/>
      <c r="IRB13" s="21"/>
      <c r="IRC13" s="21"/>
      <c r="IRD13" s="21"/>
      <c r="IRE13" s="21"/>
      <c r="IRF13" s="21"/>
      <c r="IRG13" s="21"/>
      <c r="IRH13" s="21"/>
      <c r="IRI13" s="21"/>
      <c r="IRJ13" s="21"/>
      <c r="IRK13" s="21"/>
      <c r="IRL13" s="21"/>
      <c r="IRM13" s="21"/>
      <c r="IRN13" s="21"/>
      <c r="IRO13" s="21"/>
      <c r="IRP13" s="21"/>
      <c r="IRQ13" s="21"/>
      <c r="IRR13" s="21"/>
      <c r="IRS13" s="21"/>
      <c r="IRT13" s="21"/>
      <c r="IRU13" s="21"/>
      <c r="IRV13" s="21"/>
      <c r="IRW13" s="21"/>
      <c r="IRX13" s="21"/>
      <c r="IRY13" s="21"/>
      <c r="IRZ13" s="21"/>
      <c r="ISA13" s="21"/>
      <c r="ISB13" s="21"/>
      <c r="ISC13" s="21"/>
      <c r="ISD13" s="21"/>
      <c r="ISE13" s="21"/>
      <c r="ISF13" s="21"/>
      <c r="ISG13" s="21"/>
      <c r="ISH13" s="21"/>
      <c r="ISI13" s="21"/>
      <c r="ISJ13" s="21"/>
      <c r="ISK13" s="21"/>
      <c r="ISL13" s="21"/>
      <c r="ISM13" s="21"/>
      <c r="ISN13" s="21"/>
      <c r="ISO13" s="21"/>
      <c r="ISP13" s="21"/>
      <c r="ISQ13" s="21"/>
      <c r="ISR13" s="21"/>
      <c r="ISS13" s="21"/>
      <c r="IST13" s="21"/>
      <c r="ISU13" s="21"/>
      <c r="ISV13" s="21"/>
      <c r="ISW13" s="21"/>
      <c r="ISX13" s="21"/>
      <c r="ISY13" s="21"/>
      <c r="ISZ13" s="21"/>
      <c r="ITA13" s="21"/>
      <c r="ITB13" s="21"/>
      <c r="ITC13" s="21"/>
      <c r="ITD13" s="21"/>
      <c r="ITE13" s="21"/>
      <c r="ITF13" s="21"/>
      <c r="ITG13" s="21"/>
      <c r="ITH13" s="21"/>
      <c r="ITI13" s="21"/>
      <c r="ITJ13" s="21"/>
      <c r="ITK13" s="21"/>
      <c r="ITL13" s="21"/>
      <c r="ITM13" s="21"/>
      <c r="ITN13" s="21"/>
      <c r="ITO13" s="21"/>
      <c r="ITP13" s="21"/>
      <c r="ITQ13" s="21"/>
      <c r="ITR13" s="21"/>
      <c r="ITS13" s="21"/>
      <c r="ITT13" s="21"/>
      <c r="ITU13" s="21"/>
      <c r="ITV13" s="21"/>
      <c r="ITW13" s="21"/>
      <c r="ITX13" s="21"/>
      <c r="ITY13" s="21"/>
      <c r="ITZ13" s="21"/>
      <c r="IUA13" s="21"/>
      <c r="IUB13" s="21"/>
      <c r="IUC13" s="21"/>
      <c r="IUD13" s="21"/>
      <c r="IUE13" s="21"/>
      <c r="IUF13" s="21"/>
      <c r="IUG13" s="21"/>
      <c r="IUH13" s="21"/>
      <c r="IUI13" s="21"/>
      <c r="IUJ13" s="21"/>
      <c r="IUK13" s="21"/>
      <c r="IUL13" s="21"/>
      <c r="IUM13" s="21"/>
      <c r="IUN13" s="21"/>
      <c r="IUO13" s="21"/>
      <c r="IUP13" s="21"/>
      <c r="IUQ13" s="21"/>
      <c r="IUR13" s="21"/>
      <c r="IUS13" s="21"/>
      <c r="IUT13" s="21"/>
      <c r="IUU13" s="21"/>
      <c r="IUV13" s="21"/>
      <c r="IUW13" s="21"/>
      <c r="IUX13" s="21"/>
      <c r="IUY13" s="21"/>
      <c r="IUZ13" s="21"/>
      <c r="IVA13" s="21"/>
      <c r="IVB13" s="21"/>
      <c r="IVC13" s="21"/>
      <c r="IVD13" s="21"/>
      <c r="IVE13" s="21"/>
      <c r="IVF13" s="21"/>
      <c r="IVG13" s="21"/>
      <c r="IVH13" s="21"/>
      <c r="IVI13" s="21"/>
      <c r="IVJ13" s="21"/>
      <c r="IVK13" s="21"/>
      <c r="IVL13" s="21"/>
      <c r="IVM13" s="21"/>
      <c r="IVN13" s="21"/>
      <c r="IVO13" s="21"/>
      <c r="IVP13" s="21"/>
      <c r="IVQ13" s="21"/>
      <c r="IVR13" s="21"/>
      <c r="IVS13" s="21"/>
      <c r="IVT13" s="21"/>
      <c r="IVU13" s="21"/>
      <c r="IVV13" s="21"/>
      <c r="IVW13" s="21"/>
      <c r="IVX13" s="21"/>
      <c r="IVY13" s="21"/>
      <c r="IVZ13" s="21"/>
      <c r="IWA13" s="21"/>
      <c r="IWB13" s="21"/>
      <c r="IWC13" s="21"/>
      <c r="IWD13" s="21"/>
      <c r="IWE13" s="21"/>
      <c r="IWF13" s="21"/>
      <c r="IWG13" s="21"/>
      <c r="IWH13" s="21"/>
      <c r="IWI13" s="21"/>
      <c r="IWJ13" s="21"/>
      <c r="IWK13" s="21"/>
      <c r="IWL13" s="21"/>
      <c r="IWM13" s="21"/>
      <c r="IWN13" s="21"/>
      <c r="IWO13" s="21"/>
      <c r="IWP13" s="21"/>
      <c r="IWQ13" s="21"/>
      <c r="IWR13" s="21"/>
      <c r="IWS13" s="21"/>
      <c r="IWT13" s="21"/>
      <c r="IWU13" s="21"/>
      <c r="IWV13" s="21"/>
      <c r="IWW13" s="21"/>
      <c r="IWX13" s="21"/>
      <c r="IWY13" s="21"/>
      <c r="IWZ13" s="21"/>
      <c r="IXA13" s="21"/>
      <c r="IXB13" s="21"/>
      <c r="IXC13" s="21"/>
      <c r="IXD13" s="21"/>
      <c r="IXE13" s="21"/>
      <c r="IXF13" s="21"/>
      <c r="IXG13" s="21"/>
      <c r="IXH13" s="21"/>
      <c r="IXI13" s="21"/>
      <c r="IXJ13" s="21"/>
      <c r="IXK13" s="21"/>
      <c r="IXL13" s="21"/>
      <c r="IXM13" s="21"/>
      <c r="IXN13" s="21"/>
      <c r="IXO13" s="21"/>
      <c r="IXP13" s="21"/>
      <c r="IXQ13" s="21"/>
      <c r="IXR13" s="21"/>
      <c r="IXS13" s="21"/>
      <c r="IXT13" s="21"/>
      <c r="IXU13" s="21"/>
      <c r="IXV13" s="21"/>
      <c r="IXW13" s="21"/>
      <c r="IXX13" s="21"/>
      <c r="IXY13" s="21"/>
      <c r="IXZ13" s="21"/>
      <c r="IYA13" s="21"/>
      <c r="IYB13" s="21"/>
      <c r="IYC13" s="21"/>
      <c r="IYD13" s="21"/>
      <c r="IYE13" s="21"/>
      <c r="IYF13" s="21"/>
      <c r="IYG13" s="21"/>
      <c r="IYH13" s="21"/>
      <c r="IYI13" s="21"/>
      <c r="IYJ13" s="21"/>
      <c r="IYK13" s="21"/>
      <c r="IYL13" s="21"/>
      <c r="IYM13" s="21"/>
      <c r="IYN13" s="21"/>
      <c r="IYO13" s="21"/>
      <c r="IYP13" s="21"/>
      <c r="IYQ13" s="21"/>
      <c r="IYR13" s="21"/>
      <c r="IYS13" s="21"/>
      <c r="IYT13" s="21"/>
      <c r="IYU13" s="21"/>
      <c r="IYV13" s="21"/>
      <c r="IYW13" s="21"/>
      <c r="IYX13" s="21"/>
      <c r="IYY13" s="21"/>
      <c r="IYZ13" s="21"/>
      <c r="IZA13" s="21"/>
      <c r="IZB13" s="21"/>
      <c r="IZC13" s="21"/>
      <c r="IZD13" s="21"/>
      <c r="IZE13" s="21"/>
      <c r="IZF13" s="21"/>
      <c r="IZG13" s="21"/>
      <c r="IZH13" s="21"/>
      <c r="IZI13" s="21"/>
      <c r="IZJ13" s="21"/>
      <c r="IZK13" s="21"/>
      <c r="IZL13" s="21"/>
      <c r="IZM13" s="21"/>
      <c r="IZN13" s="21"/>
      <c r="IZO13" s="21"/>
      <c r="IZP13" s="21"/>
      <c r="IZQ13" s="21"/>
      <c r="IZR13" s="21"/>
      <c r="IZS13" s="21"/>
      <c r="IZT13" s="21"/>
      <c r="IZU13" s="21"/>
      <c r="IZV13" s="21"/>
      <c r="IZW13" s="21"/>
      <c r="IZX13" s="21"/>
      <c r="IZY13" s="21"/>
      <c r="IZZ13" s="21"/>
      <c r="JAA13" s="21"/>
      <c r="JAB13" s="21"/>
      <c r="JAC13" s="21"/>
      <c r="JAD13" s="21"/>
      <c r="JAE13" s="21"/>
      <c r="JAF13" s="21"/>
      <c r="JAG13" s="21"/>
      <c r="JAH13" s="21"/>
      <c r="JAI13" s="21"/>
      <c r="JAJ13" s="21"/>
      <c r="JAK13" s="21"/>
      <c r="JAL13" s="21"/>
      <c r="JAM13" s="21"/>
      <c r="JAN13" s="21"/>
      <c r="JAO13" s="21"/>
      <c r="JAP13" s="21"/>
      <c r="JAQ13" s="21"/>
      <c r="JAR13" s="21"/>
      <c r="JAS13" s="21"/>
      <c r="JAT13" s="21"/>
      <c r="JAU13" s="21"/>
      <c r="JAV13" s="21"/>
      <c r="JAW13" s="21"/>
      <c r="JAX13" s="21"/>
      <c r="JAY13" s="21"/>
      <c r="JAZ13" s="21"/>
      <c r="JBA13" s="21"/>
      <c r="JBB13" s="21"/>
      <c r="JBC13" s="21"/>
      <c r="JBD13" s="21"/>
      <c r="JBE13" s="21"/>
      <c r="JBF13" s="21"/>
      <c r="JBG13" s="21"/>
      <c r="JBH13" s="21"/>
      <c r="JBI13" s="21"/>
      <c r="JBJ13" s="21"/>
      <c r="JBK13" s="21"/>
      <c r="JBL13" s="21"/>
      <c r="JBM13" s="21"/>
      <c r="JBN13" s="21"/>
      <c r="JBO13" s="21"/>
      <c r="JBP13" s="21"/>
      <c r="JBQ13" s="21"/>
      <c r="JBR13" s="21"/>
      <c r="JBS13" s="21"/>
      <c r="JBT13" s="21"/>
      <c r="JBU13" s="21"/>
      <c r="JBV13" s="21"/>
      <c r="JBW13" s="21"/>
      <c r="JBX13" s="21"/>
      <c r="JBY13" s="21"/>
      <c r="JBZ13" s="21"/>
      <c r="JCA13" s="21"/>
      <c r="JCB13" s="21"/>
      <c r="JCC13" s="21"/>
      <c r="JCD13" s="21"/>
      <c r="JCE13" s="21"/>
      <c r="JCF13" s="21"/>
      <c r="JCG13" s="21"/>
      <c r="JCH13" s="21"/>
      <c r="JCI13" s="21"/>
      <c r="JCJ13" s="21"/>
      <c r="JCK13" s="21"/>
      <c r="JCL13" s="21"/>
      <c r="JCM13" s="21"/>
      <c r="JCN13" s="21"/>
      <c r="JCO13" s="21"/>
      <c r="JCP13" s="21"/>
      <c r="JCQ13" s="21"/>
      <c r="JCR13" s="21"/>
      <c r="JCS13" s="21"/>
      <c r="JCT13" s="21"/>
      <c r="JCU13" s="21"/>
      <c r="JCV13" s="21"/>
      <c r="JCW13" s="21"/>
      <c r="JCX13" s="21"/>
      <c r="JCY13" s="21"/>
      <c r="JCZ13" s="21"/>
      <c r="JDA13" s="21"/>
      <c r="JDB13" s="21"/>
      <c r="JDC13" s="21"/>
      <c r="JDD13" s="21"/>
      <c r="JDE13" s="21"/>
      <c r="JDF13" s="21"/>
      <c r="JDG13" s="21"/>
      <c r="JDH13" s="21"/>
      <c r="JDI13" s="21"/>
      <c r="JDJ13" s="21"/>
      <c r="JDK13" s="21"/>
      <c r="JDL13" s="21"/>
      <c r="JDM13" s="21"/>
      <c r="JDN13" s="21"/>
      <c r="JDO13" s="21"/>
      <c r="JDP13" s="21"/>
      <c r="JDQ13" s="21"/>
      <c r="JDR13" s="21"/>
      <c r="JDS13" s="21"/>
      <c r="JDT13" s="21"/>
      <c r="JDU13" s="21"/>
      <c r="JDV13" s="21"/>
      <c r="JDW13" s="21"/>
      <c r="JDX13" s="21"/>
      <c r="JDY13" s="21"/>
      <c r="JDZ13" s="21"/>
      <c r="JEA13" s="21"/>
      <c r="JEB13" s="21"/>
      <c r="JEC13" s="21"/>
      <c r="JED13" s="21"/>
      <c r="JEE13" s="21"/>
      <c r="JEF13" s="21"/>
      <c r="JEG13" s="21"/>
      <c r="JEH13" s="21"/>
      <c r="JEI13" s="21"/>
      <c r="JEJ13" s="21"/>
      <c r="JEK13" s="21"/>
      <c r="JEL13" s="21"/>
      <c r="JEM13" s="21"/>
      <c r="JEN13" s="21"/>
      <c r="JEO13" s="21"/>
      <c r="JEP13" s="21"/>
      <c r="JEQ13" s="21"/>
      <c r="JER13" s="21"/>
      <c r="JES13" s="21"/>
      <c r="JET13" s="21"/>
      <c r="JEU13" s="21"/>
      <c r="JEV13" s="21"/>
      <c r="JEW13" s="21"/>
      <c r="JEX13" s="21"/>
      <c r="JEY13" s="21"/>
      <c r="JEZ13" s="21"/>
      <c r="JFA13" s="21"/>
      <c r="JFB13" s="21"/>
      <c r="JFC13" s="21"/>
      <c r="JFD13" s="21"/>
      <c r="JFE13" s="21"/>
      <c r="JFF13" s="21"/>
      <c r="JFG13" s="21"/>
      <c r="JFH13" s="21"/>
      <c r="JFI13" s="21"/>
      <c r="JFJ13" s="21"/>
      <c r="JFK13" s="21"/>
      <c r="JFL13" s="21"/>
      <c r="JFM13" s="21"/>
      <c r="JFN13" s="21"/>
      <c r="JFO13" s="21"/>
      <c r="JFP13" s="21"/>
      <c r="JFQ13" s="21"/>
      <c r="JFR13" s="21"/>
      <c r="JFS13" s="21"/>
      <c r="JFT13" s="21"/>
      <c r="JFU13" s="21"/>
      <c r="JFV13" s="21"/>
      <c r="JFW13" s="21"/>
      <c r="JFX13" s="21"/>
      <c r="JFY13" s="21"/>
      <c r="JFZ13" s="21"/>
      <c r="JGA13" s="21"/>
      <c r="JGB13" s="21"/>
      <c r="JGC13" s="21"/>
      <c r="JGD13" s="21"/>
      <c r="JGE13" s="21"/>
      <c r="JGF13" s="21"/>
      <c r="JGG13" s="21"/>
      <c r="JGH13" s="21"/>
      <c r="JGI13" s="21"/>
      <c r="JGJ13" s="21"/>
      <c r="JGK13" s="21"/>
      <c r="JGL13" s="21"/>
      <c r="JGM13" s="21"/>
      <c r="JGN13" s="21"/>
      <c r="JGO13" s="21"/>
      <c r="JGP13" s="21"/>
      <c r="JGQ13" s="21"/>
      <c r="JGR13" s="21"/>
      <c r="JGS13" s="21"/>
      <c r="JGT13" s="21"/>
      <c r="JGU13" s="21"/>
      <c r="JGV13" s="21"/>
      <c r="JGW13" s="21"/>
      <c r="JGX13" s="21"/>
      <c r="JGY13" s="21"/>
      <c r="JGZ13" s="21"/>
      <c r="JHA13" s="21"/>
      <c r="JHB13" s="21"/>
      <c r="JHC13" s="21"/>
      <c r="JHD13" s="21"/>
      <c r="JHE13" s="21"/>
      <c r="JHF13" s="21"/>
      <c r="JHG13" s="21"/>
      <c r="JHH13" s="21"/>
      <c r="JHI13" s="21"/>
      <c r="JHJ13" s="21"/>
      <c r="JHK13" s="21"/>
      <c r="JHL13" s="21"/>
      <c r="JHM13" s="21"/>
      <c r="JHN13" s="21"/>
      <c r="JHO13" s="21"/>
      <c r="JHP13" s="21"/>
      <c r="JHQ13" s="21"/>
      <c r="JHR13" s="21"/>
      <c r="JHS13" s="21"/>
      <c r="JHT13" s="21"/>
      <c r="JHU13" s="21"/>
      <c r="JHV13" s="21"/>
      <c r="JHW13" s="21"/>
      <c r="JHX13" s="21"/>
      <c r="JHY13" s="21"/>
      <c r="JHZ13" s="21"/>
      <c r="JIA13" s="21"/>
      <c r="JIB13" s="21"/>
      <c r="JIC13" s="21"/>
      <c r="JID13" s="21"/>
      <c r="JIE13" s="21"/>
      <c r="JIF13" s="21"/>
      <c r="JIG13" s="21"/>
      <c r="JIH13" s="21"/>
      <c r="JII13" s="21"/>
      <c r="JIJ13" s="21"/>
      <c r="JIK13" s="21"/>
      <c r="JIL13" s="21"/>
      <c r="JIM13" s="21"/>
      <c r="JIN13" s="21"/>
      <c r="JIO13" s="21"/>
      <c r="JIP13" s="21"/>
      <c r="JIQ13" s="21"/>
      <c r="JIR13" s="21"/>
      <c r="JIS13" s="21"/>
      <c r="JIT13" s="21"/>
      <c r="JIU13" s="21"/>
      <c r="JIV13" s="21"/>
      <c r="JIW13" s="21"/>
      <c r="JIX13" s="21"/>
      <c r="JIY13" s="21"/>
      <c r="JIZ13" s="21"/>
      <c r="JJA13" s="21"/>
      <c r="JJB13" s="21"/>
      <c r="JJC13" s="21"/>
      <c r="JJD13" s="21"/>
      <c r="JJE13" s="21"/>
      <c r="JJF13" s="21"/>
      <c r="JJG13" s="21"/>
      <c r="JJH13" s="21"/>
      <c r="JJI13" s="21"/>
      <c r="JJJ13" s="21"/>
      <c r="JJK13" s="21"/>
      <c r="JJL13" s="21"/>
      <c r="JJM13" s="21"/>
      <c r="JJN13" s="21"/>
      <c r="JJO13" s="21"/>
      <c r="JJP13" s="21"/>
      <c r="JJQ13" s="21"/>
      <c r="JJR13" s="21"/>
      <c r="JJS13" s="21"/>
      <c r="JJT13" s="21"/>
      <c r="JJU13" s="21"/>
      <c r="JJV13" s="21"/>
      <c r="JJW13" s="21"/>
      <c r="JJX13" s="21"/>
      <c r="JJY13" s="21"/>
      <c r="JJZ13" s="21"/>
      <c r="JKA13" s="21"/>
      <c r="JKB13" s="21"/>
      <c r="JKC13" s="21"/>
      <c r="JKD13" s="21"/>
      <c r="JKE13" s="21"/>
      <c r="JKF13" s="21"/>
      <c r="JKG13" s="21"/>
      <c r="JKH13" s="21"/>
      <c r="JKI13" s="21"/>
      <c r="JKJ13" s="21"/>
      <c r="JKK13" s="21"/>
      <c r="JKL13" s="21"/>
      <c r="JKM13" s="21"/>
      <c r="JKN13" s="21"/>
      <c r="JKO13" s="21"/>
      <c r="JKP13" s="21"/>
      <c r="JKQ13" s="21"/>
      <c r="JKR13" s="21"/>
      <c r="JKS13" s="21"/>
      <c r="JKT13" s="21"/>
      <c r="JKU13" s="21"/>
      <c r="JKV13" s="21"/>
      <c r="JKW13" s="21"/>
      <c r="JKX13" s="21"/>
      <c r="JKY13" s="21"/>
      <c r="JKZ13" s="21"/>
      <c r="JLA13" s="21"/>
      <c r="JLB13" s="21"/>
      <c r="JLC13" s="21"/>
      <c r="JLD13" s="21"/>
      <c r="JLE13" s="21"/>
      <c r="JLF13" s="21"/>
      <c r="JLG13" s="21"/>
      <c r="JLH13" s="21"/>
      <c r="JLI13" s="21"/>
      <c r="JLJ13" s="21"/>
      <c r="JLK13" s="21"/>
      <c r="JLL13" s="21"/>
      <c r="JLM13" s="21"/>
      <c r="JLN13" s="21"/>
      <c r="JLO13" s="21"/>
      <c r="JLP13" s="21"/>
      <c r="JLQ13" s="21"/>
      <c r="JLR13" s="21"/>
      <c r="JLS13" s="21"/>
      <c r="JLT13" s="21"/>
      <c r="JLU13" s="21"/>
      <c r="JLV13" s="21"/>
      <c r="JLW13" s="21"/>
      <c r="JLX13" s="21"/>
      <c r="JLY13" s="21"/>
      <c r="JLZ13" s="21"/>
      <c r="JMA13" s="21"/>
      <c r="JMB13" s="21"/>
      <c r="JMC13" s="21"/>
      <c r="JMD13" s="21"/>
      <c r="JME13" s="21"/>
      <c r="JMF13" s="21"/>
      <c r="JMG13" s="21"/>
      <c r="JMH13" s="21"/>
      <c r="JMI13" s="21"/>
      <c r="JMJ13" s="21"/>
      <c r="JMK13" s="21"/>
      <c r="JML13" s="21"/>
      <c r="JMM13" s="21"/>
      <c r="JMN13" s="21"/>
      <c r="JMO13" s="21"/>
      <c r="JMP13" s="21"/>
      <c r="JMQ13" s="21"/>
      <c r="JMR13" s="21"/>
      <c r="JMS13" s="21"/>
      <c r="JMT13" s="21"/>
      <c r="JMU13" s="21"/>
      <c r="JMV13" s="21"/>
      <c r="JMW13" s="21"/>
      <c r="JMX13" s="21"/>
      <c r="JMY13" s="21"/>
      <c r="JMZ13" s="21"/>
      <c r="JNA13" s="21"/>
      <c r="JNB13" s="21"/>
      <c r="JNC13" s="21"/>
      <c r="JND13" s="21"/>
      <c r="JNE13" s="21"/>
      <c r="JNF13" s="21"/>
      <c r="JNG13" s="21"/>
      <c r="JNH13" s="21"/>
      <c r="JNI13" s="21"/>
      <c r="JNJ13" s="21"/>
      <c r="JNK13" s="21"/>
      <c r="JNL13" s="21"/>
      <c r="JNM13" s="21"/>
      <c r="JNN13" s="21"/>
      <c r="JNO13" s="21"/>
      <c r="JNP13" s="21"/>
      <c r="JNQ13" s="21"/>
      <c r="JNR13" s="21"/>
      <c r="JNS13" s="21"/>
      <c r="JNT13" s="21"/>
      <c r="JNU13" s="21"/>
      <c r="JNV13" s="21"/>
      <c r="JNW13" s="21"/>
      <c r="JNX13" s="21"/>
      <c r="JNY13" s="21"/>
      <c r="JNZ13" s="21"/>
      <c r="JOA13" s="21"/>
      <c r="JOB13" s="21"/>
      <c r="JOC13" s="21"/>
      <c r="JOD13" s="21"/>
      <c r="JOE13" s="21"/>
      <c r="JOF13" s="21"/>
      <c r="JOG13" s="21"/>
      <c r="JOH13" s="21"/>
      <c r="JOI13" s="21"/>
      <c r="JOJ13" s="21"/>
      <c r="JOK13" s="21"/>
      <c r="JOL13" s="21"/>
      <c r="JOM13" s="21"/>
      <c r="JON13" s="21"/>
      <c r="JOO13" s="21"/>
      <c r="JOP13" s="21"/>
      <c r="JOQ13" s="21"/>
      <c r="JOR13" s="21"/>
      <c r="JOS13" s="21"/>
      <c r="JOT13" s="21"/>
      <c r="JOU13" s="21"/>
      <c r="JOV13" s="21"/>
      <c r="JOW13" s="21"/>
      <c r="JOX13" s="21"/>
      <c r="JOY13" s="21"/>
      <c r="JOZ13" s="21"/>
      <c r="JPA13" s="21"/>
      <c r="JPB13" s="21"/>
      <c r="JPC13" s="21"/>
      <c r="JPD13" s="21"/>
      <c r="JPE13" s="21"/>
      <c r="JPF13" s="21"/>
      <c r="JPG13" s="21"/>
      <c r="JPH13" s="21"/>
      <c r="JPI13" s="21"/>
      <c r="JPJ13" s="21"/>
      <c r="JPK13" s="21"/>
      <c r="JPL13" s="21"/>
      <c r="JPM13" s="21"/>
      <c r="JPN13" s="21"/>
      <c r="JPO13" s="21"/>
      <c r="JPP13" s="21"/>
      <c r="JPQ13" s="21"/>
      <c r="JPR13" s="21"/>
      <c r="JPS13" s="21"/>
      <c r="JPT13" s="21"/>
      <c r="JPU13" s="21"/>
      <c r="JPV13" s="21"/>
      <c r="JPW13" s="21"/>
      <c r="JPX13" s="21"/>
      <c r="JPY13" s="21"/>
      <c r="JPZ13" s="21"/>
      <c r="JQA13" s="21"/>
      <c r="JQB13" s="21"/>
      <c r="JQC13" s="21"/>
      <c r="JQD13" s="21"/>
      <c r="JQE13" s="21"/>
      <c r="JQF13" s="21"/>
      <c r="JQG13" s="21"/>
      <c r="JQH13" s="21"/>
      <c r="JQI13" s="21"/>
      <c r="JQJ13" s="21"/>
      <c r="JQK13" s="21"/>
      <c r="JQL13" s="21"/>
      <c r="JQM13" s="21"/>
      <c r="JQN13" s="21"/>
      <c r="JQO13" s="21"/>
      <c r="JQP13" s="21"/>
      <c r="JQQ13" s="21"/>
      <c r="JQR13" s="21"/>
      <c r="JQS13" s="21"/>
      <c r="JQT13" s="21"/>
      <c r="JQU13" s="21"/>
      <c r="JQV13" s="21"/>
      <c r="JQW13" s="21"/>
      <c r="JQX13" s="21"/>
      <c r="JQY13" s="21"/>
      <c r="JQZ13" s="21"/>
      <c r="JRA13" s="21"/>
      <c r="JRB13" s="21"/>
      <c r="JRC13" s="21"/>
      <c r="JRD13" s="21"/>
      <c r="JRE13" s="21"/>
      <c r="JRF13" s="21"/>
      <c r="JRG13" s="21"/>
      <c r="JRH13" s="21"/>
      <c r="JRI13" s="21"/>
      <c r="JRJ13" s="21"/>
      <c r="JRK13" s="21"/>
      <c r="JRL13" s="21"/>
      <c r="JRM13" s="21"/>
      <c r="JRN13" s="21"/>
      <c r="JRO13" s="21"/>
      <c r="JRP13" s="21"/>
      <c r="JRQ13" s="21"/>
      <c r="JRR13" s="21"/>
      <c r="JRS13" s="21"/>
      <c r="JRT13" s="21"/>
      <c r="JRU13" s="21"/>
      <c r="JRV13" s="21"/>
      <c r="JRW13" s="21"/>
      <c r="JRX13" s="21"/>
      <c r="JRY13" s="21"/>
      <c r="JRZ13" s="21"/>
      <c r="JSA13" s="21"/>
      <c r="JSB13" s="21"/>
      <c r="JSC13" s="21"/>
      <c r="JSD13" s="21"/>
      <c r="JSE13" s="21"/>
      <c r="JSF13" s="21"/>
      <c r="JSG13" s="21"/>
      <c r="JSH13" s="21"/>
      <c r="JSI13" s="21"/>
      <c r="JSJ13" s="21"/>
      <c r="JSK13" s="21"/>
      <c r="JSL13" s="21"/>
      <c r="JSM13" s="21"/>
      <c r="JSN13" s="21"/>
      <c r="JSO13" s="21"/>
      <c r="JSP13" s="21"/>
      <c r="JSQ13" s="21"/>
      <c r="JSR13" s="21"/>
      <c r="JSS13" s="21"/>
      <c r="JST13" s="21"/>
      <c r="JSU13" s="21"/>
      <c r="JSV13" s="21"/>
      <c r="JSW13" s="21"/>
      <c r="JSX13" s="21"/>
      <c r="JSY13" s="21"/>
      <c r="JSZ13" s="21"/>
      <c r="JTA13" s="21"/>
      <c r="JTB13" s="21"/>
      <c r="JTC13" s="21"/>
      <c r="JTD13" s="21"/>
      <c r="JTE13" s="21"/>
      <c r="JTF13" s="21"/>
      <c r="JTG13" s="21"/>
      <c r="JTH13" s="21"/>
      <c r="JTI13" s="21"/>
      <c r="JTJ13" s="21"/>
      <c r="JTK13" s="21"/>
      <c r="JTL13" s="21"/>
      <c r="JTM13" s="21"/>
      <c r="JTN13" s="21"/>
      <c r="JTO13" s="21"/>
      <c r="JTP13" s="21"/>
      <c r="JTQ13" s="21"/>
      <c r="JTR13" s="21"/>
      <c r="JTS13" s="21"/>
      <c r="JTT13" s="21"/>
      <c r="JTU13" s="21"/>
      <c r="JTV13" s="21"/>
      <c r="JTW13" s="21"/>
      <c r="JTX13" s="21"/>
      <c r="JTY13" s="21"/>
      <c r="JTZ13" s="21"/>
      <c r="JUA13" s="21"/>
      <c r="JUB13" s="21"/>
      <c r="JUC13" s="21"/>
      <c r="JUD13" s="21"/>
      <c r="JUE13" s="21"/>
      <c r="JUF13" s="21"/>
      <c r="JUG13" s="21"/>
      <c r="JUH13" s="21"/>
      <c r="JUI13" s="21"/>
      <c r="JUJ13" s="21"/>
      <c r="JUK13" s="21"/>
      <c r="JUL13" s="21"/>
      <c r="JUM13" s="21"/>
      <c r="JUN13" s="21"/>
      <c r="JUO13" s="21"/>
      <c r="JUP13" s="21"/>
      <c r="JUQ13" s="21"/>
      <c r="JUR13" s="21"/>
      <c r="JUS13" s="21"/>
      <c r="JUT13" s="21"/>
      <c r="JUU13" s="21"/>
      <c r="JUV13" s="21"/>
      <c r="JUW13" s="21"/>
      <c r="JUX13" s="21"/>
      <c r="JUY13" s="21"/>
      <c r="JUZ13" s="21"/>
      <c r="JVA13" s="21"/>
      <c r="JVB13" s="21"/>
      <c r="JVC13" s="21"/>
      <c r="JVD13" s="21"/>
      <c r="JVE13" s="21"/>
      <c r="JVF13" s="21"/>
      <c r="JVG13" s="21"/>
      <c r="JVH13" s="21"/>
      <c r="JVI13" s="21"/>
      <c r="JVJ13" s="21"/>
      <c r="JVK13" s="21"/>
      <c r="JVL13" s="21"/>
      <c r="JVM13" s="21"/>
      <c r="JVN13" s="21"/>
      <c r="JVO13" s="21"/>
      <c r="JVP13" s="21"/>
      <c r="JVQ13" s="21"/>
      <c r="JVR13" s="21"/>
      <c r="JVS13" s="21"/>
      <c r="JVT13" s="21"/>
      <c r="JVU13" s="21"/>
      <c r="JVV13" s="21"/>
      <c r="JVW13" s="21"/>
      <c r="JVX13" s="21"/>
      <c r="JVY13" s="21"/>
      <c r="JVZ13" s="21"/>
      <c r="JWA13" s="21"/>
      <c r="JWB13" s="21"/>
      <c r="JWC13" s="21"/>
      <c r="JWD13" s="21"/>
      <c r="JWE13" s="21"/>
      <c r="JWF13" s="21"/>
      <c r="JWG13" s="21"/>
      <c r="JWH13" s="21"/>
      <c r="JWI13" s="21"/>
      <c r="JWJ13" s="21"/>
      <c r="JWK13" s="21"/>
      <c r="JWL13" s="21"/>
      <c r="JWM13" s="21"/>
      <c r="JWN13" s="21"/>
      <c r="JWO13" s="21"/>
      <c r="JWP13" s="21"/>
      <c r="JWQ13" s="21"/>
      <c r="JWR13" s="21"/>
      <c r="JWS13" s="21"/>
      <c r="JWT13" s="21"/>
      <c r="JWU13" s="21"/>
      <c r="JWV13" s="21"/>
      <c r="JWW13" s="21"/>
      <c r="JWX13" s="21"/>
      <c r="JWY13" s="21"/>
      <c r="JWZ13" s="21"/>
      <c r="JXA13" s="21"/>
      <c r="JXB13" s="21"/>
      <c r="JXC13" s="21"/>
      <c r="JXD13" s="21"/>
      <c r="JXE13" s="21"/>
      <c r="JXF13" s="21"/>
      <c r="JXG13" s="21"/>
      <c r="JXH13" s="21"/>
      <c r="JXI13" s="21"/>
      <c r="JXJ13" s="21"/>
      <c r="JXK13" s="21"/>
      <c r="JXL13" s="21"/>
      <c r="JXM13" s="21"/>
      <c r="JXN13" s="21"/>
      <c r="JXO13" s="21"/>
      <c r="JXP13" s="21"/>
      <c r="JXQ13" s="21"/>
      <c r="JXR13" s="21"/>
      <c r="JXS13" s="21"/>
      <c r="JXT13" s="21"/>
      <c r="JXU13" s="21"/>
      <c r="JXV13" s="21"/>
      <c r="JXW13" s="21"/>
      <c r="JXX13" s="21"/>
      <c r="JXY13" s="21"/>
      <c r="JXZ13" s="21"/>
      <c r="JYA13" s="21"/>
      <c r="JYB13" s="21"/>
      <c r="JYC13" s="21"/>
      <c r="JYD13" s="21"/>
      <c r="JYE13" s="21"/>
      <c r="JYF13" s="21"/>
      <c r="JYG13" s="21"/>
      <c r="JYH13" s="21"/>
      <c r="JYI13" s="21"/>
      <c r="JYJ13" s="21"/>
      <c r="JYK13" s="21"/>
      <c r="JYL13" s="21"/>
      <c r="JYM13" s="21"/>
      <c r="JYN13" s="21"/>
      <c r="JYO13" s="21"/>
      <c r="JYP13" s="21"/>
      <c r="JYQ13" s="21"/>
      <c r="JYR13" s="21"/>
      <c r="JYS13" s="21"/>
      <c r="JYT13" s="21"/>
      <c r="JYU13" s="21"/>
      <c r="JYV13" s="21"/>
      <c r="JYW13" s="21"/>
      <c r="JYX13" s="21"/>
      <c r="JYY13" s="21"/>
      <c r="JYZ13" s="21"/>
      <c r="JZA13" s="21"/>
      <c r="JZB13" s="21"/>
      <c r="JZC13" s="21"/>
      <c r="JZD13" s="21"/>
      <c r="JZE13" s="21"/>
      <c r="JZF13" s="21"/>
      <c r="JZG13" s="21"/>
      <c r="JZH13" s="21"/>
      <c r="JZI13" s="21"/>
      <c r="JZJ13" s="21"/>
      <c r="JZK13" s="21"/>
      <c r="JZL13" s="21"/>
      <c r="JZM13" s="21"/>
      <c r="JZN13" s="21"/>
      <c r="JZO13" s="21"/>
      <c r="JZP13" s="21"/>
      <c r="JZQ13" s="21"/>
      <c r="JZR13" s="21"/>
      <c r="JZS13" s="21"/>
      <c r="JZT13" s="21"/>
      <c r="JZU13" s="21"/>
      <c r="JZV13" s="21"/>
      <c r="JZW13" s="21"/>
      <c r="JZX13" s="21"/>
      <c r="JZY13" s="21"/>
      <c r="JZZ13" s="21"/>
      <c r="KAA13" s="21"/>
      <c r="KAB13" s="21"/>
      <c r="KAC13" s="21"/>
      <c r="KAD13" s="21"/>
      <c r="KAE13" s="21"/>
      <c r="KAF13" s="21"/>
      <c r="KAG13" s="21"/>
      <c r="KAH13" s="21"/>
      <c r="KAI13" s="21"/>
      <c r="KAJ13" s="21"/>
      <c r="KAK13" s="21"/>
      <c r="KAL13" s="21"/>
      <c r="KAM13" s="21"/>
      <c r="KAN13" s="21"/>
      <c r="KAO13" s="21"/>
      <c r="KAP13" s="21"/>
      <c r="KAQ13" s="21"/>
      <c r="KAR13" s="21"/>
      <c r="KAS13" s="21"/>
      <c r="KAT13" s="21"/>
      <c r="KAU13" s="21"/>
      <c r="KAV13" s="21"/>
      <c r="KAW13" s="21"/>
      <c r="KAX13" s="21"/>
      <c r="KAY13" s="21"/>
      <c r="KAZ13" s="21"/>
      <c r="KBA13" s="21"/>
      <c r="KBB13" s="21"/>
      <c r="KBC13" s="21"/>
      <c r="KBD13" s="21"/>
      <c r="KBE13" s="21"/>
      <c r="KBF13" s="21"/>
      <c r="KBG13" s="21"/>
      <c r="KBH13" s="21"/>
      <c r="KBI13" s="21"/>
      <c r="KBJ13" s="21"/>
      <c r="KBK13" s="21"/>
      <c r="KBL13" s="21"/>
      <c r="KBM13" s="21"/>
      <c r="KBN13" s="21"/>
      <c r="KBO13" s="21"/>
      <c r="KBP13" s="21"/>
      <c r="KBQ13" s="21"/>
      <c r="KBR13" s="21"/>
      <c r="KBS13" s="21"/>
      <c r="KBT13" s="21"/>
      <c r="KBU13" s="21"/>
      <c r="KBV13" s="21"/>
      <c r="KBW13" s="21"/>
      <c r="KBX13" s="21"/>
      <c r="KBY13" s="21"/>
      <c r="KBZ13" s="21"/>
      <c r="KCA13" s="21"/>
      <c r="KCB13" s="21"/>
      <c r="KCC13" s="21"/>
      <c r="KCD13" s="21"/>
      <c r="KCE13" s="21"/>
      <c r="KCF13" s="21"/>
      <c r="KCG13" s="21"/>
      <c r="KCH13" s="21"/>
      <c r="KCI13" s="21"/>
      <c r="KCJ13" s="21"/>
      <c r="KCK13" s="21"/>
      <c r="KCL13" s="21"/>
      <c r="KCM13" s="21"/>
      <c r="KCN13" s="21"/>
      <c r="KCO13" s="21"/>
      <c r="KCP13" s="21"/>
      <c r="KCQ13" s="21"/>
      <c r="KCR13" s="21"/>
      <c r="KCS13" s="21"/>
      <c r="KCT13" s="21"/>
      <c r="KCU13" s="21"/>
      <c r="KCV13" s="21"/>
      <c r="KCW13" s="21"/>
      <c r="KCX13" s="21"/>
      <c r="KCY13" s="21"/>
      <c r="KCZ13" s="21"/>
      <c r="KDA13" s="21"/>
      <c r="KDB13" s="21"/>
      <c r="KDC13" s="21"/>
      <c r="KDD13" s="21"/>
      <c r="KDE13" s="21"/>
      <c r="KDF13" s="21"/>
      <c r="KDG13" s="21"/>
      <c r="KDH13" s="21"/>
      <c r="KDI13" s="21"/>
      <c r="KDJ13" s="21"/>
      <c r="KDK13" s="21"/>
      <c r="KDL13" s="21"/>
      <c r="KDM13" s="21"/>
      <c r="KDN13" s="21"/>
      <c r="KDO13" s="21"/>
      <c r="KDP13" s="21"/>
      <c r="KDQ13" s="21"/>
      <c r="KDR13" s="21"/>
      <c r="KDS13" s="21"/>
      <c r="KDT13" s="21"/>
      <c r="KDU13" s="21"/>
      <c r="KDV13" s="21"/>
      <c r="KDW13" s="21"/>
      <c r="KDX13" s="21"/>
      <c r="KDY13" s="21"/>
      <c r="KDZ13" s="21"/>
      <c r="KEA13" s="21"/>
      <c r="KEB13" s="21"/>
      <c r="KEC13" s="21"/>
      <c r="KED13" s="21"/>
      <c r="KEE13" s="21"/>
      <c r="KEF13" s="21"/>
      <c r="KEG13" s="21"/>
      <c r="KEH13" s="21"/>
      <c r="KEI13" s="21"/>
      <c r="KEJ13" s="21"/>
      <c r="KEK13" s="21"/>
      <c r="KEL13" s="21"/>
      <c r="KEM13" s="21"/>
      <c r="KEN13" s="21"/>
      <c r="KEO13" s="21"/>
      <c r="KEP13" s="21"/>
      <c r="KEQ13" s="21"/>
      <c r="KER13" s="21"/>
      <c r="KES13" s="21"/>
      <c r="KET13" s="21"/>
      <c r="KEU13" s="21"/>
      <c r="KEV13" s="21"/>
      <c r="KEW13" s="21"/>
      <c r="KEX13" s="21"/>
      <c r="KEY13" s="21"/>
      <c r="KEZ13" s="21"/>
      <c r="KFA13" s="21"/>
      <c r="KFB13" s="21"/>
      <c r="KFC13" s="21"/>
      <c r="KFD13" s="21"/>
      <c r="KFE13" s="21"/>
      <c r="KFF13" s="21"/>
      <c r="KFG13" s="21"/>
      <c r="KFH13" s="21"/>
      <c r="KFI13" s="21"/>
      <c r="KFJ13" s="21"/>
      <c r="KFK13" s="21"/>
      <c r="KFL13" s="21"/>
      <c r="KFM13" s="21"/>
      <c r="KFN13" s="21"/>
      <c r="KFO13" s="21"/>
      <c r="KFP13" s="21"/>
      <c r="KFQ13" s="21"/>
      <c r="KFR13" s="21"/>
      <c r="KFS13" s="21"/>
      <c r="KFT13" s="21"/>
      <c r="KFU13" s="21"/>
      <c r="KFV13" s="21"/>
      <c r="KFW13" s="21"/>
      <c r="KFX13" s="21"/>
      <c r="KFY13" s="21"/>
      <c r="KFZ13" s="21"/>
      <c r="KGA13" s="21"/>
      <c r="KGB13" s="21"/>
      <c r="KGC13" s="21"/>
      <c r="KGD13" s="21"/>
      <c r="KGE13" s="21"/>
      <c r="KGF13" s="21"/>
      <c r="KGG13" s="21"/>
      <c r="KGH13" s="21"/>
      <c r="KGI13" s="21"/>
      <c r="KGJ13" s="21"/>
      <c r="KGK13" s="21"/>
      <c r="KGL13" s="21"/>
      <c r="KGM13" s="21"/>
      <c r="KGN13" s="21"/>
      <c r="KGO13" s="21"/>
      <c r="KGP13" s="21"/>
      <c r="KGQ13" s="21"/>
      <c r="KGR13" s="21"/>
      <c r="KGS13" s="21"/>
      <c r="KGT13" s="21"/>
      <c r="KGU13" s="21"/>
      <c r="KGV13" s="21"/>
      <c r="KGW13" s="21"/>
      <c r="KGX13" s="21"/>
      <c r="KGY13" s="21"/>
      <c r="KGZ13" s="21"/>
      <c r="KHA13" s="21"/>
      <c r="KHB13" s="21"/>
      <c r="KHC13" s="21"/>
      <c r="KHD13" s="21"/>
      <c r="KHE13" s="21"/>
      <c r="KHF13" s="21"/>
      <c r="KHG13" s="21"/>
      <c r="KHH13" s="21"/>
      <c r="KHI13" s="21"/>
      <c r="KHJ13" s="21"/>
      <c r="KHK13" s="21"/>
      <c r="KHL13" s="21"/>
      <c r="KHM13" s="21"/>
      <c r="KHN13" s="21"/>
      <c r="KHO13" s="21"/>
      <c r="KHP13" s="21"/>
      <c r="KHQ13" s="21"/>
      <c r="KHR13" s="21"/>
      <c r="KHS13" s="21"/>
      <c r="KHT13" s="21"/>
      <c r="KHU13" s="21"/>
      <c r="KHV13" s="21"/>
      <c r="KHW13" s="21"/>
      <c r="KHX13" s="21"/>
      <c r="KHY13" s="21"/>
      <c r="KHZ13" s="21"/>
      <c r="KIA13" s="21"/>
      <c r="KIB13" s="21"/>
      <c r="KIC13" s="21"/>
      <c r="KID13" s="21"/>
      <c r="KIE13" s="21"/>
      <c r="KIF13" s="21"/>
      <c r="KIG13" s="21"/>
      <c r="KIH13" s="21"/>
      <c r="KII13" s="21"/>
      <c r="KIJ13" s="21"/>
      <c r="KIK13" s="21"/>
      <c r="KIL13" s="21"/>
      <c r="KIM13" s="21"/>
      <c r="KIN13" s="21"/>
      <c r="KIO13" s="21"/>
      <c r="KIP13" s="21"/>
      <c r="KIQ13" s="21"/>
      <c r="KIR13" s="21"/>
      <c r="KIS13" s="21"/>
      <c r="KIT13" s="21"/>
      <c r="KIU13" s="21"/>
      <c r="KIV13" s="21"/>
      <c r="KIW13" s="21"/>
      <c r="KIX13" s="21"/>
      <c r="KIY13" s="21"/>
      <c r="KIZ13" s="21"/>
      <c r="KJA13" s="21"/>
      <c r="KJB13" s="21"/>
      <c r="KJC13" s="21"/>
      <c r="KJD13" s="21"/>
      <c r="KJE13" s="21"/>
      <c r="KJF13" s="21"/>
      <c r="KJG13" s="21"/>
      <c r="KJH13" s="21"/>
      <c r="KJI13" s="21"/>
      <c r="KJJ13" s="21"/>
      <c r="KJK13" s="21"/>
      <c r="KJL13" s="21"/>
      <c r="KJM13" s="21"/>
      <c r="KJN13" s="21"/>
      <c r="KJO13" s="21"/>
      <c r="KJP13" s="21"/>
      <c r="KJQ13" s="21"/>
      <c r="KJR13" s="21"/>
      <c r="KJS13" s="21"/>
      <c r="KJT13" s="21"/>
      <c r="KJU13" s="21"/>
      <c r="KJV13" s="21"/>
      <c r="KJW13" s="21"/>
      <c r="KJX13" s="21"/>
      <c r="KJY13" s="21"/>
      <c r="KJZ13" s="21"/>
      <c r="KKA13" s="21"/>
      <c r="KKB13" s="21"/>
      <c r="KKC13" s="21"/>
      <c r="KKD13" s="21"/>
      <c r="KKE13" s="21"/>
      <c r="KKF13" s="21"/>
      <c r="KKG13" s="21"/>
      <c r="KKH13" s="21"/>
      <c r="KKI13" s="21"/>
      <c r="KKJ13" s="21"/>
      <c r="KKK13" s="21"/>
      <c r="KKL13" s="21"/>
      <c r="KKM13" s="21"/>
      <c r="KKN13" s="21"/>
      <c r="KKO13" s="21"/>
      <c r="KKP13" s="21"/>
      <c r="KKQ13" s="21"/>
      <c r="KKR13" s="21"/>
      <c r="KKS13" s="21"/>
      <c r="KKT13" s="21"/>
      <c r="KKU13" s="21"/>
      <c r="KKV13" s="21"/>
      <c r="KKW13" s="21"/>
      <c r="KKX13" s="21"/>
      <c r="KKY13" s="21"/>
      <c r="KKZ13" s="21"/>
      <c r="KLA13" s="21"/>
      <c r="KLB13" s="21"/>
      <c r="KLC13" s="21"/>
      <c r="KLD13" s="21"/>
      <c r="KLE13" s="21"/>
      <c r="KLF13" s="21"/>
      <c r="KLG13" s="21"/>
      <c r="KLH13" s="21"/>
      <c r="KLI13" s="21"/>
      <c r="KLJ13" s="21"/>
      <c r="KLK13" s="21"/>
      <c r="KLL13" s="21"/>
      <c r="KLM13" s="21"/>
      <c r="KLN13" s="21"/>
      <c r="KLO13" s="21"/>
      <c r="KLP13" s="21"/>
      <c r="KLQ13" s="21"/>
      <c r="KLR13" s="21"/>
      <c r="KLS13" s="21"/>
      <c r="KLT13" s="21"/>
      <c r="KLU13" s="21"/>
      <c r="KLV13" s="21"/>
      <c r="KLW13" s="21"/>
      <c r="KLX13" s="21"/>
      <c r="KLY13" s="21"/>
      <c r="KLZ13" s="21"/>
      <c r="KMA13" s="21"/>
      <c r="KMB13" s="21"/>
      <c r="KMC13" s="21"/>
      <c r="KMD13" s="21"/>
      <c r="KME13" s="21"/>
      <c r="KMF13" s="21"/>
      <c r="KMG13" s="21"/>
      <c r="KMH13" s="21"/>
      <c r="KMI13" s="21"/>
      <c r="KMJ13" s="21"/>
      <c r="KMK13" s="21"/>
      <c r="KML13" s="21"/>
      <c r="KMM13" s="21"/>
      <c r="KMN13" s="21"/>
      <c r="KMO13" s="21"/>
      <c r="KMP13" s="21"/>
      <c r="KMQ13" s="21"/>
      <c r="KMR13" s="21"/>
      <c r="KMS13" s="21"/>
      <c r="KMT13" s="21"/>
      <c r="KMU13" s="21"/>
      <c r="KMV13" s="21"/>
      <c r="KMW13" s="21"/>
      <c r="KMX13" s="21"/>
      <c r="KMY13" s="21"/>
      <c r="KMZ13" s="21"/>
      <c r="KNA13" s="21"/>
      <c r="KNB13" s="21"/>
      <c r="KNC13" s="21"/>
      <c r="KND13" s="21"/>
      <c r="KNE13" s="21"/>
      <c r="KNF13" s="21"/>
      <c r="KNG13" s="21"/>
      <c r="KNH13" s="21"/>
      <c r="KNI13" s="21"/>
      <c r="KNJ13" s="21"/>
      <c r="KNK13" s="21"/>
      <c r="KNL13" s="21"/>
      <c r="KNM13" s="21"/>
      <c r="KNN13" s="21"/>
      <c r="KNO13" s="21"/>
      <c r="KNP13" s="21"/>
      <c r="KNQ13" s="21"/>
      <c r="KNR13" s="21"/>
      <c r="KNS13" s="21"/>
      <c r="KNT13" s="21"/>
      <c r="KNU13" s="21"/>
      <c r="KNV13" s="21"/>
      <c r="KNW13" s="21"/>
      <c r="KNX13" s="21"/>
      <c r="KNY13" s="21"/>
      <c r="KNZ13" s="21"/>
      <c r="KOA13" s="21"/>
      <c r="KOB13" s="21"/>
      <c r="KOC13" s="21"/>
      <c r="KOD13" s="21"/>
      <c r="KOE13" s="21"/>
      <c r="KOF13" s="21"/>
      <c r="KOG13" s="21"/>
      <c r="KOH13" s="21"/>
      <c r="KOI13" s="21"/>
      <c r="KOJ13" s="21"/>
      <c r="KOK13" s="21"/>
      <c r="KOL13" s="21"/>
      <c r="KOM13" s="21"/>
      <c r="KON13" s="21"/>
      <c r="KOO13" s="21"/>
      <c r="KOP13" s="21"/>
      <c r="KOQ13" s="21"/>
      <c r="KOR13" s="21"/>
      <c r="KOS13" s="21"/>
      <c r="KOT13" s="21"/>
      <c r="KOU13" s="21"/>
      <c r="KOV13" s="21"/>
      <c r="KOW13" s="21"/>
      <c r="KOX13" s="21"/>
      <c r="KOY13" s="21"/>
      <c r="KOZ13" s="21"/>
      <c r="KPA13" s="21"/>
      <c r="KPB13" s="21"/>
      <c r="KPC13" s="21"/>
      <c r="KPD13" s="21"/>
      <c r="KPE13" s="21"/>
      <c r="KPF13" s="21"/>
      <c r="KPG13" s="21"/>
      <c r="KPH13" s="21"/>
      <c r="KPI13" s="21"/>
      <c r="KPJ13" s="21"/>
      <c r="KPK13" s="21"/>
      <c r="KPL13" s="21"/>
      <c r="KPM13" s="21"/>
      <c r="KPN13" s="21"/>
      <c r="KPO13" s="21"/>
      <c r="KPP13" s="21"/>
      <c r="KPQ13" s="21"/>
      <c r="KPR13" s="21"/>
      <c r="KPS13" s="21"/>
      <c r="KPT13" s="21"/>
      <c r="KPU13" s="21"/>
      <c r="KPV13" s="21"/>
      <c r="KPW13" s="21"/>
      <c r="KPX13" s="21"/>
      <c r="KPY13" s="21"/>
      <c r="KPZ13" s="21"/>
      <c r="KQA13" s="21"/>
      <c r="KQB13" s="21"/>
      <c r="KQC13" s="21"/>
      <c r="KQD13" s="21"/>
      <c r="KQE13" s="21"/>
      <c r="KQF13" s="21"/>
      <c r="KQG13" s="21"/>
      <c r="KQH13" s="21"/>
      <c r="KQI13" s="21"/>
      <c r="KQJ13" s="21"/>
      <c r="KQK13" s="21"/>
      <c r="KQL13" s="21"/>
      <c r="KQM13" s="21"/>
      <c r="KQN13" s="21"/>
      <c r="KQO13" s="21"/>
      <c r="KQP13" s="21"/>
      <c r="KQQ13" s="21"/>
      <c r="KQR13" s="21"/>
      <c r="KQS13" s="21"/>
      <c r="KQT13" s="21"/>
      <c r="KQU13" s="21"/>
      <c r="KQV13" s="21"/>
      <c r="KQW13" s="21"/>
      <c r="KQX13" s="21"/>
      <c r="KQY13" s="21"/>
      <c r="KQZ13" s="21"/>
      <c r="KRA13" s="21"/>
      <c r="KRB13" s="21"/>
      <c r="KRC13" s="21"/>
      <c r="KRD13" s="21"/>
      <c r="KRE13" s="21"/>
      <c r="KRF13" s="21"/>
      <c r="KRG13" s="21"/>
      <c r="KRH13" s="21"/>
      <c r="KRI13" s="21"/>
      <c r="KRJ13" s="21"/>
      <c r="KRK13" s="21"/>
      <c r="KRL13" s="21"/>
      <c r="KRM13" s="21"/>
      <c r="KRN13" s="21"/>
      <c r="KRO13" s="21"/>
      <c r="KRP13" s="21"/>
      <c r="KRQ13" s="21"/>
      <c r="KRR13" s="21"/>
      <c r="KRS13" s="21"/>
      <c r="KRT13" s="21"/>
      <c r="KRU13" s="21"/>
      <c r="KRV13" s="21"/>
      <c r="KRW13" s="21"/>
      <c r="KRX13" s="21"/>
      <c r="KRY13" s="21"/>
      <c r="KRZ13" s="21"/>
      <c r="KSA13" s="21"/>
      <c r="KSB13" s="21"/>
      <c r="KSC13" s="21"/>
      <c r="KSD13" s="21"/>
      <c r="KSE13" s="21"/>
      <c r="KSF13" s="21"/>
      <c r="KSG13" s="21"/>
      <c r="KSH13" s="21"/>
      <c r="KSI13" s="21"/>
      <c r="KSJ13" s="21"/>
      <c r="KSK13" s="21"/>
      <c r="KSL13" s="21"/>
      <c r="KSM13" s="21"/>
      <c r="KSN13" s="21"/>
      <c r="KSO13" s="21"/>
      <c r="KSP13" s="21"/>
      <c r="KSQ13" s="21"/>
      <c r="KSR13" s="21"/>
      <c r="KSS13" s="21"/>
      <c r="KST13" s="21"/>
      <c r="KSU13" s="21"/>
      <c r="KSV13" s="21"/>
      <c r="KSW13" s="21"/>
      <c r="KSX13" s="21"/>
      <c r="KSY13" s="21"/>
      <c r="KSZ13" s="21"/>
      <c r="KTA13" s="21"/>
      <c r="KTB13" s="21"/>
      <c r="KTC13" s="21"/>
      <c r="KTD13" s="21"/>
      <c r="KTE13" s="21"/>
      <c r="KTF13" s="21"/>
      <c r="KTG13" s="21"/>
      <c r="KTH13" s="21"/>
      <c r="KTI13" s="21"/>
      <c r="KTJ13" s="21"/>
      <c r="KTK13" s="21"/>
      <c r="KTL13" s="21"/>
      <c r="KTM13" s="21"/>
      <c r="KTN13" s="21"/>
      <c r="KTO13" s="21"/>
      <c r="KTP13" s="21"/>
      <c r="KTQ13" s="21"/>
      <c r="KTR13" s="21"/>
      <c r="KTS13" s="21"/>
      <c r="KTT13" s="21"/>
      <c r="KTU13" s="21"/>
      <c r="KTV13" s="21"/>
      <c r="KTW13" s="21"/>
      <c r="KTX13" s="21"/>
      <c r="KTY13" s="21"/>
      <c r="KTZ13" s="21"/>
      <c r="KUA13" s="21"/>
      <c r="KUB13" s="21"/>
      <c r="KUC13" s="21"/>
      <c r="KUD13" s="21"/>
      <c r="KUE13" s="21"/>
      <c r="KUF13" s="21"/>
      <c r="KUG13" s="21"/>
      <c r="KUH13" s="21"/>
      <c r="KUI13" s="21"/>
      <c r="KUJ13" s="21"/>
      <c r="KUK13" s="21"/>
      <c r="KUL13" s="21"/>
      <c r="KUM13" s="21"/>
      <c r="KUN13" s="21"/>
      <c r="KUO13" s="21"/>
      <c r="KUP13" s="21"/>
      <c r="KUQ13" s="21"/>
      <c r="KUR13" s="21"/>
      <c r="KUS13" s="21"/>
      <c r="KUT13" s="21"/>
      <c r="KUU13" s="21"/>
      <c r="KUV13" s="21"/>
      <c r="KUW13" s="21"/>
      <c r="KUX13" s="21"/>
      <c r="KUY13" s="21"/>
      <c r="KUZ13" s="21"/>
      <c r="KVA13" s="21"/>
      <c r="KVB13" s="21"/>
      <c r="KVC13" s="21"/>
      <c r="KVD13" s="21"/>
      <c r="KVE13" s="21"/>
      <c r="KVF13" s="21"/>
      <c r="KVG13" s="21"/>
      <c r="KVH13" s="21"/>
      <c r="KVI13" s="21"/>
      <c r="KVJ13" s="21"/>
      <c r="KVK13" s="21"/>
      <c r="KVL13" s="21"/>
      <c r="KVM13" s="21"/>
      <c r="KVN13" s="21"/>
      <c r="KVO13" s="21"/>
      <c r="KVP13" s="21"/>
      <c r="KVQ13" s="21"/>
      <c r="KVR13" s="21"/>
      <c r="KVS13" s="21"/>
      <c r="KVT13" s="21"/>
      <c r="KVU13" s="21"/>
      <c r="KVV13" s="21"/>
      <c r="KVW13" s="21"/>
      <c r="KVX13" s="21"/>
      <c r="KVY13" s="21"/>
      <c r="KVZ13" s="21"/>
      <c r="KWA13" s="21"/>
      <c r="KWB13" s="21"/>
      <c r="KWC13" s="21"/>
      <c r="KWD13" s="21"/>
      <c r="KWE13" s="21"/>
      <c r="KWF13" s="21"/>
      <c r="KWG13" s="21"/>
      <c r="KWH13" s="21"/>
      <c r="KWI13" s="21"/>
      <c r="KWJ13" s="21"/>
      <c r="KWK13" s="21"/>
      <c r="KWL13" s="21"/>
      <c r="KWM13" s="21"/>
      <c r="KWN13" s="21"/>
      <c r="KWO13" s="21"/>
      <c r="KWP13" s="21"/>
      <c r="KWQ13" s="21"/>
      <c r="KWR13" s="21"/>
      <c r="KWS13" s="21"/>
      <c r="KWT13" s="21"/>
      <c r="KWU13" s="21"/>
      <c r="KWV13" s="21"/>
      <c r="KWW13" s="21"/>
      <c r="KWX13" s="21"/>
      <c r="KWY13" s="21"/>
      <c r="KWZ13" s="21"/>
      <c r="KXA13" s="21"/>
      <c r="KXB13" s="21"/>
      <c r="KXC13" s="21"/>
      <c r="KXD13" s="21"/>
      <c r="KXE13" s="21"/>
      <c r="KXF13" s="21"/>
      <c r="KXG13" s="21"/>
      <c r="KXH13" s="21"/>
      <c r="KXI13" s="21"/>
      <c r="KXJ13" s="21"/>
      <c r="KXK13" s="21"/>
      <c r="KXL13" s="21"/>
      <c r="KXM13" s="21"/>
      <c r="KXN13" s="21"/>
      <c r="KXO13" s="21"/>
      <c r="KXP13" s="21"/>
      <c r="KXQ13" s="21"/>
      <c r="KXR13" s="21"/>
      <c r="KXS13" s="21"/>
      <c r="KXT13" s="21"/>
      <c r="KXU13" s="21"/>
      <c r="KXV13" s="21"/>
      <c r="KXW13" s="21"/>
      <c r="KXX13" s="21"/>
      <c r="KXY13" s="21"/>
      <c r="KXZ13" s="21"/>
      <c r="KYA13" s="21"/>
      <c r="KYB13" s="21"/>
      <c r="KYC13" s="21"/>
      <c r="KYD13" s="21"/>
      <c r="KYE13" s="21"/>
      <c r="KYF13" s="21"/>
      <c r="KYG13" s="21"/>
      <c r="KYH13" s="21"/>
      <c r="KYI13" s="21"/>
      <c r="KYJ13" s="21"/>
      <c r="KYK13" s="21"/>
      <c r="KYL13" s="21"/>
      <c r="KYM13" s="21"/>
      <c r="KYN13" s="21"/>
      <c r="KYO13" s="21"/>
      <c r="KYP13" s="21"/>
      <c r="KYQ13" s="21"/>
      <c r="KYR13" s="21"/>
      <c r="KYS13" s="21"/>
      <c r="KYT13" s="21"/>
      <c r="KYU13" s="21"/>
      <c r="KYV13" s="21"/>
      <c r="KYW13" s="21"/>
      <c r="KYX13" s="21"/>
      <c r="KYY13" s="21"/>
      <c r="KYZ13" s="21"/>
      <c r="KZA13" s="21"/>
      <c r="KZB13" s="21"/>
      <c r="KZC13" s="21"/>
      <c r="KZD13" s="21"/>
      <c r="KZE13" s="21"/>
      <c r="KZF13" s="21"/>
      <c r="KZG13" s="21"/>
      <c r="KZH13" s="21"/>
      <c r="KZI13" s="21"/>
      <c r="KZJ13" s="21"/>
      <c r="KZK13" s="21"/>
      <c r="KZL13" s="21"/>
      <c r="KZM13" s="21"/>
      <c r="KZN13" s="21"/>
      <c r="KZO13" s="21"/>
      <c r="KZP13" s="21"/>
      <c r="KZQ13" s="21"/>
      <c r="KZR13" s="21"/>
      <c r="KZS13" s="21"/>
      <c r="KZT13" s="21"/>
      <c r="KZU13" s="21"/>
      <c r="KZV13" s="21"/>
      <c r="KZW13" s="21"/>
      <c r="KZX13" s="21"/>
      <c r="KZY13" s="21"/>
      <c r="KZZ13" s="21"/>
      <c r="LAA13" s="21"/>
      <c r="LAB13" s="21"/>
      <c r="LAC13" s="21"/>
      <c r="LAD13" s="21"/>
      <c r="LAE13" s="21"/>
      <c r="LAF13" s="21"/>
      <c r="LAG13" s="21"/>
      <c r="LAH13" s="21"/>
      <c r="LAI13" s="21"/>
      <c r="LAJ13" s="21"/>
      <c r="LAK13" s="21"/>
      <c r="LAL13" s="21"/>
      <c r="LAM13" s="21"/>
      <c r="LAN13" s="21"/>
      <c r="LAO13" s="21"/>
      <c r="LAP13" s="21"/>
      <c r="LAQ13" s="21"/>
      <c r="LAR13" s="21"/>
      <c r="LAS13" s="21"/>
      <c r="LAT13" s="21"/>
      <c r="LAU13" s="21"/>
      <c r="LAV13" s="21"/>
      <c r="LAW13" s="21"/>
      <c r="LAX13" s="21"/>
      <c r="LAY13" s="21"/>
      <c r="LAZ13" s="21"/>
      <c r="LBA13" s="21"/>
      <c r="LBB13" s="21"/>
      <c r="LBC13" s="21"/>
      <c r="LBD13" s="21"/>
      <c r="LBE13" s="21"/>
      <c r="LBF13" s="21"/>
      <c r="LBG13" s="21"/>
      <c r="LBH13" s="21"/>
      <c r="LBI13" s="21"/>
      <c r="LBJ13" s="21"/>
      <c r="LBK13" s="21"/>
      <c r="LBL13" s="21"/>
      <c r="LBM13" s="21"/>
      <c r="LBN13" s="21"/>
      <c r="LBO13" s="21"/>
      <c r="LBP13" s="21"/>
      <c r="LBQ13" s="21"/>
      <c r="LBR13" s="21"/>
      <c r="LBS13" s="21"/>
      <c r="LBT13" s="21"/>
      <c r="LBU13" s="21"/>
      <c r="LBV13" s="21"/>
      <c r="LBW13" s="21"/>
      <c r="LBX13" s="21"/>
      <c r="LBY13" s="21"/>
      <c r="LBZ13" s="21"/>
      <c r="LCA13" s="21"/>
      <c r="LCB13" s="21"/>
      <c r="LCC13" s="21"/>
      <c r="LCD13" s="21"/>
      <c r="LCE13" s="21"/>
      <c r="LCF13" s="21"/>
      <c r="LCG13" s="21"/>
      <c r="LCH13" s="21"/>
      <c r="LCI13" s="21"/>
      <c r="LCJ13" s="21"/>
      <c r="LCK13" s="21"/>
      <c r="LCL13" s="21"/>
      <c r="LCM13" s="21"/>
      <c r="LCN13" s="21"/>
      <c r="LCO13" s="21"/>
      <c r="LCP13" s="21"/>
      <c r="LCQ13" s="21"/>
      <c r="LCR13" s="21"/>
      <c r="LCS13" s="21"/>
      <c r="LCT13" s="21"/>
      <c r="LCU13" s="21"/>
      <c r="LCV13" s="21"/>
      <c r="LCW13" s="21"/>
      <c r="LCX13" s="21"/>
      <c r="LCY13" s="21"/>
      <c r="LCZ13" s="21"/>
      <c r="LDA13" s="21"/>
      <c r="LDB13" s="21"/>
      <c r="LDC13" s="21"/>
      <c r="LDD13" s="21"/>
      <c r="LDE13" s="21"/>
      <c r="LDF13" s="21"/>
      <c r="LDG13" s="21"/>
      <c r="LDH13" s="21"/>
      <c r="LDI13" s="21"/>
      <c r="LDJ13" s="21"/>
      <c r="LDK13" s="21"/>
      <c r="LDL13" s="21"/>
      <c r="LDM13" s="21"/>
      <c r="LDN13" s="21"/>
      <c r="LDO13" s="21"/>
      <c r="LDP13" s="21"/>
      <c r="LDQ13" s="21"/>
      <c r="LDR13" s="21"/>
      <c r="LDS13" s="21"/>
      <c r="LDT13" s="21"/>
      <c r="LDU13" s="21"/>
      <c r="LDV13" s="21"/>
      <c r="LDW13" s="21"/>
      <c r="LDX13" s="21"/>
      <c r="LDY13" s="21"/>
      <c r="LDZ13" s="21"/>
      <c r="LEA13" s="21"/>
      <c r="LEB13" s="21"/>
      <c r="LEC13" s="21"/>
      <c r="LED13" s="21"/>
      <c r="LEE13" s="21"/>
      <c r="LEF13" s="21"/>
      <c r="LEG13" s="21"/>
      <c r="LEH13" s="21"/>
      <c r="LEI13" s="21"/>
      <c r="LEJ13" s="21"/>
      <c r="LEK13" s="21"/>
      <c r="LEL13" s="21"/>
      <c r="LEM13" s="21"/>
      <c r="LEN13" s="21"/>
      <c r="LEO13" s="21"/>
      <c r="LEP13" s="21"/>
      <c r="LEQ13" s="21"/>
      <c r="LER13" s="21"/>
      <c r="LES13" s="21"/>
      <c r="LET13" s="21"/>
      <c r="LEU13" s="21"/>
      <c r="LEV13" s="21"/>
      <c r="LEW13" s="21"/>
      <c r="LEX13" s="21"/>
      <c r="LEY13" s="21"/>
      <c r="LEZ13" s="21"/>
      <c r="LFA13" s="21"/>
      <c r="LFB13" s="21"/>
      <c r="LFC13" s="21"/>
      <c r="LFD13" s="21"/>
      <c r="LFE13" s="21"/>
      <c r="LFF13" s="21"/>
      <c r="LFG13" s="21"/>
      <c r="LFH13" s="21"/>
      <c r="LFI13" s="21"/>
      <c r="LFJ13" s="21"/>
      <c r="LFK13" s="21"/>
      <c r="LFL13" s="21"/>
      <c r="LFM13" s="21"/>
      <c r="LFN13" s="21"/>
      <c r="LFO13" s="21"/>
      <c r="LFP13" s="21"/>
      <c r="LFQ13" s="21"/>
      <c r="LFR13" s="21"/>
      <c r="LFS13" s="21"/>
      <c r="LFT13" s="21"/>
      <c r="LFU13" s="21"/>
      <c r="LFV13" s="21"/>
      <c r="LFW13" s="21"/>
      <c r="LFX13" s="21"/>
      <c r="LFY13" s="21"/>
      <c r="LFZ13" s="21"/>
      <c r="LGA13" s="21"/>
      <c r="LGB13" s="21"/>
      <c r="LGC13" s="21"/>
      <c r="LGD13" s="21"/>
      <c r="LGE13" s="21"/>
      <c r="LGF13" s="21"/>
      <c r="LGG13" s="21"/>
      <c r="LGH13" s="21"/>
      <c r="LGI13" s="21"/>
      <c r="LGJ13" s="21"/>
      <c r="LGK13" s="21"/>
      <c r="LGL13" s="21"/>
      <c r="LGM13" s="21"/>
      <c r="LGN13" s="21"/>
      <c r="LGO13" s="21"/>
      <c r="LGP13" s="21"/>
      <c r="LGQ13" s="21"/>
      <c r="LGR13" s="21"/>
      <c r="LGS13" s="21"/>
      <c r="LGT13" s="21"/>
      <c r="LGU13" s="21"/>
      <c r="LGV13" s="21"/>
      <c r="LGW13" s="21"/>
      <c r="LGX13" s="21"/>
      <c r="LGY13" s="21"/>
      <c r="LGZ13" s="21"/>
      <c r="LHA13" s="21"/>
      <c r="LHB13" s="21"/>
      <c r="LHC13" s="21"/>
      <c r="LHD13" s="21"/>
      <c r="LHE13" s="21"/>
      <c r="LHF13" s="21"/>
      <c r="LHG13" s="21"/>
      <c r="LHH13" s="21"/>
      <c r="LHI13" s="21"/>
      <c r="LHJ13" s="21"/>
      <c r="LHK13" s="21"/>
      <c r="LHL13" s="21"/>
      <c r="LHM13" s="21"/>
      <c r="LHN13" s="21"/>
      <c r="LHO13" s="21"/>
      <c r="LHP13" s="21"/>
      <c r="LHQ13" s="21"/>
      <c r="LHR13" s="21"/>
      <c r="LHS13" s="21"/>
      <c r="LHT13" s="21"/>
      <c r="LHU13" s="21"/>
      <c r="LHV13" s="21"/>
      <c r="LHW13" s="21"/>
      <c r="LHX13" s="21"/>
      <c r="LHY13" s="21"/>
      <c r="LHZ13" s="21"/>
      <c r="LIA13" s="21"/>
      <c r="LIB13" s="21"/>
      <c r="LIC13" s="21"/>
      <c r="LID13" s="21"/>
      <c r="LIE13" s="21"/>
      <c r="LIF13" s="21"/>
      <c r="LIG13" s="21"/>
      <c r="LIH13" s="21"/>
      <c r="LII13" s="21"/>
      <c r="LIJ13" s="21"/>
      <c r="LIK13" s="21"/>
      <c r="LIL13" s="21"/>
      <c r="LIM13" s="21"/>
      <c r="LIN13" s="21"/>
      <c r="LIO13" s="21"/>
      <c r="LIP13" s="21"/>
      <c r="LIQ13" s="21"/>
      <c r="LIR13" s="21"/>
      <c r="LIS13" s="21"/>
      <c r="LIT13" s="21"/>
      <c r="LIU13" s="21"/>
      <c r="LIV13" s="21"/>
      <c r="LIW13" s="21"/>
      <c r="LIX13" s="21"/>
      <c r="LIY13" s="21"/>
      <c r="LIZ13" s="21"/>
      <c r="LJA13" s="21"/>
      <c r="LJB13" s="21"/>
      <c r="LJC13" s="21"/>
      <c r="LJD13" s="21"/>
      <c r="LJE13" s="21"/>
      <c r="LJF13" s="21"/>
      <c r="LJG13" s="21"/>
      <c r="LJH13" s="21"/>
      <c r="LJI13" s="21"/>
      <c r="LJJ13" s="21"/>
      <c r="LJK13" s="21"/>
      <c r="LJL13" s="21"/>
      <c r="LJM13" s="21"/>
      <c r="LJN13" s="21"/>
      <c r="LJO13" s="21"/>
      <c r="LJP13" s="21"/>
      <c r="LJQ13" s="21"/>
      <c r="LJR13" s="21"/>
      <c r="LJS13" s="21"/>
      <c r="LJT13" s="21"/>
      <c r="LJU13" s="21"/>
      <c r="LJV13" s="21"/>
      <c r="LJW13" s="21"/>
      <c r="LJX13" s="21"/>
      <c r="LJY13" s="21"/>
      <c r="LJZ13" s="21"/>
      <c r="LKA13" s="21"/>
      <c r="LKB13" s="21"/>
      <c r="LKC13" s="21"/>
      <c r="LKD13" s="21"/>
      <c r="LKE13" s="21"/>
      <c r="LKF13" s="21"/>
      <c r="LKG13" s="21"/>
      <c r="LKH13" s="21"/>
      <c r="LKI13" s="21"/>
      <c r="LKJ13" s="21"/>
      <c r="LKK13" s="21"/>
      <c r="LKL13" s="21"/>
      <c r="LKM13" s="21"/>
      <c r="LKN13" s="21"/>
      <c r="LKO13" s="21"/>
      <c r="LKP13" s="21"/>
      <c r="LKQ13" s="21"/>
      <c r="LKR13" s="21"/>
      <c r="LKS13" s="21"/>
      <c r="LKT13" s="21"/>
      <c r="LKU13" s="21"/>
      <c r="LKV13" s="21"/>
      <c r="LKW13" s="21"/>
      <c r="LKX13" s="21"/>
      <c r="LKY13" s="21"/>
      <c r="LKZ13" s="21"/>
      <c r="LLA13" s="21"/>
      <c r="LLB13" s="21"/>
      <c r="LLC13" s="21"/>
      <c r="LLD13" s="21"/>
      <c r="LLE13" s="21"/>
      <c r="LLF13" s="21"/>
      <c r="LLG13" s="21"/>
      <c r="LLH13" s="21"/>
      <c r="LLI13" s="21"/>
      <c r="LLJ13" s="21"/>
      <c r="LLK13" s="21"/>
      <c r="LLL13" s="21"/>
      <c r="LLM13" s="21"/>
      <c r="LLN13" s="21"/>
      <c r="LLO13" s="21"/>
      <c r="LLP13" s="21"/>
      <c r="LLQ13" s="21"/>
      <c r="LLR13" s="21"/>
      <c r="LLS13" s="21"/>
      <c r="LLT13" s="21"/>
      <c r="LLU13" s="21"/>
      <c r="LLV13" s="21"/>
      <c r="LLW13" s="21"/>
      <c r="LLX13" s="21"/>
      <c r="LLY13" s="21"/>
      <c r="LLZ13" s="21"/>
      <c r="LMA13" s="21"/>
      <c r="LMB13" s="21"/>
      <c r="LMC13" s="21"/>
      <c r="LMD13" s="21"/>
      <c r="LME13" s="21"/>
      <c r="LMF13" s="21"/>
      <c r="LMG13" s="21"/>
      <c r="LMH13" s="21"/>
      <c r="LMI13" s="21"/>
      <c r="LMJ13" s="21"/>
      <c r="LMK13" s="21"/>
      <c r="LML13" s="21"/>
      <c r="LMM13" s="21"/>
      <c r="LMN13" s="21"/>
      <c r="LMO13" s="21"/>
      <c r="LMP13" s="21"/>
      <c r="LMQ13" s="21"/>
      <c r="LMR13" s="21"/>
      <c r="LMS13" s="21"/>
      <c r="LMT13" s="21"/>
      <c r="LMU13" s="21"/>
      <c r="LMV13" s="21"/>
      <c r="LMW13" s="21"/>
      <c r="LMX13" s="21"/>
      <c r="LMY13" s="21"/>
      <c r="LMZ13" s="21"/>
      <c r="LNA13" s="21"/>
      <c r="LNB13" s="21"/>
      <c r="LNC13" s="21"/>
      <c r="LND13" s="21"/>
      <c r="LNE13" s="21"/>
      <c r="LNF13" s="21"/>
      <c r="LNG13" s="21"/>
      <c r="LNH13" s="21"/>
      <c r="LNI13" s="21"/>
      <c r="LNJ13" s="21"/>
      <c r="LNK13" s="21"/>
      <c r="LNL13" s="21"/>
      <c r="LNM13" s="21"/>
      <c r="LNN13" s="21"/>
      <c r="LNO13" s="21"/>
      <c r="LNP13" s="21"/>
      <c r="LNQ13" s="21"/>
      <c r="LNR13" s="21"/>
      <c r="LNS13" s="21"/>
      <c r="LNT13" s="21"/>
      <c r="LNU13" s="21"/>
      <c r="LNV13" s="21"/>
      <c r="LNW13" s="21"/>
      <c r="LNX13" s="21"/>
      <c r="LNY13" s="21"/>
      <c r="LNZ13" s="21"/>
      <c r="LOA13" s="21"/>
      <c r="LOB13" s="21"/>
      <c r="LOC13" s="21"/>
      <c r="LOD13" s="21"/>
      <c r="LOE13" s="21"/>
      <c r="LOF13" s="21"/>
      <c r="LOG13" s="21"/>
      <c r="LOH13" s="21"/>
      <c r="LOI13" s="21"/>
      <c r="LOJ13" s="21"/>
      <c r="LOK13" s="21"/>
      <c r="LOL13" s="21"/>
      <c r="LOM13" s="21"/>
      <c r="LON13" s="21"/>
      <c r="LOO13" s="21"/>
      <c r="LOP13" s="21"/>
      <c r="LOQ13" s="21"/>
      <c r="LOR13" s="21"/>
      <c r="LOS13" s="21"/>
      <c r="LOT13" s="21"/>
      <c r="LOU13" s="21"/>
      <c r="LOV13" s="21"/>
      <c r="LOW13" s="21"/>
      <c r="LOX13" s="21"/>
      <c r="LOY13" s="21"/>
      <c r="LOZ13" s="21"/>
      <c r="LPA13" s="21"/>
      <c r="LPB13" s="21"/>
      <c r="LPC13" s="21"/>
      <c r="LPD13" s="21"/>
      <c r="LPE13" s="21"/>
      <c r="LPF13" s="21"/>
      <c r="LPG13" s="21"/>
      <c r="LPH13" s="21"/>
      <c r="LPI13" s="21"/>
      <c r="LPJ13" s="21"/>
      <c r="LPK13" s="21"/>
      <c r="LPL13" s="21"/>
      <c r="LPM13" s="21"/>
      <c r="LPN13" s="21"/>
      <c r="LPO13" s="21"/>
      <c r="LPP13" s="21"/>
      <c r="LPQ13" s="21"/>
      <c r="LPR13" s="21"/>
      <c r="LPS13" s="21"/>
      <c r="LPT13" s="21"/>
      <c r="LPU13" s="21"/>
      <c r="LPV13" s="21"/>
      <c r="LPW13" s="21"/>
      <c r="LPX13" s="21"/>
      <c r="LPY13" s="21"/>
      <c r="LPZ13" s="21"/>
      <c r="LQA13" s="21"/>
      <c r="LQB13" s="21"/>
      <c r="LQC13" s="21"/>
      <c r="LQD13" s="21"/>
      <c r="LQE13" s="21"/>
      <c r="LQF13" s="21"/>
      <c r="LQG13" s="21"/>
      <c r="LQH13" s="21"/>
      <c r="LQI13" s="21"/>
      <c r="LQJ13" s="21"/>
      <c r="LQK13" s="21"/>
      <c r="LQL13" s="21"/>
      <c r="LQM13" s="21"/>
      <c r="LQN13" s="21"/>
      <c r="LQO13" s="21"/>
      <c r="LQP13" s="21"/>
      <c r="LQQ13" s="21"/>
      <c r="LQR13" s="21"/>
      <c r="LQS13" s="21"/>
      <c r="LQT13" s="21"/>
      <c r="LQU13" s="21"/>
      <c r="LQV13" s="21"/>
      <c r="LQW13" s="21"/>
      <c r="LQX13" s="21"/>
      <c r="LQY13" s="21"/>
      <c r="LQZ13" s="21"/>
      <c r="LRA13" s="21"/>
      <c r="LRB13" s="21"/>
      <c r="LRC13" s="21"/>
      <c r="LRD13" s="21"/>
      <c r="LRE13" s="21"/>
      <c r="LRF13" s="21"/>
      <c r="LRG13" s="21"/>
      <c r="LRH13" s="21"/>
      <c r="LRI13" s="21"/>
      <c r="LRJ13" s="21"/>
      <c r="LRK13" s="21"/>
      <c r="LRL13" s="21"/>
      <c r="LRM13" s="21"/>
      <c r="LRN13" s="21"/>
      <c r="LRO13" s="21"/>
      <c r="LRP13" s="21"/>
      <c r="LRQ13" s="21"/>
      <c r="LRR13" s="21"/>
      <c r="LRS13" s="21"/>
      <c r="LRT13" s="21"/>
      <c r="LRU13" s="21"/>
      <c r="LRV13" s="21"/>
      <c r="LRW13" s="21"/>
      <c r="LRX13" s="21"/>
      <c r="LRY13" s="21"/>
      <c r="LRZ13" s="21"/>
      <c r="LSA13" s="21"/>
      <c r="LSB13" s="21"/>
      <c r="LSC13" s="21"/>
      <c r="LSD13" s="21"/>
      <c r="LSE13" s="21"/>
      <c r="LSF13" s="21"/>
      <c r="LSG13" s="21"/>
      <c r="LSH13" s="21"/>
      <c r="LSI13" s="21"/>
      <c r="LSJ13" s="21"/>
      <c r="LSK13" s="21"/>
      <c r="LSL13" s="21"/>
      <c r="LSM13" s="21"/>
      <c r="LSN13" s="21"/>
      <c r="LSO13" s="21"/>
      <c r="LSP13" s="21"/>
      <c r="LSQ13" s="21"/>
      <c r="LSR13" s="21"/>
      <c r="LSS13" s="21"/>
      <c r="LST13" s="21"/>
      <c r="LSU13" s="21"/>
      <c r="LSV13" s="21"/>
      <c r="LSW13" s="21"/>
      <c r="LSX13" s="21"/>
      <c r="LSY13" s="21"/>
      <c r="LSZ13" s="21"/>
      <c r="LTA13" s="21"/>
      <c r="LTB13" s="21"/>
      <c r="LTC13" s="21"/>
      <c r="LTD13" s="21"/>
      <c r="LTE13" s="21"/>
      <c r="LTF13" s="21"/>
      <c r="LTG13" s="21"/>
      <c r="LTH13" s="21"/>
      <c r="LTI13" s="21"/>
      <c r="LTJ13" s="21"/>
      <c r="LTK13" s="21"/>
      <c r="LTL13" s="21"/>
      <c r="LTM13" s="21"/>
      <c r="LTN13" s="21"/>
      <c r="LTO13" s="21"/>
      <c r="LTP13" s="21"/>
      <c r="LTQ13" s="21"/>
      <c r="LTR13" s="21"/>
      <c r="LTS13" s="21"/>
      <c r="LTT13" s="21"/>
      <c r="LTU13" s="21"/>
      <c r="LTV13" s="21"/>
      <c r="LTW13" s="21"/>
      <c r="LTX13" s="21"/>
      <c r="LTY13" s="21"/>
      <c r="LTZ13" s="21"/>
      <c r="LUA13" s="21"/>
      <c r="LUB13" s="21"/>
      <c r="LUC13" s="21"/>
      <c r="LUD13" s="21"/>
      <c r="LUE13" s="21"/>
      <c r="LUF13" s="21"/>
      <c r="LUG13" s="21"/>
      <c r="LUH13" s="21"/>
      <c r="LUI13" s="21"/>
      <c r="LUJ13" s="21"/>
      <c r="LUK13" s="21"/>
      <c r="LUL13" s="21"/>
      <c r="LUM13" s="21"/>
      <c r="LUN13" s="21"/>
      <c r="LUO13" s="21"/>
      <c r="LUP13" s="21"/>
      <c r="LUQ13" s="21"/>
      <c r="LUR13" s="21"/>
      <c r="LUS13" s="21"/>
      <c r="LUT13" s="21"/>
      <c r="LUU13" s="21"/>
      <c r="LUV13" s="21"/>
      <c r="LUW13" s="21"/>
      <c r="LUX13" s="21"/>
      <c r="LUY13" s="21"/>
      <c r="LUZ13" s="21"/>
      <c r="LVA13" s="21"/>
      <c r="LVB13" s="21"/>
      <c r="LVC13" s="21"/>
      <c r="LVD13" s="21"/>
      <c r="LVE13" s="21"/>
      <c r="LVF13" s="21"/>
      <c r="LVG13" s="21"/>
      <c r="LVH13" s="21"/>
      <c r="LVI13" s="21"/>
      <c r="LVJ13" s="21"/>
      <c r="LVK13" s="21"/>
      <c r="LVL13" s="21"/>
      <c r="LVM13" s="21"/>
      <c r="LVN13" s="21"/>
      <c r="LVO13" s="21"/>
      <c r="LVP13" s="21"/>
      <c r="LVQ13" s="21"/>
      <c r="LVR13" s="21"/>
      <c r="LVS13" s="21"/>
      <c r="LVT13" s="21"/>
      <c r="LVU13" s="21"/>
      <c r="LVV13" s="21"/>
      <c r="LVW13" s="21"/>
      <c r="LVX13" s="21"/>
      <c r="LVY13" s="21"/>
      <c r="LVZ13" s="21"/>
      <c r="LWA13" s="21"/>
      <c r="LWB13" s="21"/>
      <c r="LWC13" s="21"/>
      <c r="LWD13" s="21"/>
      <c r="LWE13" s="21"/>
      <c r="LWF13" s="21"/>
      <c r="LWG13" s="21"/>
      <c r="LWH13" s="21"/>
      <c r="LWI13" s="21"/>
      <c r="LWJ13" s="21"/>
      <c r="LWK13" s="21"/>
      <c r="LWL13" s="21"/>
      <c r="LWM13" s="21"/>
      <c r="LWN13" s="21"/>
      <c r="LWO13" s="21"/>
      <c r="LWP13" s="21"/>
      <c r="LWQ13" s="21"/>
      <c r="LWR13" s="21"/>
      <c r="LWS13" s="21"/>
      <c r="LWT13" s="21"/>
      <c r="LWU13" s="21"/>
      <c r="LWV13" s="21"/>
      <c r="LWW13" s="21"/>
      <c r="LWX13" s="21"/>
      <c r="LWY13" s="21"/>
      <c r="LWZ13" s="21"/>
      <c r="LXA13" s="21"/>
      <c r="LXB13" s="21"/>
      <c r="LXC13" s="21"/>
      <c r="LXD13" s="21"/>
      <c r="LXE13" s="21"/>
      <c r="LXF13" s="21"/>
      <c r="LXG13" s="21"/>
      <c r="LXH13" s="21"/>
      <c r="LXI13" s="21"/>
      <c r="LXJ13" s="21"/>
      <c r="LXK13" s="21"/>
      <c r="LXL13" s="21"/>
      <c r="LXM13" s="21"/>
      <c r="LXN13" s="21"/>
      <c r="LXO13" s="21"/>
      <c r="LXP13" s="21"/>
      <c r="LXQ13" s="21"/>
      <c r="LXR13" s="21"/>
      <c r="LXS13" s="21"/>
      <c r="LXT13" s="21"/>
      <c r="LXU13" s="21"/>
      <c r="LXV13" s="21"/>
      <c r="LXW13" s="21"/>
      <c r="LXX13" s="21"/>
      <c r="LXY13" s="21"/>
      <c r="LXZ13" s="21"/>
      <c r="LYA13" s="21"/>
      <c r="LYB13" s="21"/>
      <c r="LYC13" s="21"/>
      <c r="LYD13" s="21"/>
      <c r="LYE13" s="21"/>
      <c r="LYF13" s="21"/>
      <c r="LYG13" s="21"/>
      <c r="LYH13" s="21"/>
      <c r="LYI13" s="21"/>
      <c r="LYJ13" s="21"/>
      <c r="LYK13" s="21"/>
      <c r="LYL13" s="21"/>
      <c r="LYM13" s="21"/>
      <c r="LYN13" s="21"/>
      <c r="LYO13" s="21"/>
      <c r="LYP13" s="21"/>
      <c r="LYQ13" s="21"/>
      <c r="LYR13" s="21"/>
      <c r="LYS13" s="21"/>
      <c r="LYT13" s="21"/>
      <c r="LYU13" s="21"/>
      <c r="LYV13" s="21"/>
      <c r="LYW13" s="21"/>
      <c r="LYX13" s="21"/>
      <c r="LYY13" s="21"/>
      <c r="LYZ13" s="21"/>
      <c r="LZA13" s="21"/>
      <c r="LZB13" s="21"/>
      <c r="LZC13" s="21"/>
      <c r="LZD13" s="21"/>
      <c r="LZE13" s="21"/>
      <c r="LZF13" s="21"/>
      <c r="LZG13" s="21"/>
      <c r="LZH13" s="21"/>
      <c r="LZI13" s="21"/>
      <c r="LZJ13" s="21"/>
      <c r="LZK13" s="21"/>
      <c r="LZL13" s="21"/>
      <c r="LZM13" s="21"/>
      <c r="LZN13" s="21"/>
      <c r="LZO13" s="21"/>
      <c r="LZP13" s="21"/>
      <c r="LZQ13" s="21"/>
      <c r="LZR13" s="21"/>
      <c r="LZS13" s="21"/>
      <c r="LZT13" s="21"/>
      <c r="LZU13" s="21"/>
      <c r="LZV13" s="21"/>
      <c r="LZW13" s="21"/>
      <c r="LZX13" s="21"/>
      <c r="LZY13" s="21"/>
      <c r="LZZ13" s="21"/>
      <c r="MAA13" s="21"/>
      <c r="MAB13" s="21"/>
      <c r="MAC13" s="21"/>
      <c r="MAD13" s="21"/>
      <c r="MAE13" s="21"/>
      <c r="MAF13" s="21"/>
      <c r="MAG13" s="21"/>
      <c r="MAH13" s="21"/>
      <c r="MAI13" s="21"/>
      <c r="MAJ13" s="21"/>
      <c r="MAK13" s="21"/>
      <c r="MAL13" s="21"/>
      <c r="MAM13" s="21"/>
      <c r="MAN13" s="21"/>
      <c r="MAO13" s="21"/>
      <c r="MAP13" s="21"/>
      <c r="MAQ13" s="21"/>
      <c r="MAR13" s="21"/>
      <c r="MAS13" s="21"/>
      <c r="MAT13" s="21"/>
      <c r="MAU13" s="21"/>
      <c r="MAV13" s="21"/>
      <c r="MAW13" s="21"/>
      <c r="MAX13" s="21"/>
      <c r="MAY13" s="21"/>
      <c r="MAZ13" s="21"/>
      <c r="MBA13" s="21"/>
      <c r="MBB13" s="21"/>
      <c r="MBC13" s="21"/>
      <c r="MBD13" s="21"/>
      <c r="MBE13" s="21"/>
      <c r="MBF13" s="21"/>
      <c r="MBG13" s="21"/>
      <c r="MBH13" s="21"/>
      <c r="MBI13" s="21"/>
      <c r="MBJ13" s="21"/>
      <c r="MBK13" s="21"/>
      <c r="MBL13" s="21"/>
      <c r="MBM13" s="21"/>
      <c r="MBN13" s="21"/>
      <c r="MBO13" s="21"/>
      <c r="MBP13" s="21"/>
      <c r="MBQ13" s="21"/>
      <c r="MBR13" s="21"/>
      <c r="MBS13" s="21"/>
      <c r="MBT13" s="21"/>
      <c r="MBU13" s="21"/>
      <c r="MBV13" s="21"/>
      <c r="MBW13" s="21"/>
      <c r="MBX13" s="21"/>
      <c r="MBY13" s="21"/>
      <c r="MBZ13" s="21"/>
      <c r="MCA13" s="21"/>
      <c r="MCB13" s="21"/>
      <c r="MCC13" s="21"/>
      <c r="MCD13" s="21"/>
      <c r="MCE13" s="21"/>
      <c r="MCF13" s="21"/>
      <c r="MCG13" s="21"/>
      <c r="MCH13" s="21"/>
      <c r="MCI13" s="21"/>
      <c r="MCJ13" s="21"/>
      <c r="MCK13" s="21"/>
      <c r="MCL13" s="21"/>
      <c r="MCM13" s="21"/>
      <c r="MCN13" s="21"/>
      <c r="MCO13" s="21"/>
      <c r="MCP13" s="21"/>
      <c r="MCQ13" s="21"/>
      <c r="MCR13" s="21"/>
      <c r="MCS13" s="21"/>
      <c r="MCT13" s="21"/>
      <c r="MCU13" s="21"/>
      <c r="MCV13" s="21"/>
      <c r="MCW13" s="21"/>
      <c r="MCX13" s="21"/>
      <c r="MCY13" s="21"/>
      <c r="MCZ13" s="21"/>
      <c r="MDA13" s="21"/>
      <c r="MDB13" s="21"/>
      <c r="MDC13" s="21"/>
      <c r="MDD13" s="21"/>
      <c r="MDE13" s="21"/>
      <c r="MDF13" s="21"/>
      <c r="MDG13" s="21"/>
      <c r="MDH13" s="21"/>
      <c r="MDI13" s="21"/>
      <c r="MDJ13" s="21"/>
      <c r="MDK13" s="21"/>
      <c r="MDL13" s="21"/>
      <c r="MDM13" s="21"/>
      <c r="MDN13" s="21"/>
      <c r="MDO13" s="21"/>
      <c r="MDP13" s="21"/>
      <c r="MDQ13" s="21"/>
      <c r="MDR13" s="21"/>
      <c r="MDS13" s="21"/>
      <c r="MDT13" s="21"/>
      <c r="MDU13" s="21"/>
      <c r="MDV13" s="21"/>
      <c r="MDW13" s="21"/>
      <c r="MDX13" s="21"/>
      <c r="MDY13" s="21"/>
      <c r="MDZ13" s="21"/>
      <c r="MEA13" s="21"/>
      <c r="MEB13" s="21"/>
      <c r="MEC13" s="21"/>
      <c r="MED13" s="21"/>
      <c r="MEE13" s="21"/>
      <c r="MEF13" s="21"/>
      <c r="MEG13" s="21"/>
      <c r="MEH13" s="21"/>
      <c r="MEI13" s="21"/>
      <c r="MEJ13" s="21"/>
      <c r="MEK13" s="21"/>
      <c r="MEL13" s="21"/>
      <c r="MEM13" s="21"/>
      <c r="MEN13" s="21"/>
      <c r="MEO13" s="21"/>
      <c r="MEP13" s="21"/>
      <c r="MEQ13" s="21"/>
      <c r="MER13" s="21"/>
      <c r="MES13" s="21"/>
      <c r="MET13" s="21"/>
      <c r="MEU13" s="21"/>
      <c r="MEV13" s="21"/>
      <c r="MEW13" s="21"/>
      <c r="MEX13" s="21"/>
      <c r="MEY13" s="21"/>
      <c r="MEZ13" s="21"/>
      <c r="MFA13" s="21"/>
      <c r="MFB13" s="21"/>
      <c r="MFC13" s="21"/>
      <c r="MFD13" s="21"/>
      <c r="MFE13" s="21"/>
      <c r="MFF13" s="21"/>
      <c r="MFG13" s="21"/>
      <c r="MFH13" s="21"/>
      <c r="MFI13" s="21"/>
      <c r="MFJ13" s="21"/>
      <c r="MFK13" s="21"/>
      <c r="MFL13" s="21"/>
      <c r="MFM13" s="21"/>
      <c r="MFN13" s="21"/>
      <c r="MFO13" s="21"/>
      <c r="MFP13" s="21"/>
      <c r="MFQ13" s="21"/>
      <c r="MFR13" s="21"/>
      <c r="MFS13" s="21"/>
      <c r="MFT13" s="21"/>
      <c r="MFU13" s="21"/>
      <c r="MFV13" s="21"/>
      <c r="MFW13" s="21"/>
      <c r="MFX13" s="21"/>
      <c r="MFY13" s="21"/>
      <c r="MFZ13" s="21"/>
      <c r="MGA13" s="21"/>
      <c r="MGB13" s="21"/>
      <c r="MGC13" s="21"/>
      <c r="MGD13" s="21"/>
      <c r="MGE13" s="21"/>
      <c r="MGF13" s="21"/>
      <c r="MGG13" s="21"/>
      <c r="MGH13" s="21"/>
      <c r="MGI13" s="21"/>
      <c r="MGJ13" s="21"/>
      <c r="MGK13" s="21"/>
      <c r="MGL13" s="21"/>
      <c r="MGM13" s="21"/>
      <c r="MGN13" s="21"/>
      <c r="MGO13" s="21"/>
      <c r="MGP13" s="21"/>
      <c r="MGQ13" s="21"/>
      <c r="MGR13" s="21"/>
      <c r="MGS13" s="21"/>
      <c r="MGT13" s="21"/>
      <c r="MGU13" s="21"/>
      <c r="MGV13" s="21"/>
      <c r="MGW13" s="21"/>
      <c r="MGX13" s="21"/>
      <c r="MGY13" s="21"/>
      <c r="MGZ13" s="21"/>
      <c r="MHA13" s="21"/>
      <c r="MHB13" s="21"/>
      <c r="MHC13" s="21"/>
      <c r="MHD13" s="21"/>
      <c r="MHE13" s="21"/>
      <c r="MHF13" s="21"/>
      <c r="MHG13" s="21"/>
      <c r="MHH13" s="21"/>
      <c r="MHI13" s="21"/>
      <c r="MHJ13" s="21"/>
      <c r="MHK13" s="21"/>
      <c r="MHL13" s="21"/>
      <c r="MHM13" s="21"/>
      <c r="MHN13" s="21"/>
      <c r="MHO13" s="21"/>
      <c r="MHP13" s="21"/>
      <c r="MHQ13" s="21"/>
      <c r="MHR13" s="21"/>
      <c r="MHS13" s="21"/>
      <c r="MHT13" s="21"/>
      <c r="MHU13" s="21"/>
      <c r="MHV13" s="21"/>
      <c r="MHW13" s="21"/>
      <c r="MHX13" s="21"/>
      <c r="MHY13" s="21"/>
      <c r="MHZ13" s="21"/>
      <c r="MIA13" s="21"/>
      <c r="MIB13" s="21"/>
      <c r="MIC13" s="21"/>
      <c r="MID13" s="21"/>
      <c r="MIE13" s="21"/>
      <c r="MIF13" s="21"/>
      <c r="MIG13" s="21"/>
      <c r="MIH13" s="21"/>
      <c r="MII13" s="21"/>
      <c r="MIJ13" s="21"/>
      <c r="MIK13" s="21"/>
      <c r="MIL13" s="21"/>
      <c r="MIM13" s="21"/>
      <c r="MIN13" s="21"/>
      <c r="MIO13" s="21"/>
      <c r="MIP13" s="21"/>
      <c r="MIQ13" s="21"/>
      <c r="MIR13" s="21"/>
      <c r="MIS13" s="21"/>
      <c r="MIT13" s="21"/>
      <c r="MIU13" s="21"/>
      <c r="MIV13" s="21"/>
      <c r="MIW13" s="21"/>
      <c r="MIX13" s="21"/>
      <c r="MIY13" s="21"/>
      <c r="MIZ13" s="21"/>
      <c r="MJA13" s="21"/>
      <c r="MJB13" s="21"/>
      <c r="MJC13" s="21"/>
      <c r="MJD13" s="21"/>
      <c r="MJE13" s="21"/>
      <c r="MJF13" s="21"/>
      <c r="MJG13" s="21"/>
      <c r="MJH13" s="21"/>
      <c r="MJI13" s="21"/>
      <c r="MJJ13" s="21"/>
      <c r="MJK13" s="21"/>
      <c r="MJL13" s="21"/>
      <c r="MJM13" s="21"/>
      <c r="MJN13" s="21"/>
      <c r="MJO13" s="21"/>
      <c r="MJP13" s="21"/>
      <c r="MJQ13" s="21"/>
      <c r="MJR13" s="21"/>
      <c r="MJS13" s="21"/>
      <c r="MJT13" s="21"/>
      <c r="MJU13" s="21"/>
      <c r="MJV13" s="21"/>
      <c r="MJW13" s="21"/>
      <c r="MJX13" s="21"/>
      <c r="MJY13" s="21"/>
      <c r="MJZ13" s="21"/>
      <c r="MKA13" s="21"/>
      <c r="MKB13" s="21"/>
      <c r="MKC13" s="21"/>
      <c r="MKD13" s="21"/>
      <c r="MKE13" s="21"/>
      <c r="MKF13" s="21"/>
      <c r="MKG13" s="21"/>
      <c r="MKH13" s="21"/>
      <c r="MKI13" s="21"/>
      <c r="MKJ13" s="21"/>
      <c r="MKK13" s="21"/>
      <c r="MKL13" s="21"/>
      <c r="MKM13" s="21"/>
      <c r="MKN13" s="21"/>
      <c r="MKO13" s="21"/>
      <c r="MKP13" s="21"/>
      <c r="MKQ13" s="21"/>
      <c r="MKR13" s="21"/>
      <c r="MKS13" s="21"/>
      <c r="MKT13" s="21"/>
      <c r="MKU13" s="21"/>
      <c r="MKV13" s="21"/>
      <c r="MKW13" s="21"/>
      <c r="MKX13" s="21"/>
      <c r="MKY13" s="21"/>
      <c r="MKZ13" s="21"/>
      <c r="MLA13" s="21"/>
      <c r="MLB13" s="21"/>
      <c r="MLC13" s="21"/>
      <c r="MLD13" s="21"/>
      <c r="MLE13" s="21"/>
      <c r="MLF13" s="21"/>
      <c r="MLG13" s="21"/>
      <c r="MLH13" s="21"/>
      <c r="MLI13" s="21"/>
      <c r="MLJ13" s="21"/>
      <c r="MLK13" s="21"/>
      <c r="MLL13" s="21"/>
      <c r="MLM13" s="21"/>
      <c r="MLN13" s="21"/>
      <c r="MLO13" s="21"/>
      <c r="MLP13" s="21"/>
      <c r="MLQ13" s="21"/>
      <c r="MLR13" s="21"/>
      <c r="MLS13" s="21"/>
      <c r="MLT13" s="21"/>
      <c r="MLU13" s="21"/>
      <c r="MLV13" s="21"/>
      <c r="MLW13" s="21"/>
      <c r="MLX13" s="21"/>
      <c r="MLY13" s="21"/>
      <c r="MLZ13" s="21"/>
      <c r="MMA13" s="21"/>
      <c r="MMB13" s="21"/>
      <c r="MMC13" s="21"/>
      <c r="MMD13" s="21"/>
      <c r="MME13" s="21"/>
      <c r="MMF13" s="21"/>
      <c r="MMG13" s="21"/>
      <c r="MMH13" s="21"/>
      <c r="MMI13" s="21"/>
      <c r="MMJ13" s="21"/>
      <c r="MMK13" s="21"/>
      <c r="MML13" s="21"/>
      <c r="MMM13" s="21"/>
      <c r="MMN13" s="21"/>
      <c r="MMO13" s="21"/>
      <c r="MMP13" s="21"/>
      <c r="MMQ13" s="21"/>
      <c r="MMR13" s="21"/>
      <c r="MMS13" s="21"/>
      <c r="MMT13" s="21"/>
      <c r="MMU13" s="21"/>
      <c r="MMV13" s="21"/>
      <c r="MMW13" s="21"/>
      <c r="MMX13" s="21"/>
      <c r="MMY13" s="21"/>
      <c r="MMZ13" s="21"/>
      <c r="MNA13" s="21"/>
      <c r="MNB13" s="21"/>
      <c r="MNC13" s="21"/>
      <c r="MND13" s="21"/>
      <c r="MNE13" s="21"/>
      <c r="MNF13" s="21"/>
      <c r="MNG13" s="21"/>
      <c r="MNH13" s="21"/>
      <c r="MNI13" s="21"/>
      <c r="MNJ13" s="21"/>
      <c r="MNK13" s="21"/>
      <c r="MNL13" s="21"/>
      <c r="MNM13" s="21"/>
      <c r="MNN13" s="21"/>
      <c r="MNO13" s="21"/>
      <c r="MNP13" s="21"/>
      <c r="MNQ13" s="21"/>
      <c r="MNR13" s="21"/>
      <c r="MNS13" s="21"/>
      <c r="MNT13" s="21"/>
      <c r="MNU13" s="21"/>
      <c r="MNV13" s="21"/>
      <c r="MNW13" s="21"/>
      <c r="MNX13" s="21"/>
      <c r="MNY13" s="21"/>
      <c r="MNZ13" s="21"/>
      <c r="MOA13" s="21"/>
      <c r="MOB13" s="21"/>
      <c r="MOC13" s="21"/>
      <c r="MOD13" s="21"/>
      <c r="MOE13" s="21"/>
      <c r="MOF13" s="21"/>
      <c r="MOG13" s="21"/>
      <c r="MOH13" s="21"/>
      <c r="MOI13" s="21"/>
      <c r="MOJ13" s="21"/>
      <c r="MOK13" s="21"/>
      <c r="MOL13" s="21"/>
      <c r="MOM13" s="21"/>
      <c r="MON13" s="21"/>
      <c r="MOO13" s="21"/>
      <c r="MOP13" s="21"/>
      <c r="MOQ13" s="21"/>
      <c r="MOR13" s="21"/>
      <c r="MOS13" s="21"/>
      <c r="MOT13" s="21"/>
      <c r="MOU13" s="21"/>
      <c r="MOV13" s="21"/>
      <c r="MOW13" s="21"/>
      <c r="MOX13" s="21"/>
      <c r="MOY13" s="21"/>
      <c r="MOZ13" s="21"/>
      <c r="MPA13" s="21"/>
      <c r="MPB13" s="21"/>
      <c r="MPC13" s="21"/>
      <c r="MPD13" s="21"/>
      <c r="MPE13" s="21"/>
      <c r="MPF13" s="21"/>
      <c r="MPG13" s="21"/>
      <c r="MPH13" s="21"/>
      <c r="MPI13" s="21"/>
      <c r="MPJ13" s="21"/>
      <c r="MPK13" s="21"/>
      <c r="MPL13" s="21"/>
      <c r="MPM13" s="21"/>
      <c r="MPN13" s="21"/>
      <c r="MPO13" s="21"/>
      <c r="MPP13" s="21"/>
      <c r="MPQ13" s="21"/>
      <c r="MPR13" s="21"/>
      <c r="MPS13" s="21"/>
      <c r="MPT13" s="21"/>
      <c r="MPU13" s="21"/>
      <c r="MPV13" s="21"/>
      <c r="MPW13" s="21"/>
      <c r="MPX13" s="21"/>
      <c r="MPY13" s="21"/>
      <c r="MPZ13" s="21"/>
      <c r="MQA13" s="21"/>
      <c r="MQB13" s="21"/>
      <c r="MQC13" s="21"/>
      <c r="MQD13" s="21"/>
      <c r="MQE13" s="21"/>
      <c r="MQF13" s="21"/>
      <c r="MQG13" s="21"/>
      <c r="MQH13" s="21"/>
      <c r="MQI13" s="21"/>
      <c r="MQJ13" s="21"/>
      <c r="MQK13" s="21"/>
      <c r="MQL13" s="21"/>
      <c r="MQM13" s="21"/>
      <c r="MQN13" s="21"/>
      <c r="MQO13" s="21"/>
      <c r="MQP13" s="21"/>
      <c r="MQQ13" s="21"/>
      <c r="MQR13" s="21"/>
      <c r="MQS13" s="21"/>
      <c r="MQT13" s="21"/>
      <c r="MQU13" s="21"/>
      <c r="MQV13" s="21"/>
      <c r="MQW13" s="21"/>
      <c r="MQX13" s="21"/>
      <c r="MQY13" s="21"/>
      <c r="MQZ13" s="21"/>
      <c r="MRA13" s="21"/>
      <c r="MRB13" s="21"/>
      <c r="MRC13" s="21"/>
      <c r="MRD13" s="21"/>
      <c r="MRE13" s="21"/>
      <c r="MRF13" s="21"/>
      <c r="MRG13" s="21"/>
      <c r="MRH13" s="21"/>
      <c r="MRI13" s="21"/>
      <c r="MRJ13" s="21"/>
      <c r="MRK13" s="21"/>
      <c r="MRL13" s="21"/>
      <c r="MRM13" s="21"/>
      <c r="MRN13" s="21"/>
      <c r="MRO13" s="21"/>
      <c r="MRP13" s="21"/>
      <c r="MRQ13" s="21"/>
      <c r="MRR13" s="21"/>
      <c r="MRS13" s="21"/>
      <c r="MRT13" s="21"/>
      <c r="MRU13" s="21"/>
      <c r="MRV13" s="21"/>
      <c r="MRW13" s="21"/>
      <c r="MRX13" s="21"/>
      <c r="MRY13" s="21"/>
      <c r="MRZ13" s="21"/>
      <c r="MSA13" s="21"/>
      <c r="MSB13" s="21"/>
      <c r="MSC13" s="21"/>
      <c r="MSD13" s="21"/>
      <c r="MSE13" s="21"/>
      <c r="MSF13" s="21"/>
      <c r="MSG13" s="21"/>
      <c r="MSH13" s="21"/>
      <c r="MSI13" s="21"/>
      <c r="MSJ13" s="21"/>
      <c r="MSK13" s="21"/>
      <c r="MSL13" s="21"/>
      <c r="MSM13" s="21"/>
      <c r="MSN13" s="21"/>
      <c r="MSO13" s="21"/>
      <c r="MSP13" s="21"/>
      <c r="MSQ13" s="21"/>
      <c r="MSR13" s="21"/>
      <c r="MSS13" s="21"/>
      <c r="MST13" s="21"/>
      <c r="MSU13" s="21"/>
      <c r="MSV13" s="21"/>
      <c r="MSW13" s="21"/>
      <c r="MSX13" s="21"/>
      <c r="MSY13" s="21"/>
      <c r="MSZ13" s="21"/>
      <c r="MTA13" s="21"/>
      <c r="MTB13" s="21"/>
      <c r="MTC13" s="21"/>
      <c r="MTD13" s="21"/>
      <c r="MTE13" s="21"/>
      <c r="MTF13" s="21"/>
      <c r="MTG13" s="21"/>
      <c r="MTH13" s="21"/>
      <c r="MTI13" s="21"/>
      <c r="MTJ13" s="21"/>
      <c r="MTK13" s="21"/>
      <c r="MTL13" s="21"/>
      <c r="MTM13" s="21"/>
      <c r="MTN13" s="21"/>
      <c r="MTO13" s="21"/>
      <c r="MTP13" s="21"/>
      <c r="MTQ13" s="21"/>
      <c r="MTR13" s="21"/>
      <c r="MTS13" s="21"/>
      <c r="MTT13" s="21"/>
      <c r="MTU13" s="21"/>
      <c r="MTV13" s="21"/>
      <c r="MTW13" s="21"/>
      <c r="MTX13" s="21"/>
      <c r="MTY13" s="21"/>
      <c r="MTZ13" s="21"/>
      <c r="MUA13" s="21"/>
      <c r="MUB13" s="21"/>
      <c r="MUC13" s="21"/>
      <c r="MUD13" s="21"/>
      <c r="MUE13" s="21"/>
      <c r="MUF13" s="21"/>
      <c r="MUG13" s="21"/>
      <c r="MUH13" s="21"/>
      <c r="MUI13" s="21"/>
      <c r="MUJ13" s="21"/>
      <c r="MUK13" s="21"/>
      <c r="MUL13" s="21"/>
      <c r="MUM13" s="21"/>
      <c r="MUN13" s="21"/>
      <c r="MUO13" s="21"/>
      <c r="MUP13" s="21"/>
      <c r="MUQ13" s="21"/>
      <c r="MUR13" s="21"/>
      <c r="MUS13" s="21"/>
      <c r="MUT13" s="21"/>
      <c r="MUU13" s="21"/>
      <c r="MUV13" s="21"/>
      <c r="MUW13" s="21"/>
      <c r="MUX13" s="21"/>
      <c r="MUY13" s="21"/>
      <c r="MUZ13" s="21"/>
      <c r="MVA13" s="21"/>
      <c r="MVB13" s="21"/>
      <c r="MVC13" s="21"/>
      <c r="MVD13" s="21"/>
      <c r="MVE13" s="21"/>
      <c r="MVF13" s="21"/>
      <c r="MVG13" s="21"/>
      <c r="MVH13" s="21"/>
      <c r="MVI13" s="21"/>
      <c r="MVJ13" s="21"/>
      <c r="MVK13" s="21"/>
      <c r="MVL13" s="21"/>
      <c r="MVM13" s="21"/>
      <c r="MVN13" s="21"/>
      <c r="MVO13" s="21"/>
      <c r="MVP13" s="21"/>
      <c r="MVQ13" s="21"/>
      <c r="MVR13" s="21"/>
      <c r="MVS13" s="21"/>
      <c r="MVT13" s="21"/>
      <c r="MVU13" s="21"/>
      <c r="MVV13" s="21"/>
      <c r="MVW13" s="21"/>
      <c r="MVX13" s="21"/>
      <c r="MVY13" s="21"/>
      <c r="MVZ13" s="21"/>
      <c r="MWA13" s="21"/>
      <c r="MWB13" s="21"/>
      <c r="MWC13" s="21"/>
      <c r="MWD13" s="21"/>
      <c r="MWE13" s="21"/>
      <c r="MWF13" s="21"/>
      <c r="MWG13" s="21"/>
      <c r="MWH13" s="21"/>
      <c r="MWI13" s="21"/>
      <c r="MWJ13" s="21"/>
      <c r="MWK13" s="21"/>
      <c r="MWL13" s="21"/>
      <c r="MWM13" s="21"/>
      <c r="MWN13" s="21"/>
      <c r="MWO13" s="21"/>
      <c r="MWP13" s="21"/>
      <c r="MWQ13" s="21"/>
      <c r="MWR13" s="21"/>
      <c r="MWS13" s="21"/>
      <c r="MWT13" s="21"/>
      <c r="MWU13" s="21"/>
      <c r="MWV13" s="21"/>
      <c r="MWW13" s="21"/>
      <c r="MWX13" s="21"/>
      <c r="MWY13" s="21"/>
      <c r="MWZ13" s="21"/>
      <c r="MXA13" s="21"/>
      <c r="MXB13" s="21"/>
      <c r="MXC13" s="21"/>
      <c r="MXD13" s="21"/>
      <c r="MXE13" s="21"/>
      <c r="MXF13" s="21"/>
      <c r="MXG13" s="21"/>
      <c r="MXH13" s="21"/>
      <c r="MXI13" s="21"/>
      <c r="MXJ13" s="21"/>
      <c r="MXK13" s="21"/>
      <c r="MXL13" s="21"/>
      <c r="MXM13" s="21"/>
      <c r="MXN13" s="21"/>
      <c r="MXO13" s="21"/>
      <c r="MXP13" s="21"/>
      <c r="MXQ13" s="21"/>
      <c r="MXR13" s="21"/>
      <c r="MXS13" s="21"/>
      <c r="MXT13" s="21"/>
      <c r="MXU13" s="21"/>
      <c r="MXV13" s="21"/>
      <c r="MXW13" s="21"/>
      <c r="MXX13" s="21"/>
      <c r="MXY13" s="21"/>
      <c r="MXZ13" s="21"/>
      <c r="MYA13" s="21"/>
      <c r="MYB13" s="21"/>
      <c r="MYC13" s="21"/>
      <c r="MYD13" s="21"/>
      <c r="MYE13" s="21"/>
      <c r="MYF13" s="21"/>
      <c r="MYG13" s="21"/>
      <c r="MYH13" s="21"/>
      <c r="MYI13" s="21"/>
      <c r="MYJ13" s="21"/>
      <c r="MYK13" s="21"/>
      <c r="MYL13" s="21"/>
      <c r="MYM13" s="21"/>
      <c r="MYN13" s="21"/>
      <c r="MYO13" s="21"/>
      <c r="MYP13" s="21"/>
      <c r="MYQ13" s="21"/>
      <c r="MYR13" s="21"/>
      <c r="MYS13" s="21"/>
      <c r="MYT13" s="21"/>
      <c r="MYU13" s="21"/>
      <c r="MYV13" s="21"/>
      <c r="MYW13" s="21"/>
      <c r="MYX13" s="21"/>
      <c r="MYY13" s="21"/>
      <c r="MYZ13" s="21"/>
      <c r="MZA13" s="21"/>
      <c r="MZB13" s="21"/>
      <c r="MZC13" s="21"/>
      <c r="MZD13" s="21"/>
      <c r="MZE13" s="21"/>
      <c r="MZF13" s="21"/>
      <c r="MZG13" s="21"/>
      <c r="MZH13" s="21"/>
      <c r="MZI13" s="21"/>
      <c r="MZJ13" s="21"/>
      <c r="MZK13" s="21"/>
      <c r="MZL13" s="21"/>
      <c r="MZM13" s="21"/>
      <c r="MZN13" s="21"/>
      <c r="MZO13" s="21"/>
      <c r="MZP13" s="21"/>
      <c r="MZQ13" s="21"/>
      <c r="MZR13" s="21"/>
      <c r="MZS13" s="21"/>
      <c r="MZT13" s="21"/>
      <c r="MZU13" s="21"/>
      <c r="MZV13" s="21"/>
      <c r="MZW13" s="21"/>
      <c r="MZX13" s="21"/>
      <c r="MZY13" s="21"/>
      <c r="MZZ13" s="21"/>
      <c r="NAA13" s="21"/>
      <c r="NAB13" s="21"/>
      <c r="NAC13" s="21"/>
      <c r="NAD13" s="21"/>
      <c r="NAE13" s="21"/>
      <c r="NAF13" s="21"/>
      <c r="NAG13" s="21"/>
      <c r="NAH13" s="21"/>
      <c r="NAI13" s="21"/>
      <c r="NAJ13" s="21"/>
      <c r="NAK13" s="21"/>
      <c r="NAL13" s="21"/>
      <c r="NAM13" s="21"/>
      <c r="NAN13" s="21"/>
      <c r="NAO13" s="21"/>
      <c r="NAP13" s="21"/>
      <c r="NAQ13" s="21"/>
      <c r="NAR13" s="21"/>
      <c r="NAS13" s="21"/>
      <c r="NAT13" s="21"/>
      <c r="NAU13" s="21"/>
      <c r="NAV13" s="21"/>
      <c r="NAW13" s="21"/>
      <c r="NAX13" s="21"/>
      <c r="NAY13" s="21"/>
      <c r="NAZ13" s="21"/>
      <c r="NBA13" s="21"/>
      <c r="NBB13" s="21"/>
      <c r="NBC13" s="21"/>
      <c r="NBD13" s="21"/>
      <c r="NBE13" s="21"/>
      <c r="NBF13" s="21"/>
      <c r="NBG13" s="21"/>
      <c r="NBH13" s="21"/>
      <c r="NBI13" s="21"/>
      <c r="NBJ13" s="21"/>
      <c r="NBK13" s="21"/>
      <c r="NBL13" s="21"/>
      <c r="NBM13" s="21"/>
      <c r="NBN13" s="21"/>
      <c r="NBO13" s="21"/>
      <c r="NBP13" s="21"/>
      <c r="NBQ13" s="21"/>
      <c r="NBR13" s="21"/>
      <c r="NBS13" s="21"/>
      <c r="NBT13" s="21"/>
      <c r="NBU13" s="21"/>
      <c r="NBV13" s="21"/>
      <c r="NBW13" s="21"/>
      <c r="NBX13" s="21"/>
      <c r="NBY13" s="21"/>
      <c r="NBZ13" s="21"/>
      <c r="NCA13" s="21"/>
      <c r="NCB13" s="21"/>
      <c r="NCC13" s="21"/>
      <c r="NCD13" s="21"/>
      <c r="NCE13" s="21"/>
      <c r="NCF13" s="21"/>
      <c r="NCG13" s="21"/>
      <c r="NCH13" s="21"/>
      <c r="NCI13" s="21"/>
      <c r="NCJ13" s="21"/>
      <c r="NCK13" s="21"/>
      <c r="NCL13" s="21"/>
      <c r="NCM13" s="21"/>
      <c r="NCN13" s="21"/>
      <c r="NCO13" s="21"/>
      <c r="NCP13" s="21"/>
      <c r="NCQ13" s="21"/>
      <c r="NCR13" s="21"/>
      <c r="NCS13" s="21"/>
      <c r="NCT13" s="21"/>
      <c r="NCU13" s="21"/>
      <c r="NCV13" s="21"/>
      <c r="NCW13" s="21"/>
      <c r="NCX13" s="21"/>
      <c r="NCY13" s="21"/>
      <c r="NCZ13" s="21"/>
      <c r="NDA13" s="21"/>
      <c r="NDB13" s="21"/>
      <c r="NDC13" s="21"/>
      <c r="NDD13" s="21"/>
      <c r="NDE13" s="21"/>
      <c r="NDF13" s="21"/>
      <c r="NDG13" s="21"/>
      <c r="NDH13" s="21"/>
      <c r="NDI13" s="21"/>
      <c r="NDJ13" s="21"/>
      <c r="NDK13" s="21"/>
      <c r="NDL13" s="21"/>
      <c r="NDM13" s="21"/>
      <c r="NDN13" s="21"/>
      <c r="NDO13" s="21"/>
      <c r="NDP13" s="21"/>
      <c r="NDQ13" s="21"/>
      <c r="NDR13" s="21"/>
      <c r="NDS13" s="21"/>
      <c r="NDT13" s="21"/>
      <c r="NDU13" s="21"/>
      <c r="NDV13" s="21"/>
      <c r="NDW13" s="21"/>
      <c r="NDX13" s="21"/>
      <c r="NDY13" s="21"/>
      <c r="NDZ13" s="21"/>
      <c r="NEA13" s="21"/>
      <c r="NEB13" s="21"/>
      <c r="NEC13" s="21"/>
      <c r="NED13" s="21"/>
      <c r="NEE13" s="21"/>
      <c r="NEF13" s="21"/>
      <c r="NEG13" s="21"/>
      <c r="NEH13" s="21"/>
      <c r="NEI13" s="21"/>
      <c r="NEJ13" s="21"/>
      <c r="NEK13" s="21"/>
      <c r="NEL13" s="21"/>
      <c r="NEM13" s="21"/>
      <c r="NEN13" s="21"/>
      <c r="NEO13" s="21"/>
      <c r="NEP13" s="21"/>
      <c r="NEQ13" s="21"/>
      <c r="NER13" s="21"/>
      <c r="NES13" s="21"/>
      <c r="NET13" s="21"/>
      <c r="NEU13" s="21"/>
      <c r="NEV13" s="21"/>
      <c r="NEW13" s="21"/>
      <c r="NEX13" s="21"/>
      <c r="NEY13" s="21"/>
      <c r="NEZ13" s="21"/>
      <c r="NFA13" s="21"/>
      <c r="NFB13" s="21"/>
      <c r="NFC13" s="21"/>
      <c r="NFD13" s="21"/>
      <c r="NFE13" s="21"/>
      <c r="NFF13" s="21"/>
      <c r="NFG13" s="21"/>
      <c r="NFH13" s="21"/>
      <c r="NFI13" s="21"/>
      <c r="NFJ13" s="21"/>
      <c r="NFK13" s="21"/>
      <c r="NFL13" s="21"/>
      <c r="NFM13" s="21"/>
      <c r="NFN13" s="21"/>
      <c r="NFO13" s="21"/>
      <c r="NFP13" s="21"/>
      <c r="NFQ13" s="21"/>
      <c r="NFR13" s="21"/>
      <c r="NFS13" s="21"/>
      <c r="NFT13" s="21"/>
      <c r="NFU13" s="21"/>
      <c r="NFV13" s="21"/>
      <c r="NFW13" s="21"/>
      <c r="NFX13" s="21"/>
      <c r="NFY13" s="21"/>
      <c r="NFZ13" s="21"/>
      <c r="NGA13" s="21"/>
      <c r="NGB13" s="21"/>
      <c r="NGC13" s="21"/>
      <c r="NGD13" s="21"/>
      <c r="NGE13" s="21"/>
      <c r="NGF13" s="21"/>
      <c r="NGG13" s="21"/>
      <c r="NGH13" s="21"/>
      <c r="NGI13" s="21"/>
      <c r="NGJ13" s="21"/>
      <c r="NGK13" s="21"/>
      <c r="NGL13" s="21"/>
      <c r="NGM13" s="21"/>
      <c r="NGN13" s="21"/>
      <c r="NGO13" s="21"/>
      <c r="NGP13" s="21"/>
      <c r="NGQ13" s="21"/>
      <c r="NGR13" s="21"/>
      <c r="NGS13" s="21"/>
      <c r="NGT13" s="21"/>
      <c r="NGU13" s="21"/>
      <c r="NGV13" s="21"/>
      <c r="NGW13" s="21"/>
      <c r="NGX13" s="21"/>
      <c r="NGY13" s="21"/>
      <c r="NGZ13" s="21"/>
      <c r="NHA13" s="21"/>
      <c r="NHB13" s="21"/>
      <c r="NHC13" s="21"/>
      <c r="NHD13" s="21"/>
      <c r="NHE13" s="21"/>
      <c r="NHF13" s="21"/>
      <c r="NHG13" s="21"/>
      <c r="NHH13" s="21"/>
      <c r="NHI13" s="21"/>
      <c r="NHJ13" s="21"/>
      <c r="NHK13" s="21"/>
      <c r="NHL13" s="21"/>
      <c r="NHM13" s="21"/>
      <c r="NHN13" s="21"/>
      <c r="NHO13" s="21"/>
      <c r="NHP13" s="21"/>
      <c r="NHQ13" s="21"/>
      <c r="NHR13" s="21"/>
      <c r="NHS13" s="21"/>
      <c r="NHT13" s="21"/>
      <c r="NHU13" s="21"/>
      <c r="NHV13" s="21"/>
      <c r="NHW13" s="21"/>
      <c r="NHX13" s="21"/>
      <c r="NHY13" s="21"/>
      <c r="NHZ13" s="21"/>
      <c r="NIA13" s="21"/>
      <c r="NIB13" s="21"/>
      <c r="NIC13" s="21"/>
      <c r="NID13" s="21"/>
      <c r="NIE13" s="21"/>
      <c r="NIF13" s="21"/>
      <c r="NIG13" s="21"/>
      <c r="NIH13" s="21"/>
      <c r="NII13" s="21"/>
      <c r="NIJ13" s="21"/>
      <c r="NIK13" s="21"/>
      <c r="NIL13" s="21"/>
      <c r="NIM13" s="21"/>
      <c r="NIN13" s="21"/>
      <c r="NIO13" s="21"/>
      <c r="NIP13" s="21"/>
      <c r="NIQ13" s="21"/>
      <c r="NIR13" s="21"/>
      <c r="NIS13" s="21"/>
      <c r="NIT13" s="21"/>
      <c r="NIU13" s="21"/>
      <c r="NIV13" s="21"/>
      <c r="NIW13" s="21"/>
      <c r="NIX13" s="21"/>
      <c r="NIY13" s="21"/>
      <c r="NIZ13" s="21"/>
      <c r="NJA13" s="21"/>
      <c r="NJB13" s="21"/>
      <c r="NJC13" s="21"/>
      <c r="NJD13" s="21"/>
      <c r="NJE13" s="21"/>
      <c r="NJF13" s="21"/>
      <c r="NJG13" s="21"/>
      <c r="NJH13" s="21"/>
      <c r="NJI13" s="21"/>
      <c r="NJJ13" s="21"/>
      <c r="NJK13" s="21"/>
      <c r="NJL13" s="21"/>
      <c r="NJM13" s="21"/>
      <c r="NJN13" s="21"/>
      <c r="NJO13" s="21"/>
      <c r="NJP13" s="21"/>
      <c r="NJQ13" s="21"/>
      <c r="NJR13" s="21"/>
      <c r="NJS13" s="21"/>
      <c r="NJT13" s="21"/>
      <c r="NJU13" s="21"/>
      <c r="NJV13" s="21"/>
      <c r="NJW13" s="21"/>
      <c r="NJX13" s="21"/>
      <c r="NJY13" s="21"/>
      <c r="NJZ13" s="21"/>
      <c r="NKA13" s="21"/>
      <c r="NKB13" s="21"/>
      <c r="NKC13" s="21"/>
      <c r="NKD13" s="21"/>
      <c r="NKE13" s="21"/>
      <c r="NKF13" s="21"/>
      <c r="NKG13" s="21"/>
      <c r="NKH13" s="21"/>
      <c r="NKI13" s="21"/>
      <c r="NKJ13" s="21"/>
      <c r="NKK13" s="21"/>
      <c r="NKL13" s="21"/>
      <c r="NKM13" s="21"/>
      <c r="NKN13" s="21"/>
      <c r="NKO13" s="21"/>
      <c r="NKP13" s="21"/>
      <c r="NKQ13" s="21"/>
      <c r="NKR13" s="21"/>
      <c r="NKS13" s="21"/>
      <c r="NKT13" s="21"/>
      <c r="NKU13" s="21"/>
      <c r="NKV13" s="21"/>
      <c r="NKW13" s="21"/>
      <c r="NKX13" s="21"/>
      <c r="NKY13" s="21"/>
      <c r="NKZ13" s="21"/>
      <c r="NLA13" s="21"/>
      <c r="NLB13" s="21"/>
      <c r="NLC13" s="21"/>
      <c r="NLD13" s="21"/>
      <c r="NLE13" s="21"/>
      <c r="NLF13" s="21"/>
      <c r="NLG13" s="21"/>
      <c r="NLH13" s="21"/>
      <c r="NLI13" s="21"/>
      <c r="NLJ13" s="21"/>
      <c r="NLK13" s="21"/>
      <c r="NLL13" s="21"/>
      <c r="NLM13" s="21"/>
      <c r="NLN13" s="21"/>
      <c r="NLO13" s="21"/>
      <c r="NLP13" s="21"/>
      <c r="NLQ13" s="21"/>
      <c r="NLR13" s="21"/>
      <c r="NLS13" s="21"/>
      <c r="NLT13" s="21"/>
      <c r="NLU13" s="21"/>
      <c r="NLV13" s="21"/>
      <c r="NLW13" s="21"/>
      <c r="NLX13" s="21"/>
      <c r="NLY13" s="21"/>
      <c r="NLZ13" s="21"/>
      <c r="NMA13" s="21"/>
      <c r="NMB13" s="21"/>
      <c r="NMC13" s="21"/>
      <c r="NMD13" s="21"/>
      <c r="NME13" s="21"/>
      <c r="NMF13" s="21"/>
      <c r="NMG13" s="21"/>
      <c r="NMH13" s="21"/>
      <c r="NMI13" s="21"/>
      <c r="NMJ13" s="21"/>
      <c r="NMK13" s="21"/>
      <c r="NML13" s="21"/>
      <c r="NMM13" s="21"/>
      <c r="NMN13" s="21"/>
      <c r="NMO13" s="21"/>
      <c r="NMP13" s="21"/>
      <c r="NMQ13" s="21"/>
      <c r="NMR13" s="21"/>
      <c r="NMS13" s="21"/>
      <c r="NMT13" s="21"/>
      <c r="NMU13" s="21"/>
      <c r="NMV13" s="21"/>
      <c r="NMW13" s="21"/>
      <c r="NMX13" s="21"/>
      <c r="NMY13" s="21"/>
      <c r="NMZ13" s="21"/>
      <c r="NNA13" s="21"/>
      <c r="NNB13" s="21"/>
      <c r="NNC13" s="21"/>
      <c r="NND13" s="21"/>
      <c r="NNE13" s="21"/>
      <c r="NNF13" s="21"/>
      <c r="NNG13" s="21"/>
      <c r="NNH13" s="21"/>
      <c r="NNI13" s="21"/>
      <c r="NNJ13" s="21"/>
      <c r="NNK13" s="21"/>
      <c r="NNL13" s="21"/>
      <c r="NNM13" s="21"/>
      <c r="NNN13" s="21"/>
      <c r="NNO13" s="21"/>
      <c r="NNP13" s="21"/>
      <c r="NNQ13" s="21"/>
      <c r="NNR13" s="21"/>
      <c r="NNS13" s="21"/>
      <c r="NNT13" s="21"/>
      <c r="NNU13" s="21"/>
      <c r="NNV13" s="21"/>
      <c r="NNW13" s="21"/>
      <c r="NNX13" s="21"/>
      <c r="NNY13" s="21"/>
      <c r="NNZ13" s="21"/>
      <c r="NOA13" s="21"/>
      <c r="NOB13" s="21"/>
      <c r="NOC13" s="21"/>
      <c r="NOD13" s="21"/>
      <c r="NOE13" s="21"/>
      <c r="NOF13" s="21"/>
      <c r="NOG13" s="21"/>
      <c r="NOH13" s="21"/>
      <c r="NOI13" s="21"/>
      <c r="NOJ13" s="21"/>
      <c r="NOK13" s="21"/>
      <c r="NOL13" s="21"/>
      <c r="NOM13" s="21"/>
      <c r="NON13" s="21"/>
      <c r="NOO13" s="21"/>
      <c r="NOP13" s="21"/>
      <c r="NOQ13" s="21"/>
      <c r="NOR13" s="21"/>
      <c r="NOS13" s="21"/>
      <c r="NOT13" s="21"/>
      <c r="NOU13" s="21"/>
      <c r="NOV13" s="21"/>
      <c r="NOW13" s="21"/>
      <c r="NOX13" s="21"/>
      <c r="NOY13" s="21"/>
      <c r="NOZ13" s="21"/>
      <c r="NPA13" s="21"/>
      <c r="NPB13" s="21"/>
      <c r="NPC13" s="21"/>
      <c r="NPD13" s="21"/>
      <c r="NPE13" s="21"/>
      <c r="NPF13" s="21"/>
      <c r="NPG13" s="21"/>
      <c r="NPH13" s="21"/>
      <c r="NPI13" s="21"/>
      <c r="NPJ13" s="21"/>
      <c r="NPK13" s="21"/>
      <c r="NPL13" s="21"/>
      <c r="NPM13" s="21"/>
      <c r="NPN13" s="21"/>
      <c r="NPO13" s="21"/>
      <c r="NPP13" s="21"/>
      <c r="NPQ13" s="21"/>
      <c r="NPR13" s="21"/>
      <c r="NPS13" s="21"/>
      <c r="NPT13" s="21"/>
      <c r="NPU13" s="21"/>
      <c r="NPV13" s="21"/>
      <c r="NPW13" s="21"/>
      <c r="NPX13" s="21"/>
      <c r="NPY13" s="21"/>
      <c r="NPZ13" s="21"/>
      <c r="NQA13" s="21"/>
      <c r="NQB13" s="21"/>
      <c r="NQC13" s="21"/>
      <c r="NQD13" s="21"/>
      <c r="NQE13" s="21"/>
      <c r="NQF13" s="21"/>
      <c r="NQG13" s="21"/>
      <c r="NQH13" s="21"/>
      <c r="NQI13" s="21"/>
      <c r="NQJ13" s="21"/>
      <c r="NQK13" s="21"/>
      <c r="NQL13" s="21"/>
      <c r="NQM13" s="21"/>
      <c r="NQN13" s="21"/>
      <c r="NQO13" s="21"/>
      <c r="NQP13" s="21"/>
      <c r="NQQ13" s="21"/>
      <c r="NQR13" s="21"/>
      <c r="NQS13" s="21"/>
      <c r="NQT13" s="21"/>
      <c r="NQU13" s="21"/>
      <c r="NQV13" s="21"/>
      <c r="NQW13" s="21"/>
      <c r="NQX13" s="21"/>
      <c r="NQY13" s="21"/>
      <c r="NQZ13" s="21"/>
      <c r="NRA13" s="21"/>
      <c r="NRB13" s="21"/>
      <c r="NRC13" s="21"/>
      <c r="NRD13" s="21"/>
      <c r="NRE13" s="21"/>
      <c r="NRF13" s="21"/>
      <c r="NRG13" s="21"/>
      <c r="NRH13" s="21"/>
      <c r="NRI13" s="21"/>
      <c r="NRJ13" s="21"/>
      <c r="NRK13" s="21"/>
      <c r="NRL13" s="21"/>
      <c r="NRM13" s="21"/>
      <c r="NRN13" s="21"/>
      <c r="NRO13" s="21"/>
      <c r="NRP13" s="21"/>
      <c r="NRQ13" s="21"/>
      <c r="NRR13" s="21"/>
      <c r="NRS13" s="21"/>
      <c r="NRT13" s="21"/>
      <c r="NRU13" s="21"/>
      <c r="NRV13" s="21"/>
      <c r="NRW13" s="21"/>
      <c r="NRX13" s="21"/>
      <c r="NRY13" s="21"/>
      <c r="NRZ13" s="21"/>
      <c r="NSA13" s="21"/>
      <c r="NSB13" s="21"/>
      <c r="NSC13" s="21"/>
      <c r="NSD13" s="21"/>
      <c r="NSE13" s="21"/>
      <c r="NSF13" s="21"/>
      <c r="NSG13" s="21"/>
      <c r="NSH13" s="21"/>
      <c r="NSI13" s="21"/>
      <c r="NSJ13" s="21"/>
      <c r="NSK13" s="21"/>
      <c r="NSL13" s="21"/>
      <c r="NSM13" s="21"/>
      <c r="NSN13" s="21"/>
      <c r="NSO13" s="21"/>
      <c r="NSP13" s="21"/>
      <c r="NSQ13" s="21"/>
      <c r="NSR13" s="21"/>
      <c r="NSS13" s="21"/>
      <c r="NST13" s="21"/>
      <c r="NSU13" s="21"/>
      <c r="NSV13" s="21"/>
      <c r="NSW13" s="21"/>
      <c r="NSX13" s="21"/>
      <c r="NSY13" s="21"/>
      <c r="NSZ13" s="21"/>
      <c r="NTA13" s="21"/>
      <c r="NTB13" s="21"/>
      <c r="NTC13" s="21"/>
      <c r="NTD13" s="21"/>
      <c r="NTE13" s="21"/>
      <c r="NTF13" s="21"/>
      <c r="NTG13" s="21"/>
      <c r="NTH13" s="21"/>
      <c r="NTI13" s="21"/>
      <c r="NTJ13" s="21"/>
      <c r="NTK13" s="21"/>
      <c r="NTL13" s="21"/>
      <c r="NTM13" s="21"/>
      <c r="NTN13" s="21"/>
      <c r="NTO13" s="21"/>
      <c r="NTP13" s="21"/>
      <c r="NTQ13" s="21"/>
      <c r="NTR13" s="21"/>
      <c r="NTS13" s="21"/>
      <c r="NTT13" s="21"/>
      <c r="NTU13" s="21"/>
      <c r="NTV13" s="21"/>
      <c r="NTW13" s="21"/>
      <c r="NTX13" s="21"/>
      <c r="NTY13" s="21"/>
      <c r="NTZ13" s="21"/>
      <c r="NUA13" s="21"/>
      <c r="NUB13" s="21"/>
      <c r="NUC13" s="21"/>
      <c r="NUD13" s="21"/>
      <c r="NUE13" s="21"/>
      <c r="NUF13" s="21"/>
      <c r="NUG13" s="21"/>
      <c r="NUH13" s="21"/>
      <c r="NUI13" s="21"/>
      <c r="NUJ13" s="21"/>
      <c r="NUK13" s="21"/>
      <c r="NUL13" s="21"/>
      <c r="NUM13" s="21"/>
      <c r="NUN13" s="21"/>
      <c r="NUO13" s="21"/>
      <c r="NUP13" s="21"/>
      <c r="NUQ13" s="21"/>
      <c r="NUR13" s="21"/>
      <c r="NUS13" s="21"/>
      <c r="NUT13" s="21"/>
      <c r="NUU13" s="21"/>
      <c r="NUV13" s="21"/>
      <c r="NUW13" s="21"/>
      <c r="NUX13" s="21"/>
      <c r="NUY13" s="21"/>
      <c r="NUZ13" s="21"/>
      <c r="NVA13" s="21"/>
      <c r="NVB13" s="21"/>
      <c r="NVC13" s="21"/>
      <c r="NVD13" s="21"/>
      <c r="NVE13" s="21"/>
      <c r="NVF13" s="21"/>
      <c r="NVG13" s="21"/>
      <c r="NVH13" s="21"/>
      <c r="NVI13" s="21"/>
      <c r="NVJ13" s="21"/>
      <c r="NVK13" s="21"/>
      <c r="NVL13" s="21"/>
      <c r="NVM13" s="21"/>
      <c r="NVN13" s="21"/>
      <c r="NVO13" s="21"/>
      <c r="NVP13" s="21"/>
      <c r="NVQ13" s="21"/>
      <c r="NVR13" s="21"/>
      <c r="NVS13" s="21"/>
      <c r="NVT13" s="21"/>
      <c r="NVU13" s="21"/>
      <c r="NVV13" s="21"/>
      <c r="NVW13" s="21"/>
      <c r="NVX13" s="21"/>
      <c r="NVY13" s="21"/>
      <c r="NVZ13" s="21"/>
      <c r="NWA13" s="21"/>
      <c r="NWB13" s="21"/>
      <c r="NWC13" s="21"/>
      <c r="NWD13" s="21"/>
      <c r="NWE13" s="21"/>
      <c r="NWF13" s="21"/>
      <c r="NWG13" s="21"/>
      <c r="NWH13" s="21"/>
      <c r="NWI13" s="21"/>
      <c r="NWJ13" s="21"/>
      <c r="NWK13" s="21"/>
      <c r="NWL13" s="21"/>
      <c r="NWM13" s="21"/>
      <c r="NWN13" s="21"/>
      <c r="NWO13" s="21"/>
      <c r="NWP13" s="21"/>
      <c r="NWQ13" s="21"/>
      <c r="NWR13" s="21"/>
      <c r="NWS13" s="21"/>
      <c r="NWT13" s="21"/>
      <c r="NWU13" s="21"/>
      <c r="NWV13" s="21"/>
      <c r="NWW13" s="21"/>
      <c r="NWX13" s="21"/>
      <c r="NWY13" s="21"/>
      <c r="NWZ13" s="21"/>
      <c r="NXA13" s="21"/>
      <c r="NXB13" s="21"/>
      <c r="NXC13" s="21"/>
      <c r="NXD13" s="21"/>
      <c r="NXE13" s="21"/>
      <c r="NXF13" s="21"/>
      <c r="NXG13" s="21"/>
      <c r="NXH13" s="21"/>
      <c r="NXI13" s="21"/>
      <c r="NXJ13" s="21"/>
      <c r="NXK13" s="21"/>
      <c r="NXL13" s="21"/>
      <c r="NXM13" s="21"/>
      <c r="NXN13" s="21"/>
      <c r="NXO13" s="21"/>
      <c r="NXP13" s="21"/>
      <c r="NXQ13" s="21"/>
      <c r="NXR13" s="21"/>
      <c r="NXS13" s="21"/>
      <c r="NXT13" s="21"/>
      <c r="NXU13" s="21"/>
      <c r="NXV13" s="21"/>
      <c r="NXW13" s="21"/>
      <c r="NXX13" s="21"/>
      <c r="NXY13" s="21"/>
      <c r="NXZ13" s="21"/>
      <c r="NYA13" s="21"/>
      <c r="NYB13" s="21"/>
      <c r="NYC13" s="21"/>
      <c r="NYD13" s="21"/>
      <c r="NYE13" s="21"/>
      <c r="NYF13" s="21"/>
      <c r="NYG13" s="21"/>
      <c r="NYH13" s="21"/>
      <c r="NYI13" s="21"/>
      <c r="NYJ13" s="21"/>
      <c r="NYK13" s="21"/>
      <c r="NYL13" s="21"/>
      <c r="NYM13" s="21"/>
      <c r="NYN13" s="21"/>
      <c r="NYO13" s="21"/>
      <c r="NYP13" s="21"/>
      <c r="NYQ13" s="21"/>
      <c r="NYR13" s="21"/>
      <c r="NYS13" s="21"/>
      <c r="NYT13" s="21"/>
      <c r="NYU13" s="21"/>
      <c r="NYV13" s="21"/>
      <c r="NYW13" s="21"/>
      <c r="NYX13" s="21"/>
      <c r="NYY13" s="21"/>
      <c r="NYZ13" s="21"/>
      <c r="NZA13" s="21"/>
      <c r="NZB13" s="21"/>
      <c r="NZC13" s="21"/>
      <c r="NZD13" s="21"/>
      <c r="NZE13" s="21"/>
      <c r="NZF13" s="21"/>
      <c r="NZG13" s="21"/>
      <c r="NZH13" s="21"/>
      <c r="NZI13" s="21"/>
      <c r="NZJ13" s="21"/>
      <c r="NZK13" s="21"/>
      <c r="NZL13" s="21"/>
      <c r="NZM13" s="21"/>
      <c r="NZN13" s="21"/>
      <c r="NZO13" s="21"/>
      <c r="NZP13" s="21"/>
      <c r="NZQ13" s="21"/>
      <c r="NZR13" s="21"/>
      <c r="NZS13" s="21"/>
      <c r="NZT13" s="21"/>
      <c r="NZU13" s="21"/>
      <c r="NZV13" s="21"/>
      <c r="NZW13" s="21"/>
      <c r="NZX13" s="21"/>
      <c r="NZY13" s="21"/>
      <c r="NZZ13" s="21"/>
      <c r="OAA13" s="21"/>
      <c r="OAB13" s="21"/>
      <c r="OAC13" s="21"/>
      <c r="OAD13" s="21"/>
      <c r="OAE13" s="21"/>
      <c r="OAF13" s="21"/>
      <c r="OAG13" s="21"/>
      <c r="OAH13" s="21"/>
      <c r="OAI13" s="21"/>
      <c r="OAJ13" s="21"/>
      <c r="OAK13" s="21"/>
      <c r="OAL13" s="21"/>
      <c r="OAM13" s="21"/>
      <c r="OAN13" s="21"/>
      <c r="OAO13" s="21"/>
      <c r="OAP13" s="21"/>
      <c r="OAQ13" s="21"/>
      <c r="OAR13" s="21"/>
      <c r="OAS13" s="21"/>
      <c r="OAT13" s="21"/>
      <c r="OAU13" s="21"/>
      <c r="OAV13" s="21"/>
      <c r="OAW13" s="21"/>
      <c r="OAX13" s="21"/>
      <c r="OAY13" s="21"/>
      <c r="OAZ13" s="21"/>
      <c r="OBA13" s="21"/>
      <c r="OBB13" s="21"/>
      <c r="OBC13" s="21"/>
      <c r="OBD13" s="21"/>
      <c r="OBE13" s="21"/>
      <c r="OBF13" s="21"/>
      <c r="OBG13" s="21"/>
      <c r="OBH13" s="21"/>
      <c r="OBI13" s="21"/>
      <c r="OBJ13" s="21"/>
      <c r="OBK13" s="21"/>
      <c r="OBL13" s="21"/>
      <c r="OBM13" s="21"/>
      <c r="OBN13" s="21"/>
      <c r="OBO13" s="21"/>
      <c r="OBP13" s="21"/>
      <c r="OBQ13" s="21"/>
      <c r="OBR13" s="21"/>
      <c r="OBS13" s="21"/>
      <c r="OBT13" s="21"/>
      <c r="OBU13" s="21"/>
      <c r="OBV13" s="21"/>
      <c r="OBW13" s="21"/>
      <c r="OBX13" s="21"/>
      <c r="OBY13" s="21"/>
      <c r="OBZ13" s="21"/>
      <c r="OCA13" s="21"/>
      <c r="OCB13" s="21"/>
      <c r="OCC13" s="21"/>
      <c r="OCD13" s="21"/>
      <c r="OCE13" s="21"/>
      <c r="OCF13" s="21"/>
      <c r="OCG13" s="21"/>
      <c r="OCH13" s="21"/>
      <c r="OCI13" s="21"/>
      <c r="OCJ13" s="21"/>
      <c r="OCK13" s="21"/>
      <c r="OCL13" s="21"/>
      <c r="OCM13" s="21"/>
      <c r="OCN13" s="21"/>
      <c r="OCO13" s="21"/>
      <c r="OCP13" s="21"/>
      <c r="OCQ13" s="21"/>
      <c r="OCR13" s="21"/>
      <c r="OCS13" s="21"/>
      <c r="OCT13" s="21"/>
      <c r="OCU13" s="21"/>
      <c r="OCV13" s="21"/>
      <c r="OCW13" s="21"/>
      <c r="OCX13" s="21"/>
      <c r="OCY13" s="21"/>
      <c r="OCZ13" s="21"/>
      <c r="ODA13" s="21"/>
      <c r="ODB13" s="21"/>
      <c r="ODC13" s="21"/>
      <c r="ODD13" s="21"/>
      <c r="ODE13" s="21"/>
      <c r="ODF13" s="21"/>
      <c r="ODG13" s="21"/>
      <c r="ODH13" s="21"/>
      <c r="ODI13" s="21"/>
      <c r="ODJ13" s="21"/>
      <c r="ODK13" s="21"/>
      <c r="ODL13" s="21"/>
      <c r="ODM13" s="21"/>
      <c r="ODN13" s="21"/>
      <c r="ODO13" s="21"/>
      <c r="ODP13" s="21"/>
      <c r="ODQ13" s="21"/>
      <c r="ODR13" s="21"/>
      <c r="ODS13" s="21"/>
      <c r="ODT13" s="21"/>
      <c r="ODU13" s="21"/>
      <c r="ODV13" s="21"/>
      <c r="ODW13" s="21"/>
      <c r="ODX13" s="21"/>
      <c r="ODY13" s="21"/>
      <c r="ODZ13" s="21"/>
      <c r="OEA13" s="21"/>
      <c r="OEB13" s="21"/>
      <c r="OEC13" s="21"/>
      <c r="OED13" s="21"/>
      <c r="OEE13" s="21"/>
      <c r="OEF13" s="21"/>
      <c r="OEG13" s="21"/>
      <c r="OEH13" s="21"/>
      <c r="OEI13" s="21"/>
      <c r="OEJ13" s="21"/>
      <c r="OEK13" s="21"/>
      <c r="OEL13" s="21"/>
      <c r="OEM13" s="21"/>
      <c r="OEN13" s="21"/>
      <c r="OEO13" s="21"/>
      <c r="OEP13" s="21"/>
      <c r="OEQ13" s="21"/>
      <c r="OER13" s="21"/>
      <c r="OES13" s="21"/>
      <c r="OET13" s="21"/>
      <c r="OEU13" s="21"/>
      <c r="OEV13" s="21"/>
      <c r="OEW13" s="21"/>
      <c r="OEX13" s="21"/>
      <c r="OEY13" s="21"/>
      <c r="OEZ13" s="21"/>
      <c r="OFA13" s="21"/>
      <c r="OFB13" s="21"/>
      <c r="OFC13" s="21"/>
      <c r="OFD13" s="21"/>
      <c r="OFE13" s="21"/>
      <c r="OFF13" s="21"/>
      <c r="OFG13" s="21"/>
      <c r="OFH13" s="21"/>
      <c r="OFI13" s="21"/>
      <c r="OFJ13" s="21"/>
      <c r="OFK13" s="21"/>
      <c r="OFL13" s="21"/>
      <c r="OFM13" s="21"/>
      <c r="OFN13" s="21"/>
      <c r="OFO13" s="21"/>
      <c r="OFP13" s="21"/>
      <c r="OFQ13" s="21"/>
      <c r="OFR13" s="21"/>
      <c r="OFS13" s="21"/>
      <c r="OFT13" s="21"/>
      <c r="OFU13" s="21"/>
      <c r="OFV13" s="21"/>
      <c r="OFW13" s="21"/>
      <c r="OFX13" s="21"/>
      <c r="OFY13" s="21"/>
      <c r="OFZ13" s="21"/>
      <c r="OGA13" s="21"/>
      <c r="OGB13" s="21"/>
      <c r="OGC13" s="21"/>
      <c r="OGD13" s="21"/>
      <c r="OGE13" s="21"/>
      <c r="OGF13" s="21"/>
      <c r="OGG13" s="21"/>
      <c r="OGH13" s="21"/>
      <c r="OGI13" s="21"/>
      <c r="OGJ13" s="21"/>
      <c r="OGK13" s="21"/>
      <c r="OGL13" s="21"/>
      <c r="OGM13" s="21"/>
      <c r="OGN13" s="21"/>
      <c r="OGO13" s="21"/>
      <c r="OGP13" s="21"/>
      <c r="OGQ13" s="21"/>
      <c r="OGR13" s="21"/>
      <c r="OGS13" s="21"/>
      <c r="OGT13" s="21"/>
      <c r="OGU13" s="21"/>
      <c r="OGV13" s="21"/>
      <c r="OGW13" s="21"/>
      <c r="OGX13" s="21"/>
      <c r="OGY13" s="21"/>
      <c r="OGZ13" s="21"/>
      <c r="OHA13" s="21"/>
      <c r="OHB13" s="21"/>
      <c r="OHC13" s="21"/>
      <c r="OHD13" s="21"/>
      <c r="OHE13" s="21"/>
      <c r="OHF13" s="21"/>
      <c r="OHG13" s="21"/>
      <c r="OHH13" s="21"/>
      <c r="OHI13" s="21"/>
      <c r="OHJ13" s="21"/>
      <c r="OHK13" s="21"/>
      <c r="OHL13" s="21"/>
      <c r="OHM13" s="21"/>
      <c r="OHN13" s="21"/>
      <c r="OHO13" s="21"/>
      <c r="OHP13" s="21"/>
      <c r="OHQ13" s="21"/>
      <c r="OHR13" s="21"/>
      <c r="OHS13" s="21"/>
      <c r="OHT13" s="21"/>
      <c r="OHU13" s="21"/>
      <c r="OHV13" s="21"/>
      <c r="OHW13" s="21"/>
      <c r="OHX13" s="21"/>
      <c r="OHY13" s="21"/>
      <c r="OHZ13" s="21"/>
      <c r="OIA13" s="21"/>
      <c r="OIB13" s="21"/>
      <c r="OIC13" s="21"/>
      <c r="OID13" s="21"/>
      <c r="OIE13" s="21"/>
      <c r="OIF13" s="21"/>
      <c r="OIG13" s="21"/>
      <c r="OIH13" s="21"/>
      <c r="OII13" s="21"/>
      <c r="OIJ13" s="21"/>
      <c r="OIK13" s="21"/>
      <c r="OIL13" s="21"/>
      <c r="OIM13" s="21"/>
      <c r="OIN13" s="21"/>
      <c r="OIO13" s="21"/>
      <c r="OIP13" s="21"/>
      <c r="OIQ13" s="21"/>
      <c r="OIR13" s="21"/>
      <c r="OIS13" s="21"/>
      <c r="OIT13" s="21"/>
      <c r="OIU13" s="21"/>
      <c r="OIV13" s="21"/>
      <c r="OIW13" s="21"/>
      <c r="OIX13" s="21"/>
      <c r="OIY13" s="21"/>
      <c r="OIZ13" s="21"/>
      <c r="OJA13" s="21"/>
      <c r="OJB13" s="21"/>
      <c r="OJC13" s="21"/>
      <c r="OJD13" s="21"/>
      <c r="OJE13" s="21"/>
      <c r="OJF13" s="21"/>
      <c r="OJG13" s="21"/>
      <c r="OJH13" s="21"/>
      <c r="OJI13" s="21"/>
      <c r="OJJ13" s="21"/>
      <c r="OJK13" s="21"/>
      <c r="OJL13" s="21"/>
      <c r="OJM13" s="21"/>
      <c r="OJN13" s="21"/>
      <c r="OJO13" s="21"/>
      <c r="OJP13" s="21"/>
      <c r="OJQ13" s="21"/>
      <c r="OJR13" s="21"/>
      <c r="OJS13" s="21"/>
      <c r="OJT13" s="21"/>
      <c r="OJU13" s="21"/>
      <c r="OJV13" s="21"/>
      <c r="OJW13" s="21"/>
      <c r="OJX13" s="21"/>
      <c r="OJY13" s="21"/>
      <c r="OJZ13" s="21"/>
      <c r="OKA13" s="21"/>
      <c r="OKB13" s="21"/>
      <c r="OKC13" s="21"/>
      <c r="OKD13" s="21"/>
      <c r="OKE13" s="21"/>
      <c r="OKF13" s="21"/>
      <c r="OKG13" s="21"/>
      <c r="OKH13" s="21"/>
      <c r="OKI13" s="21"/>
      <c r="OKJ13" s="21"/>
      <c r="OKK13" s="21"/>
      <c r="OKL13" s="21"/>
      <c r="OKM13" s="21"/>
      <c r="OKN13" s="21"/>
      <c r="OKO13" s="21"/>
      <c r="OKP13" s="21"/>
      <c r="OKQ13" s="21"/>
      <c r="OKR13" s="21"/>
      <c r="OKS13" s="21"/>
      <c r="OKT13" s="21"/>
      <c r="OKU13" s="21"/>
      <c r="OKV13" s="21"/>
      <c r="OKW13" s="21"/>
      <c r="OKX13" s="21"/>
      <c r="OKY13" s="21"/>
      <c r="OKZ13" s="21"/>
      <c r="OLA13" s="21"/>
      <c r="OLB13" s="21"/>
      <c r="OLC13" s="21"/>
      <c r="OLD13" s="21"/>
      <c r="OLE13" s="21"/>
      <c r="OLF13" s="21"/>
      <c r="OLG13" s="21"/>
      <c r="OLH13" s="21"/>
      <c r="OLI13" s="21"/>
      <c r="OLJ13" s="21"/>
      <c r="OLK13" s="21"/>
      <c r="OLL13" s="21"/>
      <c r="OLM13" s="21"/>
      <c r="OLN13" s="21"/>
      <c r="OLO13" s="21"/>
      <c r="OLP13" s="21"/>
      <c r="OLQ13" s="21"/>
      <c r="OLR13" s="21"/>
      <c r="OLS13" s="21"/>
      <c r="OLT13" s="21"/>
      <c r="OLU13" s="21"/>
      <c r="OLV13" s="21"/>
      <c r="OLW13" s="21"/>
      <c r="OLX13" s="21"/>
      <c r="OLY13" s="21"/>
      <c r="OLZ13" s="21"/>
      <c r="OMA13" s="21"/>
      <c r="OMB13" s="21"/>
      <c r="OMC13" s="21"/>
      <c r="OMD13" s="21"/>
      <c r="OME13" s="21"/>
      <c r="OMF13" s="21"/>
      <c r="OMG13" s="21"/>
      <c r="OMH13" s="21"/>
      <c r="OMI13" s="21"/>
      <c r="OMJ13" s="21"/>
      <c r="OMK13" s="21"/>
      <c r="OML13" s="21"/>
      <c r="OMM13" s="21"/>
      <c r="OMN13" s="21"/>
      <c r="OMO13" s="21"/>
      <c r="OMP13" s="21"/>
      <c r="OMQ13" s="21"/>
      <c r="OMR13" s="21"/>
      <c r="OMS13" s="21"/>
      <c r="OMT13" s="21"/>
      <c r="OMU13" s="21"/>
      <c r="OMV13" s="21"/>
      <c r="OMW13" s="21"/>
      <c r="OMX13" s="21"/>
      <c r="OMY13" s="21"/>
      <c r="OMZ13" s="21"/>
      <c r="ONA13" s="21"/>
      <c r="ONB13" s="21"/>
      <c r="ONC13" s="21"/>
      <c r="OND13" s="21"/>
      <c r="ONE13" s="21"/>
      <c r="ONF13" s="21"/>
      <c r="ONG13" s="21"/>
      <c r="ONH13" s="21"/>
      <c r="ONI13" s="21"/>
      <c r="ONJ13" s="21"/>
      <c r="ONK13" s="21"/>
      <c r="ONL13" s="21"/>
      <c r="ONM13" s="21"/>
      <c r="ONN13" s="21"/>
      <c r="ONO13" s="21"/>
      <c r="ONP13" s="21"/>
      <c r="ONQ13" s="21"/>
      <c r="ONR13" s="21"/>
      <c r="ONS13" s="21"/>
      <c r="ONT13" s="21"/>
      <c r="ONU13" s="21"/>
      <c r="ONV13" s="21"/>
      <c r="ONW13" s="21"/>
      <c r="ONX13" s="21"/>
      <c r="ONY13" s="21"/>
      <c r="ONZ13" s="21"/>
      <c r="OOA13" s="21"/>
      <c r="OOB13" s="21"/>
      <c r="OOC13" s="21"/>
      <c r="OOD13" s="21"/>
      <c r="OOE13" s="21"/>
      <c r="OOF13" s="21"/>
      <c r="OOG13" s="21"/>
      <c r="OOH13" s="21"/>
      <c r="OOI13" s="21"/>
      <c r="OOJ13" s="21"/>
      <c r="OOK13" s="21"/>
      <c r="OOL13" s="21"/>
      <c r="OOM13" s="21"/>
      <c r="OON13" s="21"/>
      <c r="OOO13" s="21"/>
      <c r="OOP13" s="21"/>
      <c r="OOQ13" s="21"/>
      <c r="OOR13" s="21"/>
      <c r="OOS13" s="21"/>
      <c r="OOT13" s="21"/>
      <c r="OOU13" s="21"/>
      <c r="OOV13" s="21"/>
      <c r="OOW13" s="21"/>
      <c r="OOX13" s="21"/>
      <c r="OOY13" s="21"/>
      <c r="OOZ13" s="21"/>
      <c r="OPA13" s="21"/>
      <c r="OPB13" s="21"/>
      <c r="OPC13" s="21"/>
      <c r="OPD13" s="21"/>
      <c r="OPE13" s="21"/>
      <c r="OPF13" s="21"/>
      <c r="OPG13" s="21"/>
      <c r="OPH13" s="21"/>
      <c r="OPI13" s="21"/>
      <c r="OPJ13" s="21"/>
      <c r="OPK13" s="21"/>
      <c r="OPL13" s="21"/>
      <c r="OPM13" s="21"/>
      <c r="OPN13" s="21"/>
      <c r="OPO13" s="21"/>
      <c r="OPP13" s="21"/>
      <c r="OPQ13" s="21"/>
      <c r="OPR13" s="21"/>
      <c r="OPS13" s="21"/>
      <c r="OPT13" s="21"/>
      <c r="OPU13" s="21"/>
      <c r="OPV13" s="21"/>
      <c r="OPW13" s="21"/>
      <c r="OPX13" s="21"/>
      <c r="OPY13" s="21"/>
      <c r="OPZ13" s="21"/>
      <c r="OQA13" s="21"/>
      <c r="OQB13" s="21"/>
      <c r="OQC13" s="21"/>
      <c r="OQD13" s="21"/>
      <c r="OQE13" s="21"/>
      <c r="OQF13" s="21"/>
      <c r="OQG13" s="21"/>
      <c r="OQH13" s="21"/>
      <c r="OQI13" s="21"/>
      <c r="OQJ13" s="21"/>
      <c r="OQK13" s="21"/>
      <c r="OQL13" s="21"/>
      <c r="OQM13" s="21"/>
      <c r="OQN13" s="21"/>
      <c r="OQO13" s="21"/>
      <c r="OQP13" s="21"/>
      <c r="OQQ13" s="21"/>
      <c r="OQR13" s="21"/>
      <c r="OQS13" s="21"/>
      <c r="OQT13" s="21"/>
      <c r="OQU13" s="21"/>
      <c r="OQV13" s="21"/>
      <c r="OQW13" s="21"/>
      <c r="OQX13" s="21"/>
      <c r="OQY13" s="21"/>
      <c r="OQZ13" s="21"/>
      <c r="ORA13" s="21"/>
      <c r="ORB13" s="21"/>
      <c r="ORC13" s="21"/>
      <c r="ORD13" s="21"/>
      <c r="ORE13" s="21"/>
      <c r="ORF13" s="21"/>
      <c r="ORG13" s="21"/>
      <c r="ORH13" s="21"/>
      <c r="ORI13" s="21"/>
      <c r="ORJ13" s="21"/>
      <c r="ORK13" s="21"/>
      <c r="ORL13" s="21"/>
      <c r="ORM13" s="21"/>
      <c r="ORN13" s="21"/>
      <c r="ORO13" s="21"/>
      <c r="ORP13" s="21"/>
      <c r="ORQ13" s="21"/>
      <c r="ORR13" s="21"/>
      <c r="ORS13" s="21"/>
      <c r="ORT13" s="21"/>
      <c r="ORU13" s="21"/>
      <c r="ORV13" s="21"/>
      <c r="ORW13" s="21"/>
      <c r="ORX13" s="21"/>
      <c r="ORY13" s="21"/>
      <c r="ORZ13" s="21"/>
      <c r="OSA13" s="21"/>
      <c r="OSB13" s="21"/>
      <c r="OSC13" s="21"/>
      <c r="OSD13" s="21"/>
      <c r="OSE13" s="21"/>
      <c r="OSF13" s="21"/>
      <c r="OSG13" s="21"/>
      <c r="OSH13" s="21"/>
      <c r="OSI13" s="21"/>
      <c r="OSJ13" s="21"/>
      <c r="OSK13" s="21"/>
      <c r="OSL13" s="21"/>
      <c r="OSM13" s="21"/>
      <c r="OSN13" s="21"/>
      <c r="OSO13" s="21"/>
      <c r="OSP13" s="21"/>
      <c r="OSQ13" s="21"/>
      <c r="OSR13" s="21"/>
      <c r="OSS13" s="21"/>
      <c r="OST13" s="21"/>
      <c r="OSU13" s="21"/>
      <c r="OSV13" s="21"/>
      <c r="OSW13" s="21"/>
      <c r="OSX13" s="21"/>
      <c r="OSY13" s="21"/>
      <c r="OSZ13" s="21"/>
      <c r="OTA13" s="21"/>
      <c r="OTB13" s="21"/>
      <c r="OTC13" s="21"/>
      <c r="OTD13" s="21"/>
      <c r="OTE13" s="21"/>
      <c r="OTF13" s="21"/>
      <c r="OTG13" s="21"/>
      <c r="OTH13" s="21"/>
      <c r="OTI13" s="21"/>
      <c r="OTJ13" s="21"/>
      <c r="OTK13" s="21"/>
      <c r="OTL13" s="21"/>
      <c r="OTM13" s="21"/>
      <c r="OTN13" s="21"/>
      <c r="OTO13" s="21"/>
      <c r="OTP13" s="21"/>
      <c r="OTQ13" s="21"/>
      <c r="OTR13" s="21"/>
      <c r="OTS13" s="21"/>
      <c r="OTT13" s="21"/>
      <c r="OTU13" s="21"/>
      <c r="OTV13" s="21"/>
      <c r="OTW13" s="21"/>
      <c r="OTX13" s="21"/>
      <c r="OTY13" s="21"/>
      <c r="OTZ13" s="21"/>
      <c r="OUA13" s="21"/>
      <c r="OUB13" s="21"/>
      <c r="OUC13" s="21"/>
      <c r="OUD13" s="21"/>
      <c r="OUE13" s="21"/>
      <c r="OUF13" s="21"/>
      <c r="OUG13" s="21"/>
      <c r="OUH13" s="21"/>
      <c r="OUI13" s="21"/>
      <c r="OUJ13" s="21"/>
      <c r="OUK13" s="21"/>
      <c r="OUL13" s="21"/>
      <c r="OUM13" s="21"/>
      <c r="OUN13" s="21"/>
      <c r="OUO13" s="21"/>
      <c r="OUP13" s="21"/>
      <c r="OUQ13" s="21"/>
      <c r="OUR13" s="21"/>
      <c r="OUS13" s="21"/>
      <c r="OUT13" s="21"/>
      <c r="OUU13" s="21"/>
      <c r="OUV13" s="21"/>
      <c r="OUW13" s="21"/>
      <c r="OUX13" s="21"/>
      <c r="OUY13" s="21"/>
      <c r="OUZ13" s="21"/>
      <c r="OVA13" s="21"/>
      <c r="OVB13" s="21"/>
      <c r="OVC13" s="21"/>
      <c r="OVD13" s="21"/>
      <c r="OVE13" s="21"/>
      <c r="OVF13" s="21"/>
      <c r="OVG13" s="21"/>
      <c r="OVH13" s="21"/>
      <c r="OVI13" s="21"/>
      <c r="OVJ13" s="21"/>
      <c r="OVK13" s="21"/>
      <c r="OVL13" s="21"/>
      <c r="OVM13" s="21"/>
      <c r="OVN13" s="21"/>
      <c r="OVO13" s="21"/>
      <c r="OVP13" s="21"/>
      <c r="OVQ13" s="21"/>
      <c r="OVR13" s="21"/>
      <c r="OVS13" s="21"/>
      <c r="OVT13" s="21"/>
      <c r="OVU13" s="21"/>
      <c r="OVV13" s="21"/>
      <c r="OVW13" s="21"/>
      <c r="OVX13" s="21"/>
      <c r="OVY13" s="21"/>
      <c r="OVZ13" s="21"/>
      <c r="OWA13" s="21"/>
      <c r="OWB13" s="21"/>
      <c r="OWC13" s="21"/>
      <c r="OWD13" s="21"/>
      <c r="OWE13" s="21"/>
      <c r="OWF13" s="21"/>
      <c r="OWG13" s="21"/>
      <c r="OWH13" s="21"/>
      <c r="OWI13" s="21"/>
      <c r="OWJ13" s="21"/>
      <c r="OWK13" s="21"/>
      <c r="OWL13" s="21"/>
      <c r="OWM13" s="21"/>
      <c r="OWN13" s="21"/>
      <c r="OWO13" s="21"/>
      <c r="OWP13" s="21"/>
      <c r="OWQ13" s="21"/>
      <c r="OWR13" s="21"/>
      <c r="OWS13" s="21"/>
      <c r="OWT13" s="21"/>
      <c r="OWU13" s="21"/>
      <c r="OWV13" s="21"/>
      <c r="OWW13" s="21"/>
      <c r="OWX13" s="21"/>
      <c r="OWY13" s="21"/>
      <c r="OWZ13" s="21"/>
      <c r="OXA13" s="21"/>
      <c r="OXB13" s="21"/>
      <c r="OXC13" s="21"/>
      <c r="OXD13" s="21"/>
      <c r="OXE13" s="21"/>
      <c r="OXF13" s="21"/>
      <c r="OXG13" s="21"/>
      <c r="OXH13" s="21"/>
      <c r="OXI13" s="21"/>
      <c r="OXJ13" s="21"/>
      <c r="OXK13" s="21"/>
      <c r="OXL13" s="21"/>
      <c r="OXM13" s="21"/>
      <c r="OXN13" s="21"/>
      <c r="OXO13" s="21"/>
      <c r="OXP13" s="21"/>
      <c r="OXQ13" s="21"/>
      <c r="OXR13" s="21"/>
      <c r="OXS13" s="21"/>
      <c r="OXT13" s="21"/>
      <c r="OXU13" s="21"/>
      <c r="OXV13" s="21"/>
      <c r="OXW13" s="21"/>
      <c r="OXX13" s="21"/>
      <c r="OXY13" s="21"/>
      <c r="OXZ13" s="21"/>
      <c r="OYA13" s="21"/>
      <c r="OYB13" s="21"/>
      <c r="OYC13" s="21"/>
      <c r="OYD13" s="21"/>
      <c r="OYE13" s="21"/>
      <c r="OYF13" s="21"/>
      <c r="OYG13" s="21"/>
      <c r="OYH13" s="21"/>
      <c r="OYI13" s="21"/>
      <c r="OYJ13" s="21"/>
      <c r="OYK13" s="21"/>
      <c r="OYL13" s="21"/>
      <c r="OYM13" s="21"/>
      <c r="OYN13" s="21"/>
      <c r="OYO13" s="21"/>
      <c r="OYP13" s="21"/>
      <c r="OYQ13" s="21"/>
      <c r="OYR13" s="21"/>
      <c r="OYS13" s="21"/>
      <c r="OYT13" s="21"/>
      <c r="OYU13" s="21"/>
      <c r="OYV13" s="21"/>
      <c r="OYW13" s="21"/>
      <c r="OYX13" s="21"/>
      <c r="OYY13" s="21"/>
      <c r="OYZ13" s="21"/>
      <c r="OZA13" s="21"/>
      <c r="OZB13" s="21"/>
      <c r="OZC13" s="21"/>
      <c r="OZD13" s="21"/>
      <c r="OZE13" s="21"/>
      <c r="OZF13" s="21"/>
      <c r="OZG13" s="21"/>
      <c r="OZH13" s="21"/>
      <c r="OZI13" s="21"/>
      <c r="OZJ13" s="21"/>
      <c r="OZK13" s="21"/>
      <c r="OZL13" s="21"/>
      <c r="OZM13" s="21"/>
      <c r="OZN13" s="21"/>
      <c r="OZO13" s="21"/>
      <c r="OZP13" s="21"/>
      <c r="OZQ13" s="21"/>
      <c r="OZR13" s="21"/>
      <c r="OZS13" s="21"/>
      <c r="OZT13" s="21"/>
      <c r="OZU13" s="21"/>
      <c r="OZV13" s="21"/>
      <c r="OZW13" s="21"/>
      <c r="OZX13" s="21"/>
      <c r="OZY13" s="21"/>
      <c r="OZZ13" s="21"/>
      <c r="PAA13" s="21"/>
      <c r="PAB13" s="21"/>
      <c r="PAC13" s="21"/>
      <c r="PAD13" s="21"/>
      <c r="PAE13" s="21"/>
      <c r="PAF13" s="21"/>
      <c r="PAG13" s="21"/>
      <c r="PAH13" s="21"/>
      <c r="PAI13" s="21"/>
      <c r="PAJ13" s="21"/>
      <c r="PAK13" s="21"/>
      <c r="PAL13" s="21"/>
      <c r="PAM13" s="21"/>
      <c r="PAN13" s="21"/>
      <c r="PAO13" s="21"/>
      <c r="PAP13" s="21"/>
      <c r="PAQ13" s="21"/>
      <c r="PAR13" s="21"/>
      <c r="PAS13" s="21"/>
      <c r="PAT13" s="21"/>
      <c r="PAU13" s="21"/>
      <c r="PAV13" s="21"/>
      <c r="PAW13" s="21"/>
      <c r="PAX13" s="21"/>
      <c r="PAY13" s="21"/>
      <c r="PAZ13" s="21"/>
      <c r="PBA13" s="21"/>
      <c r="PBB13" s="21"/>
      <c r="PBC13" s="21"/>
      <c r="PBD13" s="21"/>
      <c r="PBE13" s="21"/>
      <c r="PBF13" s="21"/>
      <c r="PBG13" s="21"/>
      <c r="PBH13" s="21"/>
      <c r="PBI13" s="21"/>
      <c r="PBJ13" s="21"/>
      <c r="PBK13" s="21"/>
      <c r="PBL13" s="21"/>
      <c r="PBM13" s="21"/>
      <c r="PBN13" s="21"/>
      <c r="PBO13" s="21"/>
      <c r="PBP13" s="21"/>
      <c r="PBQ13" s="21"/>
      <c r="PBR13" s="21"/>
      <c r="PBS13" s="21"/>
      <c r="PBT13" s="21"/>
      <c r="PBU13" s="21"/>
      <c r="PBV13" s="21"/>
      <c r="PBW13" s="21"/>
      <c r="PBX13" s="21"/>
      <c r="PBY13" s="21"/>
      <c r="PBZ13" s="21"/>
      <c r="PCA13" s="21"/>
      <c r="PCB13" s="21"/>
      <c r="PCC13" s="21"/>
      <c r="PCD13" s="21"/>
      <c r="PCE13" s="21"/>
      <c r="PCF13" s="21"/>
      <c r="PCG13" s="21"/>
      <c r="PCH13" s="21"/>
      <c r="PCI13" s="21"/>
      <c r="PCJ13" s="21"/>
      <c r="PCK13" s="21"/>
      <c r="PCL13" s="21"/>
      <c r="PCM13" s="21"/>
      <c r="PCN13" s="21"/>
      <c r="PCO13" s="21"/>
      <c r="PCP13" s="21"/>
      <c r="PCQ13" s="21"/>
      <c r="PCR13" s="21"/>
      <c r="PCS13" s="21"/>
      <c r="PCT13" s="21"/>
      <c r="PCU13" s="21"/>
      <c r="PCV13" s="21"/>
      <c r="PCW13" s="21"/>
      <c r="PCX13" s="21"/>
      <c r="PCY13" s="21"/>
      <c r="PCZ13" s="21"/>
      <c r="PDA13" s="21"/>
      <c r="PDB13" s="21"/>
      <c r="PDC13" s="21"/>
      <c r="PDD13" s="21"/>
      <c r="PDE13" s="21"/>
      <c r="PDF13" s="21"/>
      <c r="PDG13" s="21"/>
      <c r="PDH13" s="21"/>
      <c r="PDI13" s="21"/>
      <c r="PDJ13" s="21"/>
      <c r="PDK13" s="21"/>
      <c r="PDL13" s="21"/>
      <c r="PDM13" s="21"/>
      <c r="PDN13" s="21"/>
      <c r="PDO13" s="21"/>
      <c r="PDP13" s="21"/>
      <c r="PDQ13" s="21"/>
      <c r="PDR13" s="21"/>
      <c r="PDS13" s="21"/>
      <c r="PDT13" s="21"/>
      <c r="PDU13" s="21"/>
      <c r="PDV13" s="21"/>
      <c r="PDW13" s="21"/>
      <c r="PDX13" s="21"/>
      <c r="PDY13" s="21"/>
      <c r="PDZ13" s="21"/>
      <c r="PEA13" s="21"/>
      <c r="PEB13" s="21"/>
      <c r="PEC13" s="21"/>
      <c r="PED13" s="21"/>
      <c r="PEE13" s="21"/>
      <c r="PEF13" s="21"/>
      <c r="PEG13" s="21"/>
      <c r="PEH13" s="21"/>
      <c r="PEI13" s="21"/>
      <c r="PEJ13" s="21"/>
      <c r="PEK13" s="21"/>
      <c r="PEL13" s="21"/>
      <c r="PEM13" s="21"/>
      <c r="PEN13" s="21"/>
      <c r="PEO13" s="21"/>
      <c r="PEP13" s="21"/>
      <c r="PEQ13" s="21"/>
      <c r="PER13" s="21"/>
      <c r="PES13" s="21"/>
      <c r="PET13" s="21"/>
      <c r="PEU13" s="21"/>
      <c r="PEV13" s="21"/>
      <c r="PEW13" s="21"/>
      <c r="PEX13" s="21"/>
      <c r="PEY13" s="21"/>
      <c r="PEZ13" s="21"/>
      <c r="PFA13" s="21"/>
      <c r="PFB13" s="21"/>
      <c r="PFC13" s="21"/>
      <c r="PFD13" s="21"/>
      <c r="PFE13" s="21"/>
      <c r="PFF13" s="21"/>
      <c r="PFG13" s="21"/>
      <c r="PFH13" s="21"/>
      <c r="PFI13" s="21"/>
      <c r="PFJ13" s="21"/>
      <c r="PFK13" s="21"/>
      <c r="PFL13" s="21"/>
      <c r="PFM13" s="21"/>
      <c r="PFN13" s="21"/>
      <c r="PFO13" s="21"/>
      <c r="PFP13" s="21"/>
      <c r="PFQ13" s="21"/>
      <c r="PFR13" s="21"/>
      <c r="PFS13" s="21"/>
      <c r="PFT13" s="21"/>
      <c r="PFU13" s="21"/>
      <c r="PFV13" s="21"/>
      <c r="PFW13" s="21"/>
      <c r="PFX13" s="21"/>
      <c r="PFY13" s="21"/>
      <c r="PFZ13" s="21"/>
      <c r="PGA13" s="21"/>
      <c r="PGB13" s="21"/>
      <c r="PGC13" s="21"/>
      <c r="PGD13" s="21"/>
      <c r="PGE13" s="21"/>
      <c r="PGF13" s="21"/>
      <c r="PGG13" s="21"/>
      <c r="PGH13" s="21"/>
      <c r="PGI13" s="21"/>
      <c r="PGJ13" s="21"/>
      <c r="PGK13" s="21"/>
      <c r="PGL13" s="21"/>
      <c r="PGM13" s="21"/>
      <c r="PGN13" s="21"/>
      <c r="PGO13" s="21"/>
      <c r="PGP13" s="21"/>
      <c r="PGQ13" s="21"/>
      <c r="PGR13" s="21"/>
      <c r="PGS13" s="21"/>
      <c r="PGT13" s="21"/>
      <c r="PGU13" s="21"/>
      <c r="PGV13" s="21"/>
      <c r="PGW13" s="21"/>
      <c r="PGX13" s="21"/>
      <c r="PGY13" s="21"/>
      <c r="PGZ13" s="21"/>
      <c r="PHA13" s="21"/>
      <c r="PHB13" s="21"/>
      <c r="PHC13" s="21"/>
      <c r="PHD13" s="21"/>
      <c r="PHE13" s="21"/>
      <c r="PHF13" s="21"/>
      <c r="PHG13" s="21"/>
      <c r="PHH13" s="21"/>
      <c r="PHI13" s="21"/>
      <c r="PHJ13" s="21"/>
      <c r="PHK13" s="21"/>
      <c r="PHL13" s="21"/>
      <c r="PHM13" s="21"/>
      <c r="PHN13" s="21"/>
      <c r="PHO13" s="21"/>
      <c r="PHP13" s="21"/>
      <c r="PHQ13" s="21"/>
      <c r="PHR13" s="21"/>
      <c r="PHS13" s="21"/>
      <c r="PHT13" s="21"/>
      <c r="PHU13" s="21"/>
      <c r="PHV13" s="21"/>
      <c r="PHW13" s="21"/>
      <c r="PHX13" s="21"/>
      <c r="PHY13" s="21"/>
      <c r="PHZ13" s="21"/>
      <c r="PIA13" s="21"/>
      <c r="PIB13" s="21"/>
      <c r="PIC13" s="21"/>
      <c r="PID13" s="21"/>
      <c r="PIE13" s="21"/>
      <c r="PIF13" s="21"/>
      <c r="PIG13" s="21"/>
      <c r="PIH13" s="21"/>
      <c r="PII13" s="21"/>
      <c r="PIJ13" s="21"/>
      <c r="PIK13" s="21"/>
      <c r="PIL13" s="21"/>
      <c r="PIM13" s="21"/>
      <c r="PIN13" s="21"/>
      <c r="PIO13" s="21"/>
      <c r="PIP13" s="21"/>
      <c r="PIQ13" s="21"/>
      <c r="PIR13" s="21"/>
      <c r="PIS13" s="21"/>
      <c r="PIT13" s="21"/>
      <c r="PIU13" s="21"/>
      <c r="PIV13" s="21"/>
      <c r="PIW13" s="21"/>
      <c r="PIX13" s="21"/>
      <c r="PIY13" s="21"/>
      <c r="PIZ13" s="21"/>
      <c r="PJA13" s="21"/>
      <c r="PJB13" s="21"/>
      <c r="PJC13" s="21"/>
      <c r="PJD13" s="21"/>
      <c r="PJE13" s="21"/>
      <c r="PJF13" s="21"/>
      <c r="PJG13" s="21"/>
      <c r="PJH13" s="21"/>
      <c r="PJI13" s="21"/>
      <c r="PJJ13" s="21"/>
      <c r="PJK13" s="21"/>
      <c r="PJL13" s="21"/>
      <c r="PJM13" s="21"/>
      <c r="PJN13" s="21"/>
      <c r="PJO13" s="21"/>
      <c r="PJP13" s="21"/>
      <c r="PJQ13" s="21"/>
      <c r="PJR13" s="21"/>
      <c r="PJS13" s="21"/>
      <c r="PJT13" s="21"/>
      <c r="PJU13" s="21"/>
      <c r="PJV13" s="21"/>
      <c r="PJW13" s="21"/>
      <c r="PJX13" s="21"/>
      <c r="PJY13" s="21"/>
      <c r="PJZ13" s="21"/>
      <c r="PKA13" s="21"/>
      <c r="PKB13" s="21"/>
      <c r="PKC13" s="21"/>
      <c r="PKD13" s="21"/>
      <c r="PKE13" s="21"/>
      <c r="PKF13" s="21"/>
      <c r="PKG13" s="21"/>
      <c r="PKH13" s="21"/>
      <c r="PKI13" s="21"/>
      <c r="PKJ13" s="21"/>
      <c r="PKK13" s="21"/>
      <c r="PKL13" s="21"/>
      <c r="PKM13" s="21"/>
      <c r="PKN13" s="21"/>
      <c r="PKO13" s="21"/>
      <c r="PKP13" s="21"/>
      <c r="PKQ13" s="21"/>
      <c r="PKR13" s="21"/>
      <c r="PKS13" s="21"/>
      <c r="PKT13" s="21"/>
      <c r="PKU13" s="21"/>
      <c r="PKV13" s="21"/>
      <c r="PKW13" s="21"/>
      <c r="PKX13" s="21"/>
      <c r="PKY13" s="21"/>
      <c r="PKZ13" s="21"/>
      <c r="PLA13" s="21"/>
      <c r="PLB13" s="21"/>
      <c r="PLC13" s="21"/>
      <c r="PLD13" s="21"/>
      <c r="PLE13" s="21"/>
      <c r="PLF13" s="21"/>
      <c r="PLG13" s="21"/>
      <c r="PLH13" s="21"/>
      <c r="PLI13" s="21"/>
      <c r="PLJ13" s="21"/>
      <c r="PLK13" s="21"/>
      <c r="PLL13" s="21"/>
      <c r="PLM13" s="21"/>
      <c r="PLN13" s="21"/>
      <c r="PLO13" s="21"/>
      <c r="PLP13" s="21"/>
      <c r="PLQ13" s="21"/>
      <c r="PLR13" s="21"/>
      <c r="PLS13" s="21"/>
      <c r="PLT13" s="21"/>
      <c r="PLU13" s="21"/>
      <c r="PLV13" s="21"/>
      <c r="PLW13" s="21"/>
      <c r="PLX13" s="21"/>
      <c r="PLY13" s="21"/>
      <c r="PLZ13" s="21"/>
      <c r="PMA13" s="21"/>
      <c r="PMB13" s="21"/>
      <c r="PMC13" s="21"/>
      <c r="PMD13" s="21"/>
      <c r="PME13" s="21"/>
      <c r="PMF13" s="21"/>
      <c r="PMG13" s="21"/>
      <c r="PMH13" s="21"/>
      <c r="PMI13" s="21"/>
      <c r="PMJ13" s="21"/>
      <c r="PMK13" s="21"/>
      <c r="PML13" s="21"/>
      <c r="PMM13" s="21"/>
      <c r="PMN13" s="21"/>
      <c r="PMO13" s="21"/>
      <c r="PMP13" s="21"/>
      <c r="PMQ13" s="21"/>
      <c r="PMR13" s="21"/>
      <c r="PMS13" s="21"/>
      <c r="PMT13" s="21"/>
      <c r="PMU13" s="21"/>
      <c r="PMV13" s="21"/>
      <c r="PMW13" s="21"/>
      <c r="PMX13" s="21"/>
      <c r="PMY13" s="21"/>
      <c r="PMZ13" s="21"/>
      <c r="PNA13" s="21"/>
      <c r="PNB13" s="21"/>
      <c r="PNC13" s="21"/>
      <c r="PND13" s="21"/>
      <c r="PNE13" s="21"/>
      <c r="PNF13" s="21"/>
      <c r="PNG13" s="21"/>
      <c r="PNH13" s="21"/>
      <c r="PNI13" s="21"/>
      <c r="PNJ13" s="21"/>
      <c r="PNK13" s="21"/>
      <c r="PNL13" s="21"/>
      <c r="PNM13" s="21"/>
      <c r="PNN13" s="21"/>
      <c r="PNO13" s="21"/>
      <c r="PNP13" s="21"/>
      <c r="PNQ13" s="21"/>
      <c r="PNR13" s="21"/>
      <c r="PNS13" s="21"/>
      <c r="PNT13" s="21"/>
      <c r="PNU13" s="21"/>
      <c r="PNV13" s="21"/>
      <c r="PNW13" s="21"/>
      <c r="PNX13" s="21"/>
      <c r="PNY13" s="21"/>
      <c r="PNZ13" s="21"/>
      <c r="POA13" s="21"/>
      <c r="POB13" s="21"/>
      <c r="POC13" s="21"/>
      <c r="POD13" s="21"/>
      <c r="POE13" s="21"/>
      <c r="POF13" s="21"/>
      <c r="POG13" s="21"/>
      <c r="POH13" s="21"/>
      <c r="POI13" s="21"/>
      <c r="POJ13" s="21"/>
      <c r="POK13" s="21"/>
      <c r="POL13" s="21"/>
      <c r="POM13" s="21"/>
      <c r="PON13" s="21"/>
      <c r="POO13" s="21"/>
      <c r="POP13" s="21"/>
      <c r="POQ13" s="21"/>
      <c r="POR13" s="21"/>
      <c r="POS13" s="21"/>
      <c r="POT13" s="21"/>
      <c r="POU13" s="21"/>
      <c r="POV13" s="21"/>
      <c r="POW13" s="21"/>
      <c r="POX13" s="21"/>
      <c r="POY13" s="21"/>
      <c r="POZ13" s="21"/>
      <c r="PPA13" s="21"/>
      <c r="PPB13" s="21"/>
      <c r="PPC13" s="21"/>
      <c r="PPD13" s="21"/>
      <c r="PPE13" s="21"/>
      <c r="PPF13" s="21"/>
      <c r="PPG13" s="21"/>
      <c r="PPH13" s="21"/>
      <c r="PPI13" s="21"/>
      <c r="PPJ13" s="21"/>
      <c r="PPK13" s="21"/>
      <c r="PPL13" s="21"/>
      <c r="PPM13" s="21"/>
      <c r="PPN13" s="21"/>
      <c r="PPO13" s="21"/>
      <c r="PPP13" s="21"/>
      <c r="PPQ13" s="21"/>
      <c r="PPR13" s="21"/>
      <c r="PPS13" s="21"/>
      <c r="PPT13" s="21"/>
      <c r="PPU13" s="21"/>
      <c r="PPV13" s="21"/>
      <c r="PPW13" s="21"/>
      <c r="PPX13" s="21"/>
      <c r="PPY13" s="21"/>
      <c r="PPZ13" s="21"/>
      <c r="PQA13" s="21"/>
      <c r="PQB13" s="21"/>
      <c r="PQC13" s="21"/>
      <c r="PQD13" s="21"/>
      <c r="PQE13" s="21"/>
      <c r="PQF13" s="21"/>
      <c r="PQG13" s="21"/>
      <c r="PQH13" s="21"/>
      <c r="PQI13" s="21"/>
      <c r="PQJ13" s="21"/>
      <c r="PQK13" s="21"/>
      <c r="PQL13" s="21"/>
      <c r="PQM13" s="21"/>
      <c r="PQN13" s="21"/>
      <c r="PQO13" s="21"/>
      <c r="PQP13" s="21"/>
      <c r="PQQ13" s="21"/>
      <c r="PQR13" s="21"/>
      <c r="PQS13" s="21"/>
      <c r="PQT13" s="21"/>
      <c r="PQU13" s="21"/>
      <c r="PQV13" s="21"/>
      <c r="PQW13" s="21"/>
      <c r="PQX13" s="21"/>
      <c r="PQY13" s="21"/>
      <c r="PQZ13" s="21"/>
      <c r="PRA13" s="21"/>
      <c r="PRB13" s="21"/>
      <c r="PRC13" s="21"/>
      <c r="PRD13" s="21"/>
      <c r="PRE13" s="21"/>
      <c r="PRF13" s="21"/>
      <c r="PRG13" s="21"/>
      <c r="PRH13" s="21"/>
      <c r="PRI13" s="21"/>
      <c r="PRJ13" s="21"/>
      <c r="PRK13" s="21"/>
      <c r="PRL13" s="21"/>
      <c r="PRM13" s="21"/>
      <c r="PRN13" s="21"/>
      <c r="PRO13" s="21"/>
      <c r="PRP13" s="21"/>
      <c r="PRQ13" s="21"/>
      <c r="PRR13" s="21"/>
      <c r="PRS13" s="21"/>
      <c r="PRT13" s="21"/>
      <c r="PRU13" s="21"/>
      <c r="PRV13" s="21"/>
      <c r="PRW13" s="21"/>
      <c r="PRX13" s="21"/>
      <c r="PRY13" s="21"/>
      <c r="PRZ13" s="21"/>
      <c r="PSA13" s="21"/>
      <c r="PSB13" s="21"/>
      <c r="PSC13" s="21"/>
      <c r="PSD13" s="21"/>
      <c r="PSE13" s="21"/>
      <c r="PSF13" s="21"/>
      <c r="PSG13" s="21"/>
      <c r="PSH13" s="21"/>
      <c r="PSI13" s="21"/>
      <c r="PSJ13" s="21"/>
      <c r="PSK13" s="21"/>
      <c r="PSL13" s="21"/>
      <c r="PSM13" s="21"/>
      <c r="PSN13" s="21"/>
      <c r="PSO13" s="21"/>
      <c r="PSP13" s="21"/>
      <c r="PSQ13" s="21"/>
      <c r="PSR13" s="21"/>
      <c r="PSS13" s="21"/>
      <c r="PST13" s="21"/>
      <c r="PSU13" s="21"/>
      <c r="PSV13" s="21"/>
      <c r="PSW13" s="21"/>
      <c r="PSX13" s="21"/>
      <c r="PSY13" s="21"/>
      <c r="PSZ13" s="21"/>
      <c r="PTA13" s="21"/>
      <c r="PTB13" s="21"/>
      <c r="PTC13" s="21"/>
      <c r="PTD13" s="21"/>
      <c r="PTE13" s="21"/>
      <c r="PTF13" s="21"/>
      <c r="PTG13" s="21"/>
      <c r="PTH13" s="21"/>
      <c r="PTI13" s="21"/>
      <c r="PTJ13" s="21"/>
      <c r="PTK13" s="21"/>
      <c r="PTL13" s="21"/>
      <c r="PTM13" s="21"/>
      <c r="PTN13" s="21"/>
      <c r="PTO13" s="21"/>
      <c r="PTP13" s="21"/>
      <c r="PTQ13" s="21"/>
      <c r="PTR13" s="21"/>
      <c r="PTS13" s="21"/>
      <c r="PTT13" s="21"/>
      <c r="PTU13" s="21"/>
      <c r="PTV13" s="21"/>
      <c r="PTW13" s="21"/>
      <c r="PTX13" s="21"/>
      <c r="PTY13" s="21"/>
      <c r="PTZ13" s="21"/>
      <c r="PUA13" s="21"/>
      <c r="PUB13" s="21"/>
      <c r="PUC13" s="21"/>
      <c r="PUD13" s="21"/>
      <c r="PUE13" s="21"/>
      <c r="PUF13" s="21"/>
      <c r="PUG13" s="21"/>
      <c r="PUH13" s="21"/>
      <c r="PUI13" s="21"/>
      <c r="PUJ13" s="21"/>
      <c r="PUK13" s="21"/>
      <c r="PUL13" s="21"/>
      <c r="PUM13" s="21"/>
      <c r="PUN13" s="21"/>
      <c r="PUO13" s="21"/>
      <c r="PUP13" s="21"/>
      <c r="PUQ13" s="21"/>
      <c r="PUR13" s="21"/>
      <c r="PUS13" s="21"/>
      <c r="PUT13" s="21"/>
      <c r="PUU13" s="21"/>
      <c r="PUV13" s="21"/>
      <c r="PUW13" s="21"/>
      <c r="PUX13" s="21"/>
      <c r="PUY13" s="21"/>
      <c r="PUZ13" s="21"/>
      <c r="PVA13" s="21"/>
      <c r="PVB13" s="21"/>
      <c r="PVC13" s="21"/>
      <c r="PVD13" s="21"/>
      <c r="PVE13" s="21"/>
      <c r="PVF13" s="21"/>
      <c r="PVG13" s="21"/>
      <c r="PVH13" s="21"/>
      <c r="PVI13" s="21"/>
      <c r="PVJ13" s="21"/>
      <c r="PVK13" s="21"/>
      <c r="PVL13" s="21"/>
      <c r="PVM13" s="21"/>
      <c r="PVN13" s="21"/>
      <c r="PVO13" s="21"/>
      <c r="PVP13" s="21"/>
      <c r="PVQ13" s="21"/>
      <c r="PVR13" s="21"/>
      <c r="PVS13" s="21"/>
      <c r="PVT13" s="21"/>
      <c r="PVU13" s="21"/>
      <c r="PVV13" s="21"/>
      <c r="PVW13" s="21"/>
      <c r="PVX13" s="21"/>
      <c r="PVY13" s="21"/>
      <c r="PVZ13" s="21"/>
      <c r="PWA13" s="21"/>
      <c r="PWB13" s="21"/>
      <c r="PWC13" s="21"/>
      <c r="PWD13" s="21"/>
      <c r="PWE13" s="21"/>
      <c r="PWF13" s="21"/>
      <c r="PWG13" s="21"/>
      <c r="PWH13" s="21"/>
      <c r="PWI13" s="21"/>
      <c r="PWJ13" s="21"/>
      <c r="PWK13" s="21"/>
      <c r="PWL13" s="21"/>
      <c r="PWM13" s="21"/>
      <c r="PWN13" s="21"/>
      <c r="PWO13" s="21"/>
      <c r="PWP13" s="21"/>
      <c r="PWQ13" s="21"/>
      <c r="PWR13" s="21"/>
      <c r="PWS13" s="21"/>
      <c r="PWT13" s="21"/>
      <c r="PWU13" s="21"/>
      <c r="PWV13" s="21"/>
      <c r="PWW13" s="21"/>
      <c r="PWX13" s="21"/>
      <c r="PWY13" s="21"/>
      <c r="PWZ13" s="21"/>
      <c r="PXA13" s="21"/>
      <c r="PXB13" s="21"/>
      <c r="PXC13" s="21"/>
      <c r="PXD13" s="21"/>
      <c r="PXE13" s="21"/>
      <c r="PXF13" s="21"/>
      <c r="PXG13" s="21"/>
      <c r="PXH13" s="21"/>
      <c r="PXI13" s="21"/>
      <c r="PXJ13" s="21"/>
      <c r="PXK13" s="21"/>
      <c r="PXL13" s="21"/>
      <c r="PXM13" s="21"/>
      <c r="PXN13" s="21"/>
      <c r="PXO13" s="21"/>
      <c r="PXP13" s="21"/>
      <c r="PXQ13" s="21"/>
      <c r="PXR13" s="21"/>
      <c r="PXS13" s="21"/>
      <c r="PXT13" s="21"/>
      <c r="PXU13" s="21"/>
      <c r="PXV13" s="21"/>
      <c r="PXW13" s="21"/>
      <c r="PXX13" s="21"/>
      <c r="PXY13" s="21"/>
      <c r="PXZ13" s="21"/>
      <c r="PYA13" s="21"/>
      <c r="PYB13" s="21"/>
      <c r="PYC13" s="21"/>
      <c r="PYD13" s="21"/>
      <c r="PYE13" s="21"/>
      <c r="PYF13" s="21"/>
      <c r="PYG13" s="21"/>
      <c r="PYH13" s="21"/>
      <c r="PYI13" s="21"/>
      <c r="PYJ13" s="21"/>
      <c r="PYK13" s="21"/>
      <c r="PYL13" s="21"/>
      <c r="PYM13" s="21"/>
      <c r="PYN13" s="21"/>
      <c r="PYO13" s="21"/>
      <c r="PYP13" s="21"/>
      <c r="PYQ13" s="21"/>
      <c r="PYR13" s="21"/>
      <c r="PYS13" s="21"/>
      <c r="PYT13" s="21"/>
      <c r="PYU13" s="21"/>
      <c r="PYV13" s="21"/>
      <c r="PYW13" s="21"/>
      <c r="PYX13" s="21"/>
      <c r="PYY13" s="21"/>
      <c r="PYZ13" s="21"/>
      <c r="PZA13" s="21"/>
      <c r="PZB13" s="21"/>
      <c r="PZC13" s="21"/>
      <c r="PZD13" s="21"/>
      <c r="PZE13" s="21"/>
      <c r="PZF13" s="21"/>
      <c r="PZG13" s="21"/>
      <c r="PZH13" s="21"/>
      <c r="PZI13" s="21"/>
      <c r="PZJ13" s="21"/>
      <c r="PZK13" s="21"/>
      <c r="PZL13" s="21"/>
      <c r="PZM13" s="21"/>
      <c r="PZN13" s="21"/>
      <c r="PZO13" s="21"/>
      <c r="PZP13" s="21"/>
      <c r="PZQ13" s="21"/>
      <c r="PZR13" s="21"/>
      <c r="PZS13" s="21"/>
      <c r="PZT13" s="21"/>
      <c r="PZU13" s="21"/>
      <c r="PZV13" s="21"/>
      <c r="PZW13" s="21"/>
      <c r="PZX13" s="21"/>
      <c r="PZY13" s="21"/>
      <c r="PZZ13" s="21"/>
      <c r="QAA13" s="21"/>
      <c r="QAB13" s="21"/>
      <c r="QAC13" s="21"/>
      <c r="QAD13" s="21"/>
      <c r="QAE13" s="21"/>
      <c r="QAF13" s="21"/>
      <c r="QAG13" s="21"/>
      <c r="QAH13" s="21"/>
      <c r="QAI13" s="21"/>
      <c r="QAJ13" s="21"/>
      <c r="QAK13" s="21"/>
      <c r="QAL13" s="21"/>
      <c r="QAM13" s="21"/>
      <c r="QAN13" s="21"/>
      <c r="QAO13" s="21"/>
      <c r="QAP13" s="21"/>
      <c r="QAQ13" s="21"/>
      <c r="QAR13" s="21"/>
      <c r="QAS13" s="21"/>
      <c r="QAT13" s="21"/>
      <c r="QAU13" s="21"/>
      <c r="QAV13" s="21"/>
      <c r="QAW13" s="21"/>
      <c r="QAX13" s="21"/>
      <c r="QAY13" s="21"/>
      <c r="QAZ13" s="21"/>
      <c r="QBA13" s="21"/>
      <c r="QBB13" s="21"/>
      <c r="QBC13" s="21"/>
      <c r="QBD13" s="21"/>
      <c r="QBE13" s="21"/>
      <c r="QBF13" s="21"/>
      <c r="QBG13" s="21"/>
      <c r="QBH13" s="21"/>
      <c r="QBI13" s="21"/>
      <c r="QBJ13" s="21"/>
      <c r="QBK13" s="21"/>
      <c r="QBL13" s="21"/>
      <c r="QBM13" s="21"/>
      <c r="QBN13" s="21"/>
      <c r="QBO13" s="21"/>
      <c r="QBP13" s="21"/>
      <c r="QBQ13" s="21"/>
      <c r="QBR13" s="21"/>
      <c r="QBS13" s="21"/>
      <c r="QBT13" s="21"/>
      <c r="QBU13" s="21"/>
      <c r="QBV13" s="21"/>
      <c r="QBW13" s="21"/>
      <c r="QBX13" s="21"/>
      <c r="QBY13" s="21"/>
      <c r="QBZ13" s="21"/>
      <c r="QCA13" s="21"/>
      <c r="QCB13" s="21"/>
      <c r="QCC13" s="21"/>
      <c r="QCD13" s="21"/>
      <c r="QCE13" s="21"/>
      <c r="QCF13" s="21"/>
      <c r="QCG13" s="21"/>
      <c r="QCH13" s="21"/>
      <c r="QCI13" s="21"/>
      <c r="QCJ13" s="21"/>
      <c r="QCK13" s="21"/>
      <c r="QCL13" s="21"/>
      <c r="QCM13" s="21"/>
      <c r="QCN13" s="21"/>
      <c r="QCO13" s="21"/>
      <c r="QCP13" s="21"/>
      <c r="QCQ13" s="21"/>
      <c r="QCR13" s="21"/>
      <c r="QCS13" s="21"/>
      <c r="QCT13" s="21"/>
      <c r="QCU13" s="21"/>
      <c r="QCV13" s="21"/>
      <c r="QCW13" s="21"/>
      <c r="QCX13" s="21"/>
      <c r="QCY13" s="21"/>
      <c r="QCZ13" s="21"/>
      <c r="QDA13" s="21"/>
      <c r="QDB13" s="21"/>
      <c r="QDC13" s="21"/>
      <c r="QDD13" s="21"/>
      <c r="QDE13" s="21"/>
      <c r="QDF13" s="21"/>
      <c r="QDG13" s="21"/>
      <c r="QDH13" s="21"/>
      <c r="QDI13" s="21"/>
      <c r="QDJ13" s="21"/>
      <c r="QDK13" s="21"/>
      <c r="QDL13" s="21"/>
      <c r="QDM13" s="21"/>
      <c r="QDN13" s="21"/>
      <c r="QDO13" s="21"/>
      <c r="QDP13" s="21"/>
      <c r="QDQ13" s="21"/>
      <c r="QDR13" s="21"/>
      <c r="QDS13" s="21"/>
      <c r="QDT13" s="21"/>
      <c r="QDU13" s="21"/>
      <c r="QDV13" s="21"/>
      <c r="QDW13" s="21"/>
      <c r="QDX13" s="21"/>
      <c r="QDY13" s="21"/>
      <c r="QDZ13" s="21"/>
      <c r="QEA13" s="21"/>
      <c r="QEB13" s="21"/>
      <c r="QEC13" s="21"/>
      <c r="QED13" s="21"/>
      <c r="QEE13" s="21"/>
      <c r="QEF13" s="21"/>
      <c r="QEG13" s="21"/>
      <c r="QEH13" s="21"/>
      <c r="QEI13" s="21"/>
      <c r="QEJ13" s="21"/>
      <c r="QEK13" s="21"/>
      <c r="QEL13" s="21"/>
      <c r="QEM13" s="21"/>
      <c r="QEN13" s="21"/>
      <c r="QEO13" s="21"/>
      <c r="QEP13" s="21"/>
      <c r="QEQ13" s="21"/>
      <c r="QER13" s="21"/>
      <c r="QES13" s="21"/>
      <c r="QET13" s="21"/>
      <c r="QEU13" s="21"/>
      <c r="QEV13" s="21"/>
      <c r="QEW13" s="21"/>
      <c r="QEX13" s="21"/>
      <c r="QEY13" s="21"/>
      <c r="QEZ13" s="21"/>
      <c r="QFA13" s="21"/>
      <c r="QFB13" s="21"/>
      <c r="QFC13" s="21"/>
      <c r="QFD13" s="21"/>
      <c r="QFE13" s="21"/>
      <c r="QFF13" s="21"/>
      <c r="QFG13" s="21"/>
      <c r="QFH13" s="21"/>
      <c r="QFI13" s="21"/>
      <c r="QFJ13" s="21"/>
      <c r="QFK13" s="21"/>
      <c r="QFL13" s="21"/>
      <c r="QFM13" s="21"/>
      <c r="QFN13" s="21"/>
      <c r="QFO13" s="21"/>
      <c r="QFP13" s="21"/>
      <c r="QFQ13" s="21"/>
      <c r="QFR13" s="21"/>
      <c r="QFS13" s="21"/>
      <c r="QFT13" s="21"/>
      <c r="QFU13" s="21"/>
      <c r="QFV13" s="21"/>
      <c r="QFW13" s="21"/>
      <c r="QFX13" s="21"/>
      <c r="QFY13" s="21"/>
      <c r="QFZ13" s="21"/>
      <c r="QGA13" s="21"/>
      <c r="QGB13" s="21"/>
      <c r="QGC13" s="21"/>
      <c r="QGD13" s="21"/>
      <c r="QGE13" s="21"/>
      <c r="QGF13" s="21"/>
      <c r="QGG13" s="21"/>
      <c r="QGH13" s="21"/>
      <c r="QGI13" s="21"/>
      <c r="QGJ13" s="21"/>
      <c r="QGK13" s="21"/>
      <c r="QGL13" s="21"/>
      <c r="QGM13" s="21"/>
      <c r="QGN13" s="21"/>
      <c r="QGO13" s="21"/>
      <c r="QGP13" s="21"/>
      <c r="QGQ13" s="21"/>
      <c r="QGR13" s="21"/>
      <c r="QGS13" s="21"/>
      <c r="QGT13" s="21"/>
      <c r="QGU13" s="21"/>
      <c r="QGV13" s="21"/>
      <c r="QGW13" s="21"/>
      <c r="QGX13" s="21"/>
      <c r="QGY13" s="21"/>
      <c r="QGZ13" s="21"/>
      <c r="QHA13" s="21"/>
      <c r="QHB13" s="21"/>
      <c r="QHC13" s="21"/>
      <c r="QHD13" s="21"/>
      <c r="QHE13" s="21"/>
      <c r="QHF13" s="21"/>
      <c r="QHG13" s="21"/>
      <c r="QHH13" s="21"/>
      <c r="QHI13" s="21"/>
      <c r="QHJ13" s="21"/>
      <c r="QHK13" s="21"/>
      <c r="QHL13" s="21"/>
      <c r="QHM13" s="21"/>
      <c r="QHN13" s="21"/>
      <c r="QHO13" s="21"/>
      <c r="QHP13" s="21"/>
      <c r="QHQ13" s="21"/>
      <c r="QHR13" s="21"/>
      <c r="QHS13" s="21"/>
      <c r="QHT13" s="21"/>
      <c r="QHU13" s="21"/>
      <c r="QHV13" s="21"/>
      <c r="QHW13" s="21"/>
      <c r="QHX13" s="21"/>
      <c r="QHY13" s="21"/>
      <c r="QHZ13" s="21"/>
      <c r="QIA13" s="21"/>
      <c r="QIB13" s="21"/>
      <c r="QIC13" s="21"/>
      <c r="QID13" s="21"/>
      <c r="QIE13" s="21"/>
      <c r="QIF13" s="21"/>
      <c r="QIG13" s="21"/>
      <c r="QIH13" s="21"/>
      <c r="QII13" s="21"/>
      <c r="QIJ13" s="21"/>
      <c r="QIK13" s="21"/>
      <c r="QIL13" s="21"/>
      <c r="QIM13" s="21"/>
      <c r="QIN13" s="21"/>
      <c r="QIO13" s="21"/>
      <c r="QIP13" s="21"/>
      <c r="QIQ13" s="21"/>
      <c r="QIR13" s="21"/>
      <c r="QIS13" s="21"/>
      <c r="QIT13" s="21"/>
      <c r="QIU13" s="21"/>
      <c r="QIV13" s="21"/>
      <c r="QIW13" s="21"/>
      <c r="QIX13" s="21"/>
      <c r="QIY13" s="21"/>
      <c r="QIZ13" s="21"/>
      <c r="QJA13" s="21"/>
      <c r="QJB13" s="21"/>
      <c r="QJC13" s="21"/>
      <c r="QJD13" s="21"/>
      <c r="QJE13" s="21"/>
      <c r="QJF13" s="21"/>
      <c r="QJG13" s="21"/>
      <c r="QJH13" s="21"/>
      <c r="QJI13" s="21"/>
      <c r="QJJ13" s="21"/>
      <c r="QJK13" s="21"/>
      <c r="QJL13" s="21"/>
      <c r="QJM13" s="21"/>
      <c r="QJN13" s="21"/>
      <c r="QJO13" s="21"/>
      <c r="QJP13" s="21"/>
      <c r="QJQ13" s="21"/>
      <c r="QJR13" s="21"/>
      <c r="QJS13" s="21"/>
      <c r="QJT13" s="21"/>
      <c r="QJU13" s="21"/>
      <c r="QJV13" s="21"/>
      <c r="QJW13" s="21"/>
      <c r="QJX13" s="21"/>
      <c r="QJY13" s="21"/>
      <c r="QJZ13" s="21"/>
      <c r="QKA13" s="21"/>
      <c r="QKB13" s="21"/>
      <c r="QKC13" s="21"/>
      <c r="QKD13" s="21"/>
      <c r="QKE13" s="21"/>
      <c r="QKF13" s="21"/>
      <c r="QKG13" s="21"/>
      <c r="QKH13" s="21"/>
      <c r="QKI13" s="21"/>
      <c r="QKJ13" s="21"/>
      <c r="QKK13" s="21"/>
      <c r="QKL13" s="21"/>
      <c r="QKM13" s="21"/>
      <c r="QKN13" s="21"/>
      <c r="QKO13" s="21"/>
      <c r="QKP13" s="21"/>
      <c r="QKQ13" s="21"/>
      <c r="QKR13" s="21"/>
      <c r="QKS13" s="21"/>
      <c r="QKT13" s="21"/>
      <c r="QKU13" s="21"/>
      <c r="QKV13" s="21"/>
      <c r="QKW13" s="21"/>
      <c r="QKX13" s="21"/>
      <c r="QKY13" s="21"/>
      <c r="QKZ13" s="21"/>
      <c r="QLA13" s="21"/>
      <c r="QLB13" s="21"/>
      <c r="QLC13" s="21"/>
      <c r="QLD13" s="21"/>
      <c r="QLE13" s="21"/>
      <c r="QLF13" s="21"/>
      <c r="QLG13" s="21"/>
      <c r="QLH13" s="21"/>
      <c r="QLI13" s="21"/>
      <c r="QLJ13" s="21"/>
      <c r="QLK13" s="21"/>
      <c r="QLL13" s="21"/>
      <c r="QLM13" s="21"/>
      <c r="QLN13" s="21"/>
      <c r="QLO13" s="21"/>
      <c r="QLP13" s="21"/>
      <c r="QLQ13" s="21"/>
      <c r="QLR13" s="21"/>
      <c r="QLS13" s="21"/>
      <c r="QLT13" s="21"/>
      <c r="QLU13" s="21"/>
      <c r="QLV13" s="21"/>
      <c r="QLW13" s="21"/>
      <c r="QLX13" s="21"/>
      <c r="QLY13" s="21"/>
      <c r="QLZ13" s="21"/>
      <c r="QMA13" s="21"/>
      <c r="QMB13" s="21"/>
      <c r="QMC13" s="21"/>
      <c r="QMD13" s="21"/>
      <c r="QME13" s="21"/>
      <c r="QMF13" s="21"/>
      <c r="QMG13" s="21"/>
      <c r="QMH13" s="21"/>
      <c r="QMI13" s="21"/>
      <c r="QMJ13" s="21"/>
      <c r="QMK13" s="21"/>
      <c r="QML13" s="21"/>
      <c r="QMM13" s="21"/>
      <c r="QMN13" s="21"/>
      <c r="QMO13" s="21"/>
      <c r="QMP13" s="21"/>
      <c r="QMQ13" s="21"/>
      <c r="QMR13" s="21"/>
      <c r="QMS13" s="21"/>
      <c r="QMT13" s="21"/>
      <c r="QMU13" s="21"/>
      <c r="QMV13" s="21"/>
      <c r="QMW13" s="21"/>
      <c r="QMX13" s="21"/>
      <c r="QMY13" s="21"/>
      <c r="QMZ13" s="21"/>
      <c r="QNA13" s="21"/>
      <c r="QNB13" s="21"/>
      <c r="QNC13" s="21"/>
      <c r="QND13" s="21"/>
      <c r="QNE13" s="21"/>
      <c r="QNF13" s="21"/>
      <c r="QNG13" s="21"/>
      <c r="QNH13" s="21"/>
      <c r="QNI13" s="21"/>
      <c r="QNJ13" s="21"/>
      <c r="QNK13" s="21"/>
      <c r="QNL13" s="21"/>
      <c r="QNM13" s="21"/>
      <c r="QNN13" s="21"/>
      <c r="QNO13" s="21"/>
      <c r="QNP13" s="21"/>
      <c r="QNQ13" s="21"/>
      <c r="QNR13" s="21"/>
      <c r="QNS13" s="21"/>
      <c r="QNT13" s="21"/>
      <c r="QNU13" s="21"/>
      <c r="QNV13" s="21"/>
      <c r="QNW13" s="21"/>
      <c r="QNX13" s="21"/>
      <c r="QNY13" s="21"/>
      <c r="QNZ13" s="21"/>
      <c r="QOA13" s="21"/>
      <c r="QOB13" s="21"/>
      <c r="QOC13" s="21"/>
      <c r="QOD13" s="21"/>
      <c r="QOE13" s="21"/>
      <c r="QOF13" s="21"/>
      <c r="QOG13" s="21"/>
      <c r="QOH13" s="21"/>
      <c r="QOI13" s="21"/>
      <c r="QOJ13" s="21"/>
      <c r="QOK13" s="21"/>
      <c r="QOL13" s="21"/>
      <c r="QOM13" s="21"/>
      <c r="QON13" s="21"/>
      <c r="QOO13" s="21"/>
      <c r="QOP13" s="21"/>
      <c r="QOQ13" s="21"/>
      <c r="QOR13" s="21"/>
      <c r="QOS13" s="21"/>
      <c r="QOT13" s="21"/>
      <c r="QOU13" s="21"/>
      <c r="QOV13" s="21"/>
      <c r="QOW13" s="21"/>
      <c r="QOX13" s="21"/>
      <c r="QOY13" s="21"/>
      <c r="QOZ13" s="21"/>
      <c r="QPA13" s="21"/>
      <c r="QPB13" s="21"/>
      <c r="QPC13" s="21"/>
      <c r="QPD13" s="21"/>
      <c r="QPE13" s="21"/>
      <c r="QPF13" s="21"/>
      <c r="QPG13" s="21"/>
      <c r="QPH13" s="21"/>
      <c r="QPI13" s="21"/>
      <c r="QPJ13" s="21"/>
      <c r="QPK13" s="21"/>
      <c r="QPL13" s="21"/>
      <c r="QPM13" s="21"/>
      <c r="QPN13" s="21"/>
      <c r="QPO13" s="21"/>
      <c r="QPP13" s="21"/>
      <c r="QPQ13" s="21"/>
      <c r="QPR13" s="21"/>
      <c r="QPS13" s="21"/>
      <c r="QPT13" s="21"/>
      <c r="QPU13" s="21"/>
      <c r="QPV13" s="21"/>
      <c r="QPW13" s="21"/>
      <c r="QPX13" s="21"/>
      <c r="QPY13" s="21"/>
      <c r="QPZ13" s="21"/>
      <c r="QQA13" s="21"/>
      <c r="QQB13" s="21"/>
      <c r="QQC13" s="21"/>
      <c r="QQD13" s="21"/>
      <c r="QQE13" s="21"/>
      <c r="QQF13" s="21"/>
      <c r="QQG13" s="21"/>
      <c r="QQH13" s="21"/>
      <c r="QQI13" s="21"/>
      <c r="QQJ13" s="21"/>
      <c r="QQK13" s="21"/>
      <c r="QQL13" s="21"/>
      <c r="QQM13" s="21"/>
      <c r="QQN13" s="21"/>
      <c r="QQO13" s="21"/>
      <c r="QQP13" s="21"/>
      <c r="QQQ13" s="21"/>
      <c r="QQR13" s="21"/>
      <c r="QQS13" s="21"/>
      <c r="QQT13" s="21"/>
      <c r="QQU13" s="21"/>
      <c r="QQV13" s="21"/>
      <c r="QQW13" s="21"/>
      <c r="QQX13" s="21"/>
      <c r="QQY13" s="21"/>
      <c r="QQZ13" s="21"/>
      <c r="QRA13" s="21"/>
      <c r="QRB13" s="21"/>
      <c r="QRC13" s="21"/>
      <c r="QRD13" s="21"/>
      <c r="QRE13" s="21"/>
      <c r="QRF13" s="21"/>
      <c r="QRG13" s="21"/>
      <c r="QRH13" s="21"/>
      <c r="QRI13" s="21"/>
      <c r="QRJ13" s="21"/>
      <c r="QRK13" s="21"/>
      <c r="QRL13" s="21"/>
      <c r="QRM13" s="21"/>
      <c r="QRN13" s="21"/>
      <c r="QRO13" s="21"/>
      <c r="QRP13" s="21"/>
      <c r="QRQ13" s="21"/>
      <c r="QRR13" s="21"/>
      <c r="QRS13" s="21"/>
      <c r="QRT13" s="21"/>
      <c r="QRU13" s="21"/>
      <c r="QRV13" s="21"/>
      <c r="QRW13" s="21"/>
      <c r="QRX13" s="21"/>
      <c r="QRY13" s="21"/>
      <c r="QRZ13" s="21"/>
      <c r="QSA13" s="21"/>
      <c r="QSB13" s="21"/>
      <c r="QSC13" s="21"/>
      <c r="QSD13" s="21"/>
      <c r="QSE13" s="21"/>
      <c r="QSF13" s="21"/>
      <c r="QSG13" s="21"/>
      <c r="QSH13" s="21"/>
      <c r="QSI13" s="21"/>
      <c r="QSJ13" s="21"/>
      <c r="QSK13" s="21"/>
      <c r="QSL13" s="21"/>
      <c r="QSM13" s="21"/>
      <c r="QSN13" s="21"/>
      <c r="QSO13" s="21"/>
      <c r="QSP13" s="21"/>
      <c r="QSQ13" s="21"/>
      <c r="QSR13" s="21"/>
      <c r="QSS13" s="21"/>
      <c r="QST13" s="21"/>
      <c r="QSU13" s="21"/>
      <c r="QSV13" s="21"/>
      <c r="QSW13" s="21"/>
      <c r="QSX13" s="21"/>
      <c r="QSY13" s="21"/>
      <c r="QSZ13" s="21"/>
      <c r="QTA13" s="21"/>
      <c r="QTB13" s="21"/>
      <c r="QTC13" s="21"/>
      <c r="QTD13" s="21"/>
      <c r="QTE13" s="21"/>
      <c r="QTF13" s="21"/>
      <c r="QTG13" s="21"/>
      <c r="QTH13" s="21"/>
      <c r="QTI13" s="21"/>
      <c r="QTJ13" s="21"/>
      <c r="QTK13" s="21"/>
      <c r="QTL13" s="21"/>
      <c r="QTM13" s="21"/>
      <c r="QTN13" s="21"/>
      <c r="QTO13" s="21"/>
      <c r="QTP13" s="21"/>
      <c r="QTQ13" s="21"/>
      <c r="QTR13" s="21"/>
      <c r="QTS13" s="21"/>
      <c r="QTT13" s="21"/>
      <c r="QTU13" s="21"/>
      <c r="QTV13" s="21"/>
      <c r="QTW13" s="21"/>
      <c r="QTX13" s="21"/>
      <c r="QTY13" s="21"/>
      <c r="QTZ13" s="21"/>
      <c r="QUA13" s="21"/>
      <c r="QUB13" s="21"/>
      <c r="QUC13" s="21"/>
      <c r="QUD13" s="21"/>
      <c r="QUE13" s="21"/>
      <c r="QUF13" s="21"/>
      <c r="QUG13" s="21"/>
      <c r="QUH13" s="21"/>
      <c r="QUI13" s="21"/>
      <c r="QUJ13" s="21"/>
      <c r="QUK13" s="21"/>
      <c r="QUL13" s="21"/>
      <c r="QUM13" s="21"/>
      <c r="QUN13" s="21"/>
      <c r="QUO13" s="21"/>
      <c r="QUP13" s="21"/>
      <c r="QUQ13" s="21"/>
      <c r="QUR13" s="21"/>
      <c r="QUS13" s="21"/>
      <c r="QUT13" s="21"/>
      <c r="QUU13" s="21"/>
      <c r="QUV13" s="21"/>
      <c r="QUW13" s="21"/>
      <c r="QUX13" s="21"/>
      <c r="QUY13" s="21"/>
      <c r="QUZ13" s="21"/>
      <c r="QVA13" s="21"/>
      <c r="QVB13" s="21"/>
      <c r="QVC13" s="21"/>
      <c r="QVD13" s="21"/>
      <c r="QVE13" s="21"/>
      <c r="QVF13" s="21"/>
      <c r="QVG13" s="21"/>
      <c r="QVH13" s="21"/>
      <c r="QVI13" s="21"/>
      <c r="QVJ13" s="21"/>
      <c r="QVK13" s="21"/>
      <c r="QVL13" s="21"/>
      <c r="QVM13" s="21"/>
      <c r="QVN13" s="21"/>
      <c r="QVO13" s="21"/>
      <c r="QVP13" s="21"/>
      <c r="QVQ13" s="21"/>
      <c r="QVR13" s="21"/>
      <c r="QVS13" s="21"/>
      <c r="QVT13" s="21"/>
      <c r="QVU13" s="21"/>
      <c r="QVV13" s="21"/>
      <c r="QVW13" s="21"/>
      <c r="QVX13" s="21"/>
      <c r="QVY13" s="21"/>
      <c r="QVZ13" s="21"/>
      <c r="QWA13" s="21"/>
      <c r="QWB13" s="21"/>
      <c r="QWC13" s="21"/>
      <c r="QWD13" s="21"/>
      <c r="QWE13" s="21"/>
      <c r="QWF13" s="21"/>
      <c r="QWG13" s="21"/>
      <c r="QWH13" s="21"/>
      <c r="QWI13" s="21"/>
      <c r="QWJ13" s="21"/>
      <c r="QWK13" s="21"/>
      <c r="QWL13" s="21"/>
      <c r="QWM13" s="21"/>
      <c r="QWN13" s="21"/>
      <c r="QWO13" s="21"/>
      <c r="QWP13" s="21"/>
      <c r="QWQ13" s="21"/>
      <c r="QWR13" s="21"/>
      <c r="QWS13" s="21"/>
      <c r="QWT13" s="21"/>
      <c r="QWU13" s="21"/>
      <c r="QWV13" s="21"/>
      <c r="QWW13" s="21"/>
      <c r="QWX13" s="21"/>
      <c r="QWY13" s="21"/>
      <c r="QWZ13" s="21"/>
      <c r="QXA13" s="21"/>
      <c r="QXB13" s="21"/>
      <c r="QXC13" s="21"/>
      <c r="QXD13" s="21"/>
      <c r="QXE13" s="21"/>
      <c r="QXF13" s="21"/>
      <c r="QXG13" s="21"/>
      <c r="QXH13" s="21"/>
      <c r="QXI13" s="21"/>
      <c r="QXJ13" s="21"/>
      <c r="QXK13" s="21"/>
      <c r="QXL13" s="21"/>
      <c r="QXM13" s="21"/>
      <c r="QXN13" s="21"/>
      <c r="QXO13" s="21"/>
      <c r="QXP13" s="21"/>
      <c r="QXQ13" s="21"/>
      <c r="QXR13" s="21"/>
      <c r="QXS13" s="21"/>
      <c r="QXT13" s="21"/>
      <c r="QXU13" s="21"/>
      <c r="QXV13" s="21"/>
      <c r="QXW13" s="21"/>
      <c r="QXX13" s="21"/>
      <c r="QXY13" s="21"/>
      <c r="QXZ13" s="21"/>
      <c r="QYA13" s="21"/>
      <c r="QYB13" s="21"/>
      <c r="QYC13" s="21"/>
      <c r="QYD13" s="21"/>
      <c r="QYE13" s="21"/>
      <c r="QYF13" s="21"/>
      <c r="QYG13" s="21"/>
      <c r="QYH13" s="21"/>
      <c r="QYI13" s="21"/>
      <c r="QYJ13" s="21"/>
      <c r="QYK13" s="21"/>
      <c r="QYL13" s="21"/>
      <c r="QYM13" s="21"/>
      <c r="QYN13" s="21"/>
      <c r="QYO13" s="21"/>
      <c r="QYP13" s="21"/>
      <c r="QYQ13" s="21"/>
      <c r="QYR13" s="21"/>
      <c r="QYS13" s="21"/>
      <c r="QYT13" s="21"/>
      <c r="QYU13" s="21"/>
      <c r="QYV13" s="21"/>
      <c r="QYW13" s="21"/>
      <c r="QYX13" s="21"/>
      <c r="QYY13" s="21"/>
      <c r="QYZ13" s="21"/>
      <c r="QZA13" s="21"/>
      <c r="QZB13" s="21"/>
      <c r="QZC13" s="21"/>
      <c r="QZD13" s="21"/>
      <c r="QZE13" s="21"/>
      <c r="QZF13" s="21"/>
      <c r="QZG13" s="21"/>
      <c r="QZH13" s="21"/>
      <c r="QZI13" s="21"/>
      <c r="QZJ13" s="21"/>
      <c r="QZK13" s="21"/>
      <c r="QZL13" s="21"/>
      <c r="QZM13" s="21"/>
      <c r="QZN13" s="21"/>
      <c r="QZO13" s="21"/>
      <c r="QZP13" s="21"/>
      <c r="QZQ13" s="21"/>
      <c r="QZR13" s="21"/>
      <c r="QZS13" s="21"/>
      <c r="QZT13" s="21"/>
      <c r="QZU13" s="21"/>
      <c r="QZV13" s="21"/>
      <c r="QZW13" s="21"/>
      <c r="QZX13" s="21"/>
      <c r="QZY13" s="21"/>
      <c r="QZZ13" s="21"/>
      <c r="RAA13" s="21"/>
      <c r="RAB13" s="21"/>
      <c r="RAC13" s="21"/>
      <c r="RAD13" s="21"/>
      <c r="RAE13" s="21"/>
      <c r="RAF13" s="21"/>
      <c r="RAG13" s="21"/>
      <c r="RAH13" s="21"/>
      <c r="RAI13" s="21"/>
      <c r="RAJ13" s="21"/>
      <c r="RAK13" s="21"/>
      <c r="RAL13" s="21"/>
      <c r="RAM13" s="21"/>
      <c r="RAN13" s="21"/>
      <c r="RAO13" s="21"/>
      <c r="RAP13" s="21"/>
      <c r="RAQ13" s="21"/>
      <c r="RAR13" s="21"/>
      <c r="RAS13" s="21"/>
      <c r="RAT13" s="21"/>
      <c r="RAU13" s="21"/>
      <c r="RAV13" s="21"/>
      <c r="RAW13" s="21"/>
      <c r="RAX13" s="21"/>
      <c r="RAY13" s="21"/>
      <c r="RAZ13" s="21"/>
      <c r="RBA13" s="21"/>
      <c r="RBB13" s="21"/>
      <c r="RBC13" s="21"/>
      <c r="RBD13" s="21"/>
      <c r="RBE13" s="21"/>
      <c r="RBF13" s="21"/>
      <c r="RBG13" s="21"/>
      <c r="RBH13" s="21"/>
      <c r="RBI13" s="21"/>
      <c r="RBJ13" s="21"/>
      <c r="RBK13" s="21"/>
      <c r="RBL13" s="21"/>
      <c r="RBM13" s="21"/>
      <c r="RBN13" s="21"/>
      <c r="RBO13" s="21"/>
      <c r="RBP13" s="21"/>
      <c r="RBQ13" s="21"/>
      <c r="RBR13" s="21"/>
      <c r="RBS13" s="21"/>
      <c r="RBT13" s="21"/>
      <c r="RBU13" s="21"/>
      <c r="RBV13" s="21"/>
      <c r="RBW13" s="21"/>
      <c r="RBX13" s="21"/>
      <c r="RBY13" s="21"/>
      <c r="RBZ13" s="21"/>
      <c r="RCA13" s="21"/>
      <c r="RCB13" s="21"/>
      <c r="RCC13" s="21"/>
      <c r="RCD13" s="21"/>
      <c r="RCE13" s="21"/>
      <c r="RCF13" s="21"/>
      <c r="RCG13" s="21"/>
      <c r="RCH13" s="21"/>
      <c r="RCI13" s="21"/>
      <c r="RCJ13" s="21"/>
      <c r="RCK13" s="21"/>
      <c r="RCL13" s="21"/>
      <c r="RCM13" s="21"/>
      <c r="RCN13" s="21"/>
      <c r="RCO13" s="21"/>
      <c r="RCP13" s="21"/>
      <c r="RCQ13" s="21"/>
      <c r="RCR13" s="21"/>
      <c r="RCS13" s="21"/>
      <c r="RCT13" s="21"/>
      <c r="RCU13" s="21"/>
      <c r="RCV13" s="21"/>
      <c r="RCW13" s="21"/>
      <c r="RCX13" s="21"/>
      <c r="RCY13" s="21"/>
      <c r="RCZ13" s="21"/>
      <c r="RDA13" s="21"/>
      <c r="RDB13" s="21"/>
      <c r="RDC13" s="21"/>
      <c r="RDD13" s="21"/>
      <c r="RDE13" s="21"/>
      <c r="RDF13" s="21"/>
      <c r="RDG13" s="21"/>
      <c r="RDH13" s="21"/>
      <c r="RDI13" s="21"/>
      <c r="RDJ13" s="21"/>
      <c r="RDK13" s="21"/>
      <c r="RDL13" s="21"/>
      <c r="RDM13" s="21"/>
      <c r="RDN13" s="21"/>
      <c r="RDO13" s="21"/>
      <c r="RDP13" s="21"/>
      <c r="RDQ13" s="21"/>
      <c r="RDR13" s="21"/>
      <c r="RDS13" s="21"/>
      <c r="RDT13" s="21"/>
      <c r="RDU13" s="21"/>
      <c r="RDV13" s="21"/>
      <c r="RDW13" s="21"/>
      <c r="RDX13" s="21"/>
      <c r="RDY13" s="21"/>
      <c r="RDZ13" s="21"/>
      <c r="REA13" s="21"/>
      <c r="REB13" s="21"/>
      <c r="REC13" s="21"/>
      <c r="RED13" s="21"/>
      <c r="REE13" s="21"/>
      <c r="REF13" s="21"/>
      <c r="REG13" s="21"/>
      <c r="REH13" s="21"/>
      <c r="REI13" s="21"/>
      <c r="REJ13" s="21"/>
      <c r="REK13" s="21"/>
      <c r="REL13" s="21"/>
      <c r="REM13" s="21"/>
      <c r="REN13" s="21"/>
      <c r="REO13" s="21"/>
      <c r="REP13" s="21"/>
      <c r="REQ13" s="21"/>
      <c r="RER13" s="21"/>
      <c r="RES13" s="21"/>
      <c r="RET13" s="21"/>
      <c r="REU13" s="21"/>
      <c r="REV13" s="21"/>
      <c r="REW13" s="21"/>
      <c r="REX13" s="21"/>
      <c r="REY13" s="21"/>
      <c r="REZ13" s="21"/>
      <c r="RFA13" s="21"/>
      <c r="RFB13" s="21"/>
      <c r="RFC13" s="21"/>
      <c r="RFD13" s="21"/>
      <c r="RFE13" s="21"/>
      <c r="RFF13" s="21"/>
      <c r="RFG13" s="21"/>
      <c r="RFH13" s="21"/>
      <c r="RFI13" s="21"/>
      <c r="RFJ13" s="21"/>
      <c r="RFK13" s="21"/>
      <c r="RFL13" s="21"/>
      <c r="RFM13" s="21"/>
      <c r="RFN13" s="21"/>
      <c r="RFO13" s="21"/>
      <c r="RFP13" s="21"/>
      <c r="RFQ13" s="21"/>
      <c r="RFR13" s="21"/>
      <c r="RFS13" s="21"/>
      <c r="RFT13" s="21"/>
      <c r="RFU13" s="21"/>
      <c r="RFV13" s="21"/>
      <c r="RFW13" s="21"/>
      <c r="RFX13" s="21"/>
      <c r="RFY13" s="21"/>
      <c r="RFZ13" s="21"/>
      <c r="RGA13" s="21"/>
      <c r="RGB13" s="21"/>
      <c r="RGC13" s="21"/>
      <c r="RGD13" s="21"/>
      <c r="RGE13" s="21"/>
      <c r="RGF13" s="21"/>
      <c r="RGG13" s="21"/>
      <c r="RGH13" s="21"/>
      <c r="RGI13" s="21"/>
      <c r="RGJ13" s="21"/>
      <c r="RGK13" s="21"/>
      <c r="RGL13" s="21"/>
      <c r="RGM13" s="21"/>
      <c r="RGN13" s="21"/>
      <c r="RGO13" s="21"/>
      <c r="RGP13" s="21"/>
      <c r="RGQ13" s="21"/>
      <c r="RGR13" s="21"/>
      <c r="RGS13" s="21"/>
      <c r="RGT13" s="21"/>
      <c r="RGU13" s="21"/>
      <c r="RGV13" s="21"/>
      <c r="RGW13" s="21"/>
      <c r="RGX13" s="21"/>
      <c r="RGY13" s="21"/>
      <c r="RGZ13" s="21"/>
      <c r="RHA13" s="21"/>
      <c r="RHB13" s="21"/>
      <c r="RHC13" s="21"/>
      <c r="RHD13" s="21"/>
      <c r="RHE13" s="21"/>
      <c r="RHF13" s="21"/>
      <c r="RHG13" s="21"/>
      <c r="RHH13" s="21"/>
      <c r="RHI13" s="21"/>
      <c r="RHJ13" s="21"/>
      <c r="RHK13" s="21"/>
      <c r="RHL13" s="21"/>
      <c r="RHM13" s="21"/>
      <c r="RHN13" s="21"/>
      <c r="RHO13" s="21"/>
      <c r="RHP13" s="21"/>
      <c r="RHQ13" s="21"/>
      <c r="RHR13" s="21"/>
      <c r="RHS13" s="21"/>
      <c r="RHT13" s="21"/>
      <c r="RHU13" s="21"/>
      <c r="RHV13" s="21"/>
      <c r="RHW13" s="21"/>
      <c r="RHX13" s="21"/>
      <c r="RHY13" s="21"/>
      <c r="RHZ13" s="21"/>
      <c r="RIA13" s="21"/>
      <c r="RIB13" s="21"/>
      <c r="RIC13" s="21"/>
      <c r="RID13" s="21"/>
      <c r="RIE13" s="21"/>
      <c r="RIF13" s="21"/>
      <c r="RIG13" s="21"/>
      <c r="RIH13" s="21"/>
      <c r="RII13" s="21"/>
      <c r="RIJ13" s="21"/>
      <c r="RIK13" s="21"/>
      <c r="RIL13" s="21"/>
      <c r="RIM13" s="21"/>
      <c r="RIN13" s="21"/>
      <c r="RIO13" s="21"/>
      <c r="RIP13" s="21"/>
      <c r="RIQ13" s="21"/>
      <c r="RIR13" s="21"/>
      <c r="RIS13" s="21"/>
      <c r="RIT13" s="21"/>
      <c r="RIU13" s="21"/>
      <c r="RIV13" s="21"/>
      <c r="RIW13" s="21"/>
      <c r="RIX13" s="21"/>
      <c r="RIY13" s="21"/>
      <c r="RIZ13" s="21"/>
      <c r="RJA13" s="21"/>
      <c r="RJB13" s="21"/>
      <c r="RJC13" s="21"/>
      <c r="RJD13" s="21"/>
      <c r="RJE13" s="21"/>
      <c r="RJF13" s="21"/>
      <c r="RJG13" s="21"/>
      <c r="RJH13" s="21"/>
      <c r="RJI13" s="21"/>
      <c r="RJJ13" s="21"/>
      <c r="RJK13" s="21"/>
      <c r="RJL13" s="21"/>
      <c r="RJM13" s="21"/>
      <c r="RJN13" s="21"/>
      <c r="RJO13" s="21"/>
      <c r="RJP13" s="21"/>
      <c r="RJQ13" s="21"/>
      <c r="RJR13" s="21"/>
      <c r="RJS13" s="21"/>
      <c r="RJT13" s="21"/>
      <c r="RJU13" s="21"/>
      <c r="RJV13" s="21"/>
      <c r="RJW13" s="21"/>
      <c r="RJX13" s="21"/>
      <c r="RJY13" s="21"/>
      <c r="RJZ13" s="21"/>
      <c r="RKA13" s="21"/>
      <c r="RKB13" s="21"/>
      <c r="RKC13" s="21"/>
      <c r="RKD13" s="21"/>
      <c r="RKE13" s="21"/>
      <c r="RKF13" s="21"/>
      <c r="RKG13" s="21"/>
      <c r="RKH13" s="21"/>
      <c r="RKI13" s="21"/>
      <c r="RKJ13" s="21"/>
      <c r="RKK13" s="21"/>
      <c r="RKL13" s="21"/>
      <c r="RKM13" s="21"/>
      <c r="RKN13" s="21"/>
      <c r="RKO13" s="21"/>
      <c r="RKP13" s="21"/>
      <c r="RKQ13" s="21"/>
      <c r="RKR13" s="21"/>
      <c r="RKS13" s="21"/>
      <c r="RKT13" s="21"/>
      <c r="RKU13" s="21"/>
      <c r="RKV13" s="21"/>
      <c r="RKW13" s="21"/>
      <c r="RKX13" s="21"/>
      <c r="RKY13" s="21"/>
      <c r="RKZ13" s="21"/>
      <c r="RLA13" s="21"/>
      <c r="RLB13" s="21"/>
      <c r="RLC13" s="21"/>
      <c r="RLD13" s="21"/>
      <c r="RLE13" s="21"/>
      <c r="RLF13" s="21"/>
      <c r="RLG13" s="21"/>
      <c r="RLH13" s="21"/>
      <c r="RLI13" s="21"/>
      <c r="RLJ13" s="21"/>
      <c r="RLK13" s="21"/>
      <c r="RLL13" s="21"/>
      <c r="RLM13" s="21"/>
      <c r="RLN13" s="21"/>
      <c r="RLO13" s="21"/>
      <c r="RLP13" s="21"/>
      <c r="RLQ13" s="21"/>
      <c r="RLR13" s="21"/>
      <c r="RLS13" s="21"/>
      <c r="RLT13" s="21"/>
      <c r="RLU13" s="21"/>
      <c r="RLV13" s="21"/>
      <c r="RLW13" s="21"/>
      <c r="RLX13" s="21"/>
      <c r="RLY13" s="21"/>
      <c r="RLZ13" s="21"/>
      <c r="RMA13" s="21"/>
      <c r="RMB13" s="21"/>
      <c r="RMC13" s="21"/>
      <c r="RMD13" s="21"/>
      <c r="RME13" s="21"/>
      <c r="RMF13" s="21"/>
      <c r="RMG13" s="21"/>
      <c r="RMH13" s="21"/>
      <c r="RMI13" s="21"/>
      <c r="RMJ13" s="21"/>
      <c r="RMK13" s="21"/>
      <c r="RML13" s="21"/>
      <c r="RMM13" s="21"/>
      <c r="RMN13" s="21"/>
      <c r="RMO13" s="21"/>
      <c r="RMP13" s="21"/>
      <c r="RMQ13" s="21"/>
      <c r="RMR13" s="21"/>
      <c r="RMS13" s="21"/>
      <c r="RMT13" s="21"/>
      <c r="RMU13" s="21"/>
      <c r="RMV13" s="21"/>
      <c r="RMW13" s="21"/>
      <c r="RMX13" s="21"/>
      <c r="RMY13" s="21"/>
      <c r="RMZ13" s="21"/>
      <c r="RNA13" s="21"/>
      <c r="RNB13" s="21"/>
      <c r="RNC13" s="21"/>
      <c r="RND13" s="21"/>
      <c r="RNE13" s="21"/>
      <c r="RNF13" s="21"/>
      <c r="RNG13" s="21"/>
      <c r="RNH13" s="21"/>
      <c r="RNI13" s="21"/>
      <c r="RNJ13" s="21"/>
      <c r="RNK13" s="21"/>
      <c r="RNL13" s="21"/>
      <c r="RNM13" s="21"/>
      <c r="RNN13" s="21"/>
      <c r="RNO13" s="21"/>
      <c r="RNP13" s="21"/>
      <c r="RNQ13" s="21"/>
      <c r="RNR13" s="21"/>
      <c r="RNS13" s="21"/>
      <c r="RNT13" s="21"/>
      <c r="RNU13" s="21"/>
      <c r="RNV13" s="21"/>
      <c r="RNW13" s="21"/>
      <c r="RNX13" s="21"/>
      <c r="RNY13" s="21"/>
      <c r="RNZ13" s="21"/>
      <c r="ROA13" s="21"/>
      <c r="ROB13" s="21"/>
      <c r="ROC13" s="21"/>
      <c r="ROD13" s="21"/>
      <c r="ROE13" s="21"/>
      <c r="ROF13" s="21"/>
      <c r="ROG13" s="21"/>
      <c r="ROH13" s="21"/>
      <c r="ROI13" s="21"/>
      <c r="ROJ13" s="21"/>
      <c r="ROK13" s="21"/>
      <c r="ROL13" s="21"/>
      <c r="ROM13" s="21"/>
      <c r="RON13" s="21"/>
      <c r="ROO13" s="21"/>
      <c r="ROP13" s="21"/>
      <c r="ROQ13" s="21"/>
      <c r="ROR13" s="21"/>
      <c r="ROS13" s="21"/>
      <c r="ROT13" s="21"/>
      <c r="ROU13" s="21"/>
      <c r="ROV13" s="21"/>
      <c r="ROW13" s="21"/>
      <c r="ROX13" s="21"/>
      <c r="ROY13" s="21"/>
      <c r="ROZ13" s="21"/>
      <c r="RPA13" s="21"/>
      <c r="RPB13" s="21"/>
      <c r="RPC13" s="21"/>
      <c r="RPD13" s="21"/>
      <c r="RPE13" s="21"/>
      <c r="RPF13" s="21"/>
      <c r="RPG13" s="21"/>
      <c r="RPH13" s="21"/>
      <c r="RPI13" s="21"/>
      <c r="RPJ13" s="21"/>
      <c r="RPK13" s="21"/>
      <c r="RPL13" s="21"/>
      <c r="RPM13" s="21"/>
      <c r="RPN13" s="21"/>
      <c r="RPO13" s="21"/>
      <c r="RPP13" s="21"/>
      <c r="RPQ13" s="21"/>
      <c r="RPR13" s="21"/>
      <c r="RPS13" s="21"/>
      <c r="RPT13" s="21"/>
      <c r="RPU13" s="21"/>
      <c r="RPV13" s="21"/>
      <c r="RPW13" s="21"/>
      <c r="RPX13" s="21"/>
      <c r="RPY13" s="21"/>
      <c r="RPZ13" s="21"/>
      <c r="RQA13" s="21"/>
      <c r="RQB13" s="21"/>
      <c r="RQC13" s="21"/>
      <c r="RQD13" s="21"/>
      <c r="RQE13" s="21"/>
      <c r="RQF13" s="21"/>
      <c r="RQG13" s="21"/>
      <c r="RQH13" s="21"/>
      <c r="RQI13" s="21"/>
      <c r="RQJ13" s="21"/>
      <c r="RQK13" s="21"/>
      <c r="RQL13" s="21"/>
      <c r="RQM13" s="21"/>
      <c r="RQN13" s="21"/>
      <c r="RQO13" s="21"/>
      <c r="RQP13" s="21"/>
      <c r="RQQ13" s="21"/>
      <c r="RQR13" s="21"/>
      <c r="RQS13" s="21"/>
      <c r="RQT13" s="21"/>
      <c r="RQU13" s="21"/>
      <c r="RQV13" s="21"/>
      <c r="RQW13" s="21"/>
      <c r="RQX13" s="21"/>
      <c r="RQY13" s="21"/>
      <c r="RQZ13" s="21"/>
      <c r="RRA13" s="21"/>
      <c r="RRB13" s="21"/>
      <c r="RRC13" s="21"/>
      <c r="RRD13" s="21"/>
      <c r="RRE13" s="21"/>
      <c r="RRF13" s="21"/>
      <c r="RRG13" s="21"/>
      <c r="RRH13" s="21"/>
      <c r="RRI13" s="21"/>
      <c r="RRJ13" s="21"/>
      <c r="RRK13" s="21"/>
      <c r="RRL13" s="21"/>
      <c r="RRM13" s="21"/>
      <c r="RRN13" s="21"/>
      <c r="RRO13" s="21"/>
      <c r="RRP13" s="21"/>
      <c r="RRQ13" s="21"/>
      <c r="RRR13" s="21"/>
      <c r="RRS13" s="21"/>
      <c r="RRT13" s="21"/>
      <c r="RRU13" s="21"/>
      <c r="RRV13" s="21"/>
      <c r="RRW13" s="21"/>
      <c r="RRX13" s="21"/>
      <c r="RRY13" s="21"/>
      <c r="RRZ13" s="21"/>
      <c r="RSA13" s="21"/>
      <c r="RSB13" s="21"/>
      <c r="RSC13" s="21"/>
      <c r="RSD13" s="21"/>
      <c r="RSE13" s="21"/>
      <c r="RSF13" s="21"/>
      <c r="RSG13" s="21"/>
      <c r="RSH13" s="21"/>
      <c r="RSI13" s="21"/>
      <c r="RSJ13" s="21"/>
      <c r="RSK13" s="21"/>
      <c r="RSL13" s="21"/>
      <c r="RSM13" s="21"/>
      <c r="RSN13" s="21"/>
      <c r="RSO13" s="21"/>
      <c r="RSP13" s="21"/>
      <c r="RSQ13" s="21"/>
      <c r="RSR13" s="21"/>
      <c r="RSS13" s="21"/>
      <c r="RST13" s="21"/>
      <c r="RSU13" s="21"/>
      <c r="RSV13" s="21"/>
      <c r="RSW13" s="21"/>
      <c r="RSX13" s="21"/>
      <c r="RSY13" s="21"/>
      <c r="RSZ13" s="21"/>
      <c r="RTA13" s="21"/>
      <c r="RTB13" s="21"/>
      <c r="RTC13" s="21"/>
      <c r="RTD13" s="21"/>
      <c r="RTE13" s="21"/>
      <c r="RTF13" s="21"/>
      <c r="RTG13" s="21"/>
      <c r="RTH13" s="21"/>
      <c r="RTI13" s="21"/>
      <c r="RTJ13" s="21"/>
      <c r="RTK13" s="21"/>
      <c r="RTL13" s="21"/>
      <c r="RTM13" s="21"/>
      <c r="RTN13" s="21"/>
      <c r="RTO13" s="21"/>
      <c r="RTP13" s="21"/>
      <c r="RTQ13" s="21"/>
      <c r="RTR13" s="21"/>
      <c r="RTS13" s="21"/>
      <c r="RTT13" s="21"/>
      <c r="RTU13" s="21"/>
      <c r="RTV13" s="21"/>
      <c r="RTW13" s="21"/>
      <c r="RTX13" s="21"/>
      <c r="RTY13" s="21"/>
      <c r="RTZ13" s="21"/>
      <c r="RUA13" s="21"/>
      <c r="RUB13" s="21"/>
      <c r="RUC13" s="21"/>
      <c r="RUD13" s="21"/>
      <c r="RUE13" s="21"/>
      <c r="RUF13" s="21"/>
      <c r="RUG13" s="21"/>
      <c r="RUH13" s="21"/>
      <c r="RUI13" s="21"/>
      <c r="RUJ13" s="21"/>
      <c r="RUK13" s="21"/>
      <c r="RUL13" s="21"/>
      <c r="RUM13" s="21"/>
      <c r="RUN13" s="21"/>
      <c r="RUO13" s="21"/>
      <c r="RUP13" s="21"/>
      <c r="RUQ13" s="21"/>
      <c r="RUR13" s="21"/>
      <c r="RUS13" s="21"/>
      <c r="RUT13" s="21"/>
      <c r="RUU13" s="21"/>
      <c r="RUV13" s="21"/>
      <c r="RUW13" s="21"/>
      <c r="RUX13" s="21"/>
      <c r="RUY13" s="21"/>
      <c r="RUZ13" s="21"/>
      <c r="RVA13" s="21"/>
      <c r="RVB13" s="21"/>
      <c r="RVC13" s="21"/>
      <c r="RVD13" s="21"/>
      <c r="RVE13" s="21"/>
      <c r="RVF13" s="21"/>
      <c r="RVG13" s="21"/>
      <c r="RVH13" s="21"/>
      <c r="RVI13" s="21"/>
      <c r="RVJ13" s="21"/>
      <c r="RVK13" s="21"/>
      <c r="RVL13" s="21"/>
      <c r="RVM13" s="21"/>
      <c r="RVN13" s="21"/>
      <c r="RVO13" s="21"/>
      <c r="RVP13" s="21"/>
      <c r="RVQ13" s="21"/>
      <c r="RVR13" s="21"/>
      <c r="RVS13" s="21"/>
      <c r="RVT13" s="21"/>
      <c r="RVU13" s="21"/>
      <c r="RVV13" s="21"/>
      <c r="RVW13" s="21"/>
      <c r="RVX13" s="21"/>
      <c r="RVY13" s="21"/>
      <c r="RVZ13" s="21"/>
      <c r="RWA13" s="21"/>
      <c r="RWB13" s="21"/>
      <c r="RWC13" s="21"/>
      <c r="RWD13" s="21"/>
      <c r="RWE13" s="21"/>
      <c r="RWF13" s="21"/>
      <c r="RWG13" s="21"/>
      <c r="RWH13" s="21"/>
      <c r="RWI13" s="21"/>
      <c r="RWJ13" s="21"/>
      <c r="RWK13" s="21"/>
      <c r="RWL13" s="21"/>
      <c r="RWM13" s="21"/>
      <c r="RWN13" s="21"/>
      <c r="RWO13" s="21"/>
      <c r="RWP13" s="21"/>
      <c r="RWQ13" s="21"/>
      <c r="RWR13" s="21"/>
      <c r="RWS13" s="21"/>
      <c r="RWT13" s="21"/>
      <c r="RWU13" s="21"/>
      <c r="RWV13" s="21"/>
      <c r="RWW13" s="21"/>
      <c r="RWX13" s="21"/>
      <c r="RWY13" s="21"/>
      <c r="RWZ13" s="21"/>
      <c r="RXA13" s="21"/>
      <c r="RXB13" s="21"/>
      <c r="RXC13" s="21"/>
      <c r="RXD13" s="21"/>
      <c r="RXE13" s="21"/>
      <c r="RXF13" s="21"/>
      <c r="RXG13" s="21"/>
      <c r="RXH13" s="21"/>
      <c r="RXI13" s="21"/>
      <c r="RXJ13" s="21"/>
      <c r="RXK13" s="21"/>
      <c r="RXL13" s="21"/>
      <c r="RXM13" s="21"/>
      <c r="RXN13" s="21"/>
      <c r="RXO13" s="21"/>
      <c r="RXP13" s="21"/>
      <c r="RXQ13" s="21"/>
      <c r="RXR13" s="21"/>
      <c r="RXS13" s="21"/>
      <c r="RXT13" s="21"/>
      <c r="RXU13" s="21"/>
      <c r="RXV13" s="21"/>
      <c r="RXW13" s="21"/>
      <c r="RXX13" s="21"/>
      <c r="RXY13" s="21"/>
      <c r="RXZ13" s="21"/>
      <c r="RYA13" s="21"/>
      <c r="RYB13" s="21"/>
      <c r="RYC13" s="21"/>
      <c r="RYD13" s="21"/>
      <c r="RYE13" s="21"/>
      <c r="RYF13" s="21"/>
      <c r="RYG13" s="21"/>
      <c r="RYH13" s="21"/>
      <c r="RYI13" s="21"/>
      <c r="RYJ13" s="21"/>
      <c r="RYK13" s="21"/>
      <c r="RYL13" s="21"/>
      <c r="RYM13" s="21"/>
      <c r="RYN13" s="21"/>
      <c r="RYO13" s="21"/>
      <c r="RYP13" s="21"/>
      <c r="RYQ13" s="21"/>
      <c r="RYR13" s="21"/>
      <c r="RYS13" s="21"/>
      <c r="RYT13" s="21"/>
      <c r="RYU13" s="21"/>
      <c r="RYV13" s="21"/>
      <c r="RYW13" s="21"/>
      <c r="RYX13" s="21"/>
      <c r="RYY13" s="21"/>
      <c r="RYZ13" s="21"/>
      <c r="RZA13" s="21"/>
      <c r="RZB13" s="21"/>
      <c r="RZC13" s="21"/>
      <c r="RZD13" s="21"/>
      <c r="RZE13" s="21"/>
      <c r="RZF13" s="21"/>
      <c r="RZG13" s="21"/>
      <c r="RZH13" s="21"/>
      <c r="RZI13" s="21"/>
      <c r="RZJ13" s="21"/>
      <c r="RZK13" s="21"/>
      <c r="RZL13" s="21"/>
      <c r="RZM13" s="21"/>
      <c r="RZN13" s="21"/>
      <c r="RZO13" s="21"/>
      <c r="RZP13" s="21"/>
      <c r="RZQ13" s="21"/>
      <c r="RZR13" s="21"/>
      <c r="RZS13" s="21"/>
      <c r="RZT13" s="21"/>
      <c r="RZU13" s="21"/>
      <c r="RZV13" s="21"/>
      <c r="RZW13" s="21"/>
      <c r="RZX13" s="21"/>
      <c r="RZY13" s="21"/>
      <c r="RZZ13" s="21"/>
      <c r="SAA13" s="21"/>
      <c r="SAB13" s="21"/>
      <c r="SAC13" s="21"/>
      <c r="SAD13" s="21"/>
      <c r="SAE13" s="21"/>
      <c r="SAF13" s="21"/>
      <c r="SAG13" s="21"/>
      <c r="SAH13" s="21"/>
      <c r="SAI13" s="21"/>
      <c r="SAJ13" s="21"/>
      <c r="SAK13" s="21"/>
      <c r="SAL13" s="21"/>
      <c r="SAM13" s="21"/>
      <c r="SAN13" s="21"/>
      <c r="SAO13" s="21"/>
      <c r="SAP13" s="21"/>
      <c r="SAQ13" s="21"/>
      <c r="SAR13" s="21"/>
      <c r="SAS13" s="21"/>
      <c r="SAT13" s="21"/>
      <c r="SAU13" s="21"/>
      <c r="SAV13" s="21"/>
      <c r="SAW13" s="21"/>
      <c r="SAX13" s="21"/>
      <c r="SAY13" s="21"/>
      <c r="SAZ13" s="21"/>
      <c r="SBA13" s="21"/>
      <c r="SBB13" s="21"/>
      <c r="SBC13" s="21"/>
      <c r="SBD13" s="21"/>
      <c r="SBE13" s="21"/>
      <c r="SBF13" s="21"/>
      <c r="SBG13" s="21"/>
      <c r="SBH13" s="21"/>
      <c r="SBI13" s="21"/>
      <c r="SBJ13" s="21"/>
      <c r="SBK13" s="21"/>
      <c r="SBL13" s="21"/>
      <c r="SBM13" s="21"/>
      <c r="SBN13" s="21"/>
      <c r="SBO13" s="21"/>
      <c r="SBP13" s="21"/>
      <c r="SBQ13" s="21"/>
      <c r="SBR13" s="21"/>
      <c r="SBS13" s="21"/>
      <c r="SBT13" s="21"/>
      <c r="SBU13" s="21"/>
      <c r="SBV13" s="21"/>
      <c r="SBW13" s="21"/>
      <c r="SBX13" s="21"/>
      <c r="SBY13" s="21"/>
      <c r="SBZ13" s="21"/>
      <c r="SCA13" s="21"/>
      <c r="SCB13" s="21"/>
      <c r="SCC13" s="21"/>
      <c r="SCD13" s="21"/>
      <c r="SCE13" s="21"/>
      <c r="SCF13" s="21"/>
      <c r="SCG13" s="21"/>
      <c r="SCH13" s="21"/>
      <c r="SCI13" s="21"/>
      <c r="SCJ13" s="21"/>
      <c r="SCK13" s="21"/>
      <c r="SCL13" s="21"/>
      <c r="SCM13" s="21"/>
      <c r="SCN13" s="21"/>
      <c r="SCO13" s="21"/>
      <c r="SCP13" s="21"/>
      <c r="SCQ13" s="21"/>
      <c r="SCR13" s="21"/>
      <c r="SCS13" s="21"/>
      <c r="SCT13" s="21"/>
      <c r="SCU13" s="21"/>
      <c r="SCV13" s="21"/>
      <c r="SCW13" s="21"/>
      <c r="SCX13" s="21"/>
      <c r="SCY13" s="21"/>
      <c r="SCZ13" s="21"/>
      <c r="SDA13" s="21"/>
      <c r="SDB13" s="21"/>
      <c r="SDC13" s="21"/>
      <c r="SDD13" s="21"/>
      <c r="SDE13" s="21"/>
      <c r="SDF13" s="21"/>
      <c r="SDG13" s="21"/>
      <c r="SDH13" s="21"/>
      <c r="SDI13" s="21"/>
      <c r="SDJ13" s="21"/>
      <c r="SDK13" s="21"/>
      <c r="SDL13" s="21"/>
      <c r="SDM13" s="21"/>
      <c r="SDN13" s="21"/>
      <c r="SDO13" s="21"/>
      <c r="SDP13" s="21"/>
      <c r="SDQ13" s="21"/>
      <c r="SDR13" s="21"/>
      <c r="SDS13" s="21"/>
      <c r="SDT13" s="21"/>
      <c r="SDU13" s="21"/>
      <c r="SDV13" s="21"/>
      <c r="SDW13" s="21"/>
      <c r="SDX13" s="21"/>
      <c r="SDY13" s="21"/>
      <c r="SDZ13" s="21"/>
      <c r="SEA13" s="21"/>
      <c r="SEB13" s="21"/>
      <c r="SEC13" s="21"/>
      <c r="SED13" s="21"/>
      <c r="SEE13" s="21"/>
      <c r="SEF13" s="21"/>
      <c r="SEG13" s="21"/>
      <c r="SEH13" s="21"/>
      <c r="SEI13" s="21"/>
      <c r="SEJ13" s="21"/>
      <c r="SEK13" s="21"/>
      <c r="SEL13" s="21"/>
      <c r="SEM13" s="21"/>
      <c r="SEN13" s="21"/>
      <c r="SEO13" s="21"/>
      <c r="SEP13" s="21"/>
      <c r="SEQ13" s="21"/>
      <c r="SER13" s="21"/>
      <c r="SES13" s="21"/>
      <c r="SET13" s="21"/>
      <c r="SEU13" s="21"/>
      <c r="SEV13" s="21"/>
      <c r="SEW13" s="21"/>
      <c r="SEX13" s="21"/>
      <c r="SEY13" s="21"/>
      <c r="SEZ13" s="21"/>
      <c r="SFA13" s="21"/>
      <c r="SFB13" s="21"/>
      <c r="SFC13" s="21"/>
      <c r="SFD13" s="21"/>
      <c r="SFE13" s="21"/>
      <c r="SFF13" s="21"/>
      <c r="SFG13" s="21"/>
      <c r="SFH13" s="21"/>
      <c r="SFI13" s="21"/>
      <c r="SFJ13" s="21"/>
      <c r="SFK13" s="21"/>
      <c r="SFL13" s="21"/>
      <c r="SFM13" s="21"/>
      <c r="SFN13" s="21"/>
      <c r="SFO13" s="21"/>
      <c r="SFP13" s="21"/>
      <c r="SFQ13" s="21"/>
      <c r="SFR13" s="21"/>
      <c r="SFS13" s="21"/>
      <c r="SFT13" s="21"/>
      <c r="SFU13" s="21"/>
      <c r="SFV13" s="21"/>
      <c r="SFW13" s="21"/>
      <c r="SFX13" s="21"/>
      <c r="SFY13" s="21"/>
      <c r="SFZ13" s="21"/>
      <c r="SGA13" s="21"/>
      <c r="SGB13" s="21"/>
      <c r="SGC13" s="21"/>
      <c r="SGD13" s="21"/>
      <c r="SGE13" s="21"/>
      <c r="SGF13" s="21"/>
      <c r="SGG13" s="21"/>
      <c r="SGH13" s="21"/>
      <c r="SGI13" s="21"/>
      <c r="SGJ13" s="21"/>
      <c r="SGK13" s="21"/>
      <c r="SGL13" s="21"/>
      <c r="SGM13" s="21"/>
      <c r="SGN13" s="21"/>
      <c r="SGO13" s="21"/>
      <c r="SGP13" s="21"/>
      <c r="SGQ13" s="21"/>
      <c r="SGR13" s="21"/>
      <c r="SGS13" s="21"/>
      <c r="SGT13" s="21"/>
      <c r="SGU13" s="21"/>
      <c r="SGV13" s="21"/>
      <c r="SGW13" s="21"/>
      <c r="SGX13" s="21"/>
      <c r="SGY13" s="21"/>
      <c r="SGZ13" s="21"/>
      <c r="SHA13" s="21"/>
      <c r="SHB13" s="21"/>
      <c r="SHC13" s="21"/>
      <c r="SHD13" s="21"/>
      <c r="SHE13" s="21"/>
      <c r="SHF13" s="21"/>
      <c r="SHG13" s="21"/>
      <c r="SHH13" s="21"/>
      <c r="SHI13" s="21"/>
      <c r="SHJ13" s="21"/>
      <c r="SHK13" s="21"/>
      <c r="SHL13" s="21"/>
      <c r="SHM13" s="21"/>
      <c r="SHN13" s="21"/>
      <c r="SHO13" s="21"/>
      <c r="SHP13" s="21"/>
      <c r="SHQ13" s="21"/>
      <c r="SHR13" s="21"/>
      <c r="SHS13" s="21"/>
      <c r="SHT13" s="21"/>
      <c r="SHU13" s="21"/>
      <c r="SHV13" s="21"/>
      <c r="SHW13" s="21"/>
      <c r="SHX13" s="21"/>
      <c r="SHY13" s="21"/>
      <c r="SHZ13" s="21"/>
      <c r="SIA13" s="21"/>
      <c r="SIB13" s="21"/>
      <c r="SIC13" s="21"/>
      <c r="SID13" s="21"/>
      <c r="SIE13" s="21"/>
      <c r="SIF13" s="21"/>
      <c r="SIG13" s="21"/>
      <c r="SIH13" s="21"/>
      <c r="SII13" s="21"/>
      <c r="SIJ13" s="21"/>
      <c r="SIK13" s="21"/>
      <c r="SIL13" s="21"/>
      <c r="SIM13" s="21"/>
      <c r="SIN13" s="21"/>
      <c r="SIO13" s="21"/>
      <c r="SIP13" s="21"/>
      <c r="SIQ13" s="21"/>
      <c r="SIR13" s="21"/>
      <c r="SIS13" s="21"/>
      <c r="SIT13" s="21"/>
      <c r="SIU13" s="21"/>
      <c r="SIV13" s="21"/>
      <c r="SIW13" s="21"/>
      <c r="SIX13" s="21"/>
      <c r="SIY13" s="21"/>
      <c r="SIZ13" s="21"/>
      <c r="SJA13" s="21"/>
      <c r="SJB13" s="21"/>
      <c r="SJC13" s="21"/>
      <c r="SJD13" s="21"/>
      <c r="SJE13" s="21"/>
      <c r="SJF13" s="21"/>
      <c r="SJG13" s="21"/>
      <c r="SJH13" s="21"/>
      <c r="SJI13" s="21"/>
      <c r="SJJ13" s="21"/>
      <c r="SJK13" s="21"/>
      <c r="SJL13" s="21"/>
      <c r="SJM13" s="21"/>
      <c r="SJN13" s="21"/>
      <c r="SJO13" s="21"/>
      <c r="SJP13" s="21"/>
      <c r="SJQ13" s="21"/>
      <c r="SJR13" s="21"/>
      <c r="SJS13" s="21"/>
      <c r="SJT13" s="21"/>
      <c r="SJU13" s="21"/>
      <c r="SJV13" s="21"/>
      <c r="SJW13" s="21"/>
      <c r="SJX13" s="21"/>
      <c r="SJY13" s="21"/>
      <c r="SJZ13" s="21"/>
      <c r="SKA13" s="21"/>
      <c r="SKB13" s="21"/>
      <c r="SKC13" s="21"/>
      <c r="SKD13" s="21"/>
      <c r="SKE13" s="21"/>
      <c r="SKF13" s="21"/>
      <c r="SKG13" s="21"/>
      <c r="SKH13" s="21"/>
      <c r="SKI13" s="21"/>
      <c r="SKJ13" s="21"/>
      <c r="SKK13" s="21"/>
      <c r="SKL13" s="21"/>
      <c r="SKM13" s="21"/>
      <c r="SKN13" s="21"/>
      <c r="SKO13" s="21"/>
      <c r="SKP13" s="21"/>
      <c r="SKQ13" s="21"/>
      <c r="SKR13" s="21"/>
      <c r="SKS13" s="21"/>
      <c r="SKT13" s="21"/>
      <c r="SKU13" s="21"/>
      <c r="SKV13" s="21"/>
      <c r="SKW13" s="21"/>
      <c r="SKX13" s="21"/>
      <c r="SKY13" s="21"/>
      <c r="SKZ13" s="21"/>
      <c r="SLA13" s="21"/>
      <c r="SLB13" s="21"/>
      <c r="SLC13" s="21"/>
      <c r="SLD13" s="21"/>
      <c r="SLE13" s="21"/>
      <c r="SLF13" s="21"/>
      <c r="SLG13" s="21"/>
      <c r="SLH13" s="21"/>
      <c r="SLI13" s="21"/>
      <c r="SLJ13" s="21"/>
      <c r="SLK13" s="21"/>
      <c r="SLL13" s="21"/>
      <c r="SLM13" s="21"/>
      <c r="SLN13" s="21"/>
      <c r="SLO13" s="21"/>
      <c r="SLP13" s="21"/>
      <c r="SLQ13" s="21"/>
      <c r="SLR13" s="21"/>
      <c r="SLS13" s="21"/>
      <c r="SLT13" s="21"/>
      <c r="SLU13" s="21"/>
      <c r="SLV13" s="21"/>
      <c r="SLW13" s="21"/>
      <c r="SLX13" s="21"/>
      <c r="SLY13" s="21"/>
      <c r="SLZ13" s="21"/>
      <c r="SMA13" s="21"/>
      <c r="SMB13" s="21"/>
      <c r="SMC13" s="21"/>
      <c r="SMD13" s="21"/>
      <c r="SME13" s="21"/>
      <c r="SMF13" s="21"/>
      <c r="SMG13" s="21"/>
      <c r="SMH13" s="21"/>
      <c r="SMI13" s="21"/>
      <c r="SMJ13" s="21"/>
      <c r="SMK13" s="21"/>
      <c r="SML13" s="21"/>
      <c r="SMM13" s="21"/>
      <c r="SMN13" s="21"/>
      <c r="SMO13" s="21"/>
      <c r="SMP13" s="21"/>
      <c r="SMQ13" s="21"/>
      <c r="SMR13" s="21"/>
      <c r="SMS13" s="21"/>
      <c r="SMT13" s="21"/>
      <c r="SMU13" s="21"/>
      <c r="SMV13" s="21"/>
      <c r="SMW13" s="21"/>
      <c r="SMX13" s="21"/>
      <c r="SMY13" s="21"/>
      <c r="SMZ13" s="21"/>
      <c r="SNA13" s="21"/>
      <c r="SNB13" s="21"/>
      <c r="SNC13" s="21"/>
      <c r="SND13" s="21"/>
      <c r="SNE13" s="21"/>
      <c r="SNF13" s="21"/>
      <c r="SNG13" s="21"/>
      <c r="SNH13" s="21"/>
      <c r="SNI13" s="21"/>
      <c r="SNJ13" s="21"/>
      <c r="SNK13" s="21"/>
      <c r="SNL13" s="21"/>
      <c r="SNM13" s="21"/>
      <c r="SNN13" s="21"/>
      <c r="SNO13" s="21"/>
      <c r="SNP13" s="21"/>
      <c r="SNQ13" s="21"/>
      <c r="SNR13" s="21"/>
      <c r="SNS13" s="21"/>
      <c r="SNT13" s="21"/>
      <c r="SNU13" s="21"/>
      <c r="SNV13" s="21"/>
      <c r="SNW13" s="21"/>
      <c r="SNX13" s="21"/>
      <c r="SNY13" s="21"/>
      <c r="SNZ13" s="21"/>
      <c r="SOA13" s="21"/>
      <c r="SOB13" s="21"/>
      <c r="SOC13" s="21"/>
      <c r="SOD13" s="21"/>
      <c r="SOE13" s="21"/>
      <c r="SOF13" s="21"/>
      <c r="SOG13" s="21"/>
      <c r="SOH13" s="21"/>
      <c r="SOI13" s="21"/>
      <c r="SOJ13" s="21"/>
      <c r="SOK13" s="21"/>
      <c r="SOL13" s="21"/>
      <c r="SOM13" s="21"/>
      <c r="SON13" s="21"/>
      <c r="SOO13" s="21"/>
      <c r="SOP13" s="21"/>
      <c r="SOQ13" s="21"/>
      <c r="SOR13" s="21"/>
      <c r="SOS13" s="21"/>
      <c r="SOT13" s="21"/>
      <c r="SOU13" s="21"/>
      <c r="SOV13" s="21"/>
      <c r="SOW13" s="21"/>
      <c r="SOX13" s="21"/>
      <c r="SOY13" s="21"/>
      <c r="SOZ13" s="21"/>
      <c r="SPA13" s="21"/>
      <c r="SPB13" s="21"/>
      <c r="SPC13" s="21"/>
      <c r="SPD13" s="21"/>
      <c r="SPE13" s="21"/>
      <c r="SPF13" s="21"/>
      <c r="SPG13" s="21"/>
      <c r="SPH13" s="21"/>
      <c r="SPI13" s="21"/>
      <c r="SPJ13" s="21"/>
      <c r="SPK13" s="21"/>
      <c r="SPL13" s="21"/>
      <c r="SPM13" s="21"/>
      <c r="SPN13" s="21"/>
      <c r="SPO13" s="21"/>
      <c r="SPP13" s="21"/>
      <c r="SPQ13" s="21"/>
      <c r="SPR13" s="21"/>
      <c r="SPS13" s="21"/>
      <c r="SPT13" s="21"/>
      <c r="SPU13" s="21"/>
      <c r="SPV13" s="21"/>
      <c r="SPW13" s="21"/>
      <c r="SPX13" s="21"/>
      <c r="SPY13" s="21"/>
      <c r="SPZ13" s="21"/>
      <c r="SQA13" s="21"/>
      <c r="SQB13" s="21"/>
      <c r="SQC13" s="21"/>
      <c r="SQD13" s="21"/>
      <c r="SQE13" s="21"/>
      <c r="SQF13" s="21"/>
      <c r="SQG13" s="21"/>
      <c r="SQH13" s="21"/>
      <c r="SQI13" s="21"/>
      <c r="SQJ13" s="21"/>
      <c r="SQK13" s="21"/>
      <c r="SQL13" s="21"/>
      <c r="SQM13" s="21"/>
      <c r="SQN13" s="21"/>
      <c r="SQO13" s="21"/>
      <c r="SQP13" s="21"/>
      <c r="SQQ13" s="21"/>
      <c r="SQR13" s="21"/>
      <c r="SQS13" s="21"/>
      <c r="SQT13" s="21"/>
      <c r="SQU13" s="21"/>
      <c r="SQV13" s="21"/>
      <c r="SQW13" s="21"/>
      <c r="SQX13" s="21"/>
      <c r="SQY13" s="21"/>
      <c r="SQZ13" s="21"/>
      <c r="SRA13" s="21"/>
      <c r="SRB13" s="21"/>
      <c r="SRC13" s="21"/>
      <c r="SRD13" s="21"/>
      <c r="SRE13" s="21"/>
      <c r="SRF13" s="21"/>
      <c r="SRG13" s="21"/>
      <c r="SRH13" s="21"/>
      <c r="SRI13" s="21"/>
      <c r="SRJ13" s="21"/>
      <c r="SRK13" s="21"/>
      <c r="SRL13" s="21"/>
      <c r="SRM13" s="21"/>
      <c r="SRN13" s="21"/>
      <c r="SRO13" s="21"/>
      <c r="SRP13" s="21"/>
      <c r="SRQ13" s="21"/>
      <c r="SRR13" s="21"/>
      <c r="SRS13" s="21"/>
      <c r="SRT13" s="21"/>
      <c r="SRU13" s="21"/>
      <c r="SRV13" s="21"/>
      <c r="SRW13" s="21"/>
      <c r="SRX13" s="21"/>
      <c r="SRY13" s="21"/>
      <c r="SRZ13" s="21"/>
      <c r="SSA13" s="21"/>
      <c r="SSB13" s="21"/>
      <c r="SSC13" s="21"/>
      <c r="SSD13" s="21"/>
      <c r="SSE13" s="21"/>
      <c r="SSF13" s="21"/>
      <c r="SSG13" s="21"/>
      <c r="SSH13" s="21"/>
      <c r="SSI13" s="21"/>
      <c r="SSJ13" s="21"/>
      <c r="SSK13" s="21"/>
      <c r="SSL13" s="21"/>
      <c r="SSM13" s="21"/>
      <c r="SSN13" s="21"/>
      <c r="SSO13" s="21"/>
      <c r="SSP13" s="21"/>
      <c r="SSQ13" s="21"/>
      <c r="SSR13" s="21"/>
      <c r="SSS13" s="21"/>
      <c r="SST13" s="21"/>
      <c r="SSU13" s="21"/>
      <c r="SSV13" s="21"/>
      <c r="SSW13" s="21"/>
      <c r="SSX13" s="21"/>
      <c r="SSY13" s="21"/>
      <c r="SSZ13" s="21"/>
      <c r="STA13" s="21"/>
      <c r="STB13" s="21"/>
      <c r="STC13" s="21"/>
      <c r="STD13" s="21"/>
      <c r="STE13" s="21"/>
      <c r="STF13" s="21"/>
      <c r="STG13" s="21"/>
      <c r="STH13" s="21"/>
      <c r="STI13" s="21"/>
      <c r="STJ13" s="21"/>
      <c r="STK13" s="21"/>
      <c r="STL13" s="21"/>
      <c r="STM13" s="21"/>
      <c r="STN13" s="21"/>
      <c r="STO13" s="21"/>
      <c r="STP13" s="21"/>
      <c r="STQ13" s="21"/>
      <c r="STR13" s="21"/>
      <c r="STS13" s="21"/>
      <c r="STT13" s="21"/>
      <c r="STU13" s="21"/>
      <c r="STV13" s="21"/>
      <c r="STW13" s="21"/>
      <c r="STX13" s="21"/>
      <c r="STY13" s="21"/>
      <c r="STZ13" s="21"/>
      <c r="SUA13" s="21"/>
      <c r="SUB13" s="21"/>
      <c r="SUC13" s="21"/>
      <c r="SUD13" s="21"/>
      <c r="SUE13" s="21"/>
      <c r="SUF13" s="21"/>
      <c r="SUG13" s="21"/>
      <c r="SUH13" s="21"/>
      <c r="SUI13" s="21"/>
      <c r="SUJ13" s="21"/>
      <c r="SUK13" s="21"/>
      <c r="SUL13" s="21"/>
      <c r="SUM13" s="21"/>
      <c r="SUN13" s="21"/>
      <c r="SUO13" s="21"/>
      <c r="SUP13" s="21"/>
      <c r="SUQ13" s="21"/>
      <c r="SUR13" s="21"/>
      <c r="SUS13" s="21"/>
      <c r="SUT13" s="21"/>
      <c r="SUU13" s="21"/>
      <c r="SUV13" s="21"/>
      <c r="SUW13" s="21"/>
      <c r="SUX13" s="21"/>
      <c r="SUY13" s="21"/>
      <c r="SUZ13" s="21"/>
      <c r="SVA13" s="21"/>
      <c r="SVB13" s="21"/>
      <c r="SVC13" s="21"/>
      <c r="SVD13" s="21"/>
      <c r="SVE13" s="21"/>
      <c r="SVF13" s="21"/>
      <c r="SVG13" s="21"/>
      <c r="SVH13" s="21"/>
      <c r="SVI13" s="21"/>
      <c r="SVJ13" s="21"/>
      <c r="SVK13" s="21"/>
      <c r="SVL13" s="21"/>
      <c r="SVM13" s="21"/>
      <c r="SVN13" s="21"/>
      <c r="SVO13" s="21"/>
      <c r="SVP13" s="21"/>
      <c r="SVQ13" s="21"/>
      <c r="SVR13" s="21"/>
      <c r="SVS13" s="21"/>
      <c r="SVT13" s="21"/>
      <c r="SVU13" s="21"/>
      <c r="SVV13" s="21"/>
      <c r="SVW13" s="21"/>
      <c r="SVX13" s="21"/>
      <c r="SVY13" s="21"/>
      <c r="SVZ13" s="21"/>
      <c r="SWA13" s="21"/>
      <c r="SWB13" s="21"/>
      <c r="SWC13" s="21"/>
      <c r="SWD13" s="21"/>
      <c r="SWE13" s="21"/>
      <c r="SWF13" s="21"/>
      <c r="SWG13" s="21"/>
      <c r="SWH13" s="21"/>
      <c r="SWI13" s="21"/>
      <c r="SWJ13" s="21"/>
      <c r="SWK13" s="21"/>
      <c r="SWL13" s="21"/>
      <c r="SWM13" s="21"/>
      <c r="SWN13" s="21"/>
      <c r="SWO13" s="21"/>
      <c r="SWP13" s="21"/>
      <c r="SWQ13" s="21"/>
      <c r="SWR13" s="21"/>
      <c r="SWS13" s="21"/>
      <c r="SWT13" s="21"/>
      <c r="SWU13" s="21"/>
      <c r="SWV13" s="21"/>
      <c r="SWW13" s="21"/>
      <c r="SWX13" s="21"/>
      <c r="SWY13" s="21"/>
      <c r="SWZ13" s="21"/>
      <c r="SXA13" s="21"/>
      <c r="SXB13" s="21"/>
      <c r="SXC13" s="21"/>
      <c r="SXD13" s="21"/>
      <c r="SXE13" s="21"/>
      <c r="SXF13" s="21"/>
      <c r="SXG13" s="21"/>
      <c r="SXH13" s="21"/>
      <c r="SXI13" s="21"/>
      <c r="SXJ13" s="21"/>
      <c r="SXK13" s="21"/>
      <c r="SXL13" s="21"/>
      <c r="SXM13" s="21"/>
      <c r="SXN13" s="21"/>
      <c r="SXO13" s="21"/>
      <c r="SXP13" s="21"/>
      <c r="SXQ13" s="21"/>
      <c r="SXR13" s="21"/>
      <c r="SXS13" s="21"/>
      <c r="SXT13" s="21"/>
      <c r="SXU13" s="21"/>
      <c r="SXV13" s="21"/>
      <c r="SXW13" s="21"/>
      <c r="SXX13" s="21"/>
      <c r="SXY13" s="21"/>
      <c r="SXZ13" s="21"/>
      <c r="SYA13" s="21"/>
      <c r="SYB13" s="21"/>
      <c r="SYC13" s="21"/>
      <c r="SYD13" s="21"/>
      <c r="SYE13" s="21"/>
      <c r="SYF13" s="21"/>
      <c r="SYG13" s="21"/>
      <c r="SYH13" s="21"/>
      <c r="SYI13" s="21"/>
      <c r="SYJ13" s="21"/>
      <c r="SYK13" s="21"/>
      <c r="SYL13" s="21"/>
      <c r="SYM13" s="21"/>
      <c r="SYN13" s="21"/>
      <c r="SYO13" s="21"/>
      <c r="SYP13" s="21"/>
      <c r="SYQ13" s="21"/>
      <c r="SYR13" s="21"/>
      <c r="SYS13" s="21"/>
      <c r="SYT13" s="21"/>
      <c r="SYU13" s="21"/>
      <c r="SYV13" s="21"/>
      <c r="SYW13" s="21"/>
      <c r="SYX13" s="21"/>
      <c r="SYY13" s="21"/>
      <c r="SYZ13" s="21"/>
      <c r="SZA13" s="21"/>
      <c r="SZB13" s="21"/>
      <c r="SZC13" s="21"/>
      <c r="SZD13" s="21"/>
      <c r="SZE13" s="21"/>
      <c r="SZF13" s="21"/>
      <c r="SZG13" s="21"/>
      <c r="SZH13" s="21"/>
      <c r="SZI13" s="21"/>
      <c r="SZJ13" s="21"/>
      <c r="SZK13" s="21"/>
      <c r="SZL13" s="21"/>
      <c r="SZM13" s="21"/>
      <c r="SZN13" s="21"/>
      <c r="SZO13" s="21"/>
      <c r="SZP13" s="21"/>
      <c r="SZQ13" s="21"/>
      <c r="SZR13" s="21"/>
      <c r="SZS13" s="21"/>
      <c r="SZT13" s="21"/>
      <c r="SZU13" s="21"/>
      <c r="SZV13" s="21"/>
      <c r="SZW13" s="21"/>
      <c r="SZX13" s="21"/>
      <c r="SZY13" s="21"/>
      <c r="SZZ13" s="21"/>
      <c r="TAA13" s="21"/>
      <c r="TAB13" s="21"/>
      <c r="TAC13" s="21"/>
      <c r="TAD13" s="21"/>
      <c r="TAE13" s="21"/>
      <c r="TAF13" s="21"/>
      <c r="TAG13" s="21"/>
      <c r="TAH13" s="21"/>
      <c r="TAI13" s="21"/>
      <c r="TAJ13" s="21"/>
      <c r="TAK13" s="21"/>
      <c r="TAL13" s="21"/>
      <c r="TAM13" s="21"/>
      <c r="TAN13" s="21"/>
      <c r="TAO13" s="21"/>
      <c r="TAP13" s="21"/>
      <c r="TAQ13" s="21"/>
      <c r="TAR13" s="21"/>
      <c r="TAS13" s="21"/>
      <c r="TAT13" s="21"/>
      <c r="TAU13" s="21"/>
      <c r="TAV13" s="21"/>
      <c r="TAW13" s="21"/>
      <c r="TAX13" s="21"/>
      <c r="TAY13" s="21"/>
      <c r="TAZ13" s="21"/>
      <c r="TBA13" s="21"/>
      <c r="TBB13" s="21"/>
      <c r="TBC13" s="21"/>
      <c r="TBD13" s="21"/>
      <c r="TBE13" s="21"/>
      <c r="TBF13" s="21"/>
      <c r="TBG13" s="21"/>
      <c r="TBH13" s="21"/>
      <c r="TBI13" s="21"/>
      <c r="TBJ13" s="21"/>
      <c r="TBK13" s="21"/>
      <c r="TBL13" s="21"/>
      <c r="TBM13" s="21"/>
      <c r="TBN13" s="21"/>
      <c r="TBO13" s="21"/>
      <c r="TBP13" s="21"/>
      <c r="TBQ13" s="21"/>
      <c r="TBR13" s="21"/>
      <c r="TBS13" s="21"/>
      <c r="TBT13" s="21"/>
      <c r="TBU13" s="21"/>
      <c r="TBV13" s="21"/>
      <c r="TBW13" s="21"/>
      <c r="TBX13" s="21"/>
      <c r="TBY13" s="21"/>
      <c r="TBZ13" s="21"/>
      <c r="TCA13" s="21"/>
      <c r="TCB13" s="21"/>
      <c r="TCC13" s="21"/>
      <c r="TCD13" s="21"/>
      <c r="TCE13" s="21"/>
      <c r="TCF13" s="21"/>
      <c r="TCG13" s="21"/>
      <c r="TCH13" s="21"/>
      <c r="TCI13" s="21"/>
      <c r="TCJ13" s="21"/>
      <c r="TCK13" s="21"/>
      <c r="TCL13" s="21"/>
      <c r="TCM13" s="21"/>
      <c r="TCN13" s="21"/>
      <c r="TCO13" s="21"/>
      <c r="TCP13" s="21"/>
      <c r="TCQ13" s="21"/>
      <c r="TCR13" s="21"/>
      <c r="TCS13" s="21"/>
      <c r="TCT13" s="21"/>
      <c r="TCU13" s="21"/>
      <c r="TCV13" s="21"/>
      <c r="TCW13" s="21"/>
      <c r="TCX13" s="21"/>
      <c r="TCY13" s="21"/>
      <c r="TCZ13" s="21"/>
      <c r="TDA13" s="21"/>
      <c r="TDB13" s="21"/>
      <c r="TDC13" s="21"/>
      <c r="TDD13" s="21"/>
      <c r="TDE13" s="21"/>
      <c r="TDF13" s="21"/>
      <c r="TDG13" s="21"/>
      <c r="TDH13" s="21"/>
      <c r="TDI13" s="21"/>
      <c r="TDJ13" s="21"/>
      <c r="TDK13" s="21"/>
      <c r="TDL13" s="21"/>
      <c r="TDM13" s="21"/>
      <c r="TDN13" s="21"/>
      <c r="TDO13" s="21"/>
      <c r="TDP13" s="21"/>
      <c r="TDQ13" s="21"/>
      <c r="TDR13" s="21"/>
      <c r="TDS13" s="21"/>
      <c r="TDT13" s="21"/>
      <c r="TDU13" s="21"/>
      <c r="TDV13" s="21"/>
      <c r="TDW13" s="21"/>
      <c r="TDX13" s="21"/>
      <c r="TDY13" s="21"/>
      <c r="TDZ13" s="21"/>
      <c r="TEA13" s="21"/>
      <c r="TEB13" s="21"/>
      <c r="TEC13" s="21"/>
      <c r="TED13" s="21"/>
      <c r="TEE13" s="21"/>
      <c r="TEF13" s="21"/>
      <c r="TEG13" s="21"/>
      <c r="TEH13" s="21"/>
      <c r="TEI13" s="21"/>
      <c r="TEJ13" s="21"/>
      <c r="TEK13" s="21"/>
      <c r="TEL13" s="21"/>
      <c r="TEM13" s="21"/>
      <c r="TEN13" s="21"/>
      <c r="TEO13" s="21"/>
      <c r="TEP13" s="21"/>
      <c r="TEQ13" s="21"/>
      <c r="TER13" s="21"/>
      <c r="TES13" s="21"/>
      <c r="TET13" s="21"/>
      <c r="TEU13" s="21"/>
      <c r="TEV13" s="21"/>
      <c r="TEW13" s="21"/>
      <c r="TEX13" s="21"/>
      <c r="TEY13" s="21"/>
      <c r="TEZ13" s="21"/>
      <c r="TFA13" s="21"/>
      <c r="TFB13" s="21"/>
      <c r="TFC13" s="21"/>
      <c r="TFD13" s="21"/>
      <c r="TFE13" s="21"/>
      <c r="TFF13" s="21"/>
      <c r="TFG13" s="21"/>
      <c r="TFH13" s="21"/>
      <c r="TFI13" s="21"/>
      <c r="TFJ13" s="21"/>
      <c r="TFK13" s="21"/>
      <c r="TFL13" s="21"/>
      <c r="TFM13" s="21"/>
      <c r="TFN13" s="21"/>
      <c r="TFO13" s="21"/>
      <c r="TFP13" s="21"/>
      <c r="TFQ13" s="21"/>
      <c r="TFR13" s="21"/>
      <c r="TFS13" s="21"/>
      <c r="TFT13" s="21"/>
      <c r="TFU13" s="21"/>
      <c r="TFV13" s="21"/>
      <c r="TFW13" s="21"/>
      <c r="TFX13" s="21"/>
      <c r="TFY13" s="21"/>
      <c r="TFZ13" s="21"/>
      <c r="TGA13" s="21"/>
      <c r="TGB13" s="21"/>
      <c r="TGC13" s="21"/>
      <c r="TGD13" s="21"/>
      <c r="TGE13" s="21"/>
      <c r="TGF13" s="21"/>
      <c r="TGG13" s="21"/>
      <c r="TGH13" s="21"/>
      <c r="TGI13" s="21"/>
      <c r="TGJ13" s="21"/>
      <c r="TGK13" s="21"/>
      <c r="TGL13" s="21"/>
      <c r="TGM13" s="21"/>
      <c r="TGN13" s="21"/>
      <c r="TGO13" s="21"/>
      <c r="TGP13" s="21"/>
      <c r="TGQ13" s="21"/>
      <c r="TGR13" s="21"/>
      <c r="TGS13" s="21"/>
      <c r="TGT13" s="21"/>
      <c r="TGU13" s="21"/>
      <c r="TGV13" s="21"/>
      <c r="TGW13" s="21"/>
      <c r="TGX13" s="21"/>
      <c r="TGY13" s="21"/>
      <c r="TGZ13" s="21"/>
      <c r="THA13" s="21"/>
      <c r="THB13" s="21"/>
      <c r="THC13" s="21"/>
      <c r="THD13" s="21"/>
      <c r="THE13" s="21"/>
      <c r="THF13" s="21"/>
      <c r="THG13" s="21"/>
      <c r="THH13" s="21"/>
      <c r="THI13" s="21"/>
      <c r="THJ13" s="21"/>
      <c r="THK13" s="21"/>
      <c r="THL13" s="21"/>
      <c r="THM13" s="21"/>
      <c r="THN13" s="21"/>
      <c r="THO13" s="21"/>
      <c r="THP13" s="21"/>
      <c r="THQ13" s="21"/>
      <c r="THR13" s="21"/>
      <c r="THS13" s="21"/>
      <c r="THT13" s="21"/>
      <c r="THU13" s="21"/>
      <c r="THV13" s="21"/>
      <c r="THW13" s="21"/>
      <c r="THX13" s="21"/>
      <c r="THY13" s="21"/>
      <c r="THZ13" s="21"/>
      <c r="TIA13" s="21"/>
      <c r="TIB13" s="21"/>
      <c r="TIC13" s="21"/>
      <c r="TID13" s="21"/>
      <c r="TIE13" s="21"/>
      <c r="TIF13" s="21"/>
      <c r="TIG13" s="21"/>
      <c r="TIH13" s="21"/>
      <c r="TII13" s="21"/>
      <c r="TIJ13" s="21"/>
      <c r="TIK13" s="21"/>
      <c r="TIL13" s="21"/>
      <c r="TIM13" s="21"/>
      <c r="TIN13" s="21"/>
      <c r="TIO13" s="21"/>
      <c r="TIP13" s="21"/>
      <c r="TIQ13" s="21"/>
      <c r="TIR13" s="21"/>
      <c r="TIS13" s="21"/>
      <c r="TIT13" s="21"/>
      <c r="TIU13" s="21"/>
      <c r="TIV13" s="21"/>
      <c r="TIW13" s="21"/>
      <c r="TIX13" s="21"/>
      <c r="TIY13" s="21"/>
      <c r="TIZ13" s="21"/>
      <c r="TJA13" s="21"/>
      <c r="TJB13" s="21"/>
      <c r="TJC13" s="21"/>
      <c r="TJD13" s="21"/>
      <c r="TJE13" s="21"/>
      <c r="TJF13" s="21"/>
      <c r="TJG13" s="21"/>
      <c r="TJH13" s="21"/>
      <c r="TJI13" s="21"/>
      <c r="TJJ13" s="21"/>
      <c r="TJK13" s="21"/>
      <c r="TJL13" s="21"/>
      <c r="TJM13" s="21"/>
      <c r="TJN13" s="21"/>
      <c r="TJO13" s="21"/>
      <c r="TJP13" s="21"/>
      <c r="TJQ13" s="21"/>
      <c r="TJR13" s="21"/>
      <c r="TJS13" s="21"/>
      <c r="TJT13" s="21"/>
      <c r="TJU13" s="21"/>
      <c r="TJV13" s="21"/>
      <c r="TJW13" s="21"/>
      <c r="TJX13" s="21"/>
      <c r="TJY13" s="21"/>
      <c r="TJZ13" s="21"/>
      <c r="TKA13" s="21"/>
      <c r="TKB13" s="21"/>
      <c r="TKC13" s="21"/>
      <c r="TKD13" s="21"/>
      <c r="TKE13" s="21"/>
      <c r="TKF13" s="21"/>
      <c r="TKG13" s="21"/>
      <c r="TKH13" s="21"/>
      <c r="TKI13" s="21"/>
      <c r="TKJ13" s="21"/>
      <c r="TKK13" s="21"/>
      <c r="TKL13" s="21"/>
      <c r="TKM13" s="21"/>
      <c r="TKN13" s="21"/>
      <c r="TKO13" s="21"/>
      <c r="TKP13" s="21"/>
      <c r="TKQ13" s="21"/>
      <c r="TKR13" s="21"/>
      <c r="TKS13" s="21"/>
      <c r="TKT13" s="21"/>
      <c r="TKU13" s="21"/>
      <c r="TKV13" s="21"/>
      <c r="TKW13" s="21"/>
      <c r="TKX13" s="21"/>
      <c r="TKY13" s="21"/>
      <c r="TKZ13" s="21"/>
      <c r="TLA13" s="21"/>
      <c r="TLB13" s="21"/>
      <c r="TLC13" s="21"/>
      <c r="TLD13" s="21"/>
      <c r="TLE13" s="21"/>
      <c r="TLF13" s="21"/>
      <c r="TLG13" s="21"/>
      <c r="TLH13" s="21"/>
      <c r="TLI13" s="21"/>
      <c r="TLJ13" s="21"/>
      <c r="TLK13" s="21"/>
      <c r="TLL13" s="21"/>
      <c r="TLM13" s="21"/>
      <c r="TLN13" s="21"/>
      <c r="TLO13" s="21"/>
      <c r="TLP13" s="21"/>
      <c r="TLQ13" s="21"/>
      <c r="TLR13" s="21"/>
      <c r="TLS13" s="21"/>
      <c r="TLT13" s="21"/>
      <c r="TLU13" s="21"/>
      <c r="TLV13" s="21"/>
      <c r="TLW13" s="21"/>
      <c r="TLX13" s="21"/>
      <c r="TLY13" s="21"/>
      <c r="TLZ13" s="21"/>
      <c r="TMA13" s="21"/>
      <c r="TMB13" s="21"/>
      <c r="TMC13" s="21"/>
      <c r="TMD13" s="21"/>
      <c r="TME13" s="21"/>
      <c r="TMF13" s="21"/>
      <c r="TMG13" s="21"/>
      <c r="TMH13" s="21"/>
      <c r="TMI13" s="21"/>
      <c r="TMJ13" s="21"/>
      <c r="TMK13" s="21"/>
      <c r="TML13" s="21"/>
      <c r="TMM13" s="21"/>
      <c r="TMN13" s="21"/>
      <c r="TMO13" s="21"/>
      <c r="TMP13" s="21"/>
      <c r="TMQ13" s="21"/>
      <c r="TMR13" s="21"/>
      <c r="TMS13" s="21"/>
      <c r="TMT13" s="21"/>
      <c r="TMU13" s="21"/>
      <c r="TMV13" s="21"/>
      <c r="TMW13" s="21"/>
      <c r="TMX13" s="21"/>
      <c r="TMY13" s="21"/>
      <c r="TMZ13" s="21"/>
      <c r="TNA13" s="21"/>
      <c r="TNB13" s="21"/>
      <c r="TNC13" s="21"/>
      <c r="TND13" s="21"/>
      <c r="TNE13" s="21"/>
      <c r="TNF13" s="21"/>
      <c r="TNG13" s="21"/>
      <c r="TNH13" s="21"/>
      <c r="TNI13" s="21"/>
      <c r="TNJ13" s="21"/>
      <c r="TNK13" s="21"/>
      <c r="TNL13" s="21"/>
      <c r="TNM13" s="21"/>
      <c r="TNN13" s="21"/>
      <c r="TNO13" s="21"/>
      <c r="TNP13" s="21"/>
      <c r="TNQ13" s="21"/>
      <c r="TNR13" s="21"/>
      <c r="TNS13" s="21"/>
      <c r="TNT13" s="21"/>
      <c r="TNU13" s="21"/>
      <c r="TNV13" s="21"/>
      <c r="TNW13" s="21"/>
      <c r="TNX13" s="21"/>
      <c r="TNY13" s="21"/>
      <c r="TNZ13" s="21"/>
      <c r="TOA13" s="21"/>
      <c r="TOB13" s="21"/>
      <c r="TOC13" s="21"/>
      <c r="TOD13" s="21"/>
      <c r="TOE13" s="21"/>
      <c r="TOF13" s="21"/>
      <c r="TOG13" s="21"/>
      <c r="TOH13" s="21"/>
      <c r="TOI13" s="21"/>
      <c r="TOJ13" s="21"/>
      <c r="TOK13" s="21"/>
      <c r="TOL13" s="21"/>
      <c r="TOM13" s="21"/>
      <c r="TON13" s="21"/>
      <c r="TOO13" s="21"/>
      <c r="TOP13" s="21"/>
      <c r="TOQ13" s="21"/>
      <c r="TOR13" s="21"/>
      <c r="TOS13" s="21"/>
      <c r="TOT13" s="21"/>
      <c r="TOU13" s="21"/>
      <c r="TOV13" s="21"/>
      <c r="TOW13" s="21"/>
      <c r="TOX13" s="21"/>
      <c r="TOY13" s="21"/>
      <c r="TOZ13" s="21"/>
      <c r="TPA13" s="21"/>
      <c r="TPB13" s="21"/>
      <c r="TPC13" s="21"/>
      <c r="TPD13" s="21"/>
      <c r="TPE13" s="21"/>
      <c r="TPF13" s="21"/>
      <c r="TPG13" s="21"/>
      <c r="TPH13" s="21"/>
      <c r="TPI13" s="21"/>
      <c r="TPJ13" s="21"/>
      <c r="TPK13" s="21"/>
      <c r="TPL13" s="21"/>
      <c r="TPM13" s="21"/>
      <c r="TPN13" s="21"/>
      <c r="TPO13" s="21"/>
      <c r="TPP13" s="21"/>
      <c r="TPQ13" s="21"/>
      <c r="TPR13" s="21"/>
      <c r="TPS13" s="21"/>
      <c r="TPT13" s="21"/>
      <c r="TPU13" s="21"/>
      <c r="TPV13" s="21"/>
      <c r="TPW13" s="21"/>
      <c r="TPX13" s="21"/>
      <c r="TPY13" s="21"/>
      <c r="TPZ13" s="21"/>
      <c r="TQA13" s="21"/>
      <c r="TQB13" s="21"/>
      <c r="TQC13" s="21"/>
      <c r="TQD13" s="21"/>
      <c r="TQE13" s="21"/>
      <c r="TQF13" s="21"/>
      <c r="TQG13" s="21"/>
      <c r="TQH13" s="21"/>
      <c r="TQI13" s="21"/>
      <c r="TQJ13" s="21"/>
      <c r="TQK13" s="21"/>
      <c r="TQL13" s="21"/>
      <c r="TQM13" s="21"/>
      <c r="TQN13" s="21"/>
      <c r="TQO13" s="21"/>
      <c r="TQP13" s="21"/>
      <c r="TQQ13" s="21"/>
      <c r="TQR13" s="21"/>
      <c r="TQS13" s="21"/>
      <c r="TQT13" s="21"/>
      <c r="TQU13" s="21"/>
      <c r="TQV13" s="21"/>
      <c r="TQW13" s="21"/>
      <c r="TQX13" s="21"/>
      <c r="TQY13" s="21"/>
      <c r="TQZ13" s="21"/>
      <c r="TRA13" s="21"/>
      <c r="TRB13" s="21"/>
      <c r="TRC13" s="21"/>
      <c r="TRD13" s="21"/>
      <c r="TRE13" s="21"/>
      <c r="TRF13" s="21"/>
      <c r="TRG13" s="21"/>
      <c r="TRH13" s="21"/>
      <c r="TRI13" s="21"/>
      <c r="TRJ13" s="21"/>
      <c r="TRK13" s="21"/>
      <c r="TRL13" s="21"/>
      <c r="TRM13" s="21"/>
      <c r="TRN13" s="21"/>
      <c r="TRO13" s="21"/>
      <c r="TRP13" s="21"/>
      <c r="TRQ13" s="21"/>
      <c r="TRR13" s="21"/>
      <c r="TRS13" s="21"/>
      <c r="TRT13" s="21"/>
      <c r="TRU13" s="21"/>
      <c r="TRV13" s="21"/>
      <c r="TRW13" s="21"/>
      <c r="TRX13" s="21"/>
      <c r="TRY13" s="21"/>
      <c r="TRZ13" s="21"/>
      <c r="TSA13" s="21"/>
      <c r="TSB13" s="21"/>
      <c r="TSC13" s="21"/>
      <c r="TSD13" s="21"/>
      <c r="TSE13" s="21"/>
      <c r="TSF13" s="21"/>
      <c r="TSG13" s="21"/>
      <c r="TSH13" s="21"/>
      <c r="TSI13" s="21"/>
      <c r="TSJ13" s="21"/>
      <c r="TSK13" s="21"/>
      <c r="TSL13" s="21"/>
      <c r="TSM13" s="21"/>
      <c r="TSN13" s="21"/>
      <c r="TSO13" s="21"/>
      <c r="TSP13" s="21"/>
      <c r="TSQ13" s="21"/>
      <c r="TSR13" s="21"/>
      <c r="TSS13" s="21"/>
      <c r="TST13" s="21"/>
      <c r="TSU13" s="21"/>
      <c r="TSV13" s="21"/>
      <c r="TSW13" s="21"/>
      <c r="TSX13" s="21"/>
      <c r="TSY13" s="21"/>
      <c r="TSZ13" s="21"/>
      <c r="TTA13" s="21"/>
      <c r="TTB13" s="21"/>
      <c r="TTC13" s="21"/>
      <c r="TTD13" s="21"/>
      <c r="TTE13" s="21"/>
      <c r="TTF13" s="21"/>
      <c r="TTG13" s="21"/>
      <c r="TTH13" s="21"/>
      <c r="TTI13" s="21"/>
      <c r="TTJ13" s="21"/>
      <c r="TTK13" s="21"/>
      <c r="TTL13" s="21"/>
      <c r="TTM13" s="21"/>
      <c r="TTN13" s="21"/>
      <c r="TTO13" s="21"/>
      <c r="TTP13" s="21"/>
      <c r="TTQ13" s="21"/>
      <c r="TTR13" s="21"/>
      <c r="TTS13" s="21"/>
      <c r="TTT13" s="21"/>
      <c r="TTU13" s="21"/>
      <c r="TTV13" s="21"/>
      <c r="TTW13" s="21"/>
      <c r="TTX13" s="21"/>
      <c r="TTY13" s="21"/>
      <c r="TTZ13" s="21"/>
      <c r="TUA13" s="21"/>
      <c r="TUB13" s="21"/>
      <c r="TUC13" s="21"/>
      <c r="TUD13" s="21"/>
      <c r="TUE13" s="21"/>
      <c r="TUF13" s="21"/>
      <c r="TUG13" s="21"/>
      <c r="TUH13" s="21"/>
      <c r="TUI13" s="21"/>
      <c r="TUJ13" s="21"/>
      <c r="TUK13" s="21"/>
      <c r="TUL13" s="21"/>
      <c r="TUM13" s="21"/>
      <c r="TUN13" s="21"/>
      <c r="TUO13" s="21"/>
      <c r="TUP13" s="21"/>
      <c r="TUQ13" s="21"/>
      <c r="TUR13" s="21"/>
      <c r="TUS13" s="21"/>
      <c r="TUT13" s="21"/>
      <c r="TUU13" s="21"/>
      <c r="TUV13" s="21"/>
      <c r="TUW13" s="21"/>
      <c r="TUX13" s="21"/>
      <c r="TUY13" s="21"/>
      <c r="TUZ13" s="21"/>
      <c r="TVA13" s="21"/>
      <c r="TVB13" s="21"/>
      <c r="TVC13" s="21"/>
      <c r="TVD13" s="21"/>
      <c r="TVE13" s="21"/>
      <c r="TVF13" s="21"/>
      <c r="TVG13" s="21"/>
      <c r="TVH13" s="21"/>
      <c r="TVI13" s="21"/>
      <c r="TVJ13" s="21"/>
      <c r="TVK13" s="21"/>
      <c r="TVL13" s="21"/>
      <c r="TVM13" s="21"/>
      <c r="TVN13" s="21"/>
      <c r="TVO13" s="21"/>
      <c r="TVP13" s="21"/>
      <c r="TVQ13" s="21"/>
      <c r="TVR13" s="21"/>
      <c r="TVS13" s="21"/>
      <c r="TVT13" s="21"/>
      <c r="TVU13" s="21"/>
      <c r="TVV13" s="21"/>
      <c r="TVW13" s="21"/>
      <c r="TVX13" s="21"/>
      <c r="TVY13" s="21"/>
      <c r="TVZ13" s="21"/>
      <c r="TWA13" s="21"/>
      <c r="TWB13" s="21"/>
      <c r="TWC13" s="21"/>
      <c r="TWD13" s="21"/>
      <c r="TWE13" s="21"/>
      <c r="TWF13" s="21"/>
      <c r="TWG13" s="21"/>
      <c r="TWH13" s="21"/>
      <c r="TWI13" s="21"/>
      <c r="TWJ13" s="21"/>
      <c r="TWK13" s="21"/>
      <c r="TWL13" s="21"/>
      <c r="TWM13" s="21"/>
      <c r="TWN13" s="21"/>
      <c r="TWO13" s="21"/>
      <c r="TWP13" s="21"/>
      <c r="TWQ13" s="21"/>
      <c r="TWR13" s="21"/>
      <c r="TWS13" s="21"/>
      <c r="TWT13" s="21"/>
      <c r="TWU13" s="21"/>
      <c r="TWV13" s="21"/>
      <c r="TWW13" s="21"/>
      <c r="TWX13" s="21"/>
      <c r="TWY13" s="21"/>
      <c r="TWZ13" s="21"/>
      <c r="TXA13" s="21"/>
      <c r="TXB13" s="21"/>
      <c r="TXC13" s="21"/>
      <c r="TXD13" s="21"/>
      <c r="TXE13" s="21"/>
      <c r="TXF13" s="21"/>
      <c r="TXG13" s="21"/>
      <c r="TXH13" s="21"/>
      <c r="TXI13" s="21"/>
      <c r="TXJ13" s="21"/>
      <c r="TXK13" s="21"/>
      <c r="TXL13" s="21"/>
      <c r="TXM13" s="21"/>
      <c r="TXN13" s="21"/>
      <c r="TXO13" s="21"/>
      <c r="TXP13" s="21"/>
      <c r="TXQ13" s="21"/>
      <c r="TXR13" s="21"/>
      <c r="TXS13" s="21"/>
      <c r="TXT13" s="21"/>
      <c r="TXU13" s="21"/>
      <c r="TXV13" s="21"/>
      <c r="TXW13" s="21"/>
      <c r="TXX13" s="21"/>
      <c r="TXY13" s="21"/>
      <c r="TXZ13" s="21"/>
      <c r="TYA13" s="21"/>
      <c r="TYB13" s="21"/>
      <c r="TYC13" s="21"/>
      <c r="TYD13" s="21"/>
      <c r="TYE13" s="21"/>
      <c r="TYF13" s="21"/>
      <c r="TYG13" s="21"/>
      <c r="TYH13" s="21"/>
      <c r="TYI13" s="21"/>
      <c r="TYJ13" s="21"/>
      <c r="TYK13" s="21"/>
      <c r="TYL13" s="21"/>
      <c r="TYM13" s="21"/>
      <c r="TYN13" s="21"/>
      <c r="TYO13" s="21"/>
      <c r="TYP13" s="21"/>
      <c r="TYQ13" s="21"/>
      <c r="TYR13" s="21"/>
      <c r="TYS13" s="21"/>
      <c r="TYT13" s="21"/>
      <c r="TYU13" s="21"/>
      <c r="TYV13" s="21"/>
      <c r="TYW13" s="21"/>
      <c r="TYX13" s="21"/>
      <c r="TYY13" s="21"/>
      <c r="TYZ13" s="21"/>
      <c r="TZA13" s="21"/>
      <c r="TZB13" s="21"/>
      <c r="TZC13" s="21"/>
      <c r="TZD13" s="21"/>
      <c r="TZE13" s="21"/>
      <c r="TZF13" s="21"/>
      <c r="TZG13" s="21"/>
      <c r="TZH13" s="21"/>
      <c r="TZI13" s="21"/>
      <c r="TZJ13" s="21"/>
      <c r="TZK13" s="21"/>
      <c r="TZL13" s="21"/>
      <c r="TZM13" s="21"/>
      <c r="TZN13" s="21"/>
      <c r="TZO13" s="21"/>
      <c r="TZP13" s="21"/>
      <c r="TZQ13" s="21"/>
      <c r="TZR13" s="21"/>
      <c r="TZS13" s="21"/>
      <c r="TZT13" s="21"/>
      <c r="TZU13" s="21"/>
      <c r="TZV13" s="21"/>
      <c r="TZW13" s="21"/>
      <c r="TZX13" s="21"/>
      <c r="TZY13" s="21"/>
      <c r="TZZ13" s="21"/>
      <c r="UAA13" s="21"/>
      <c r="UAB13" s="21"/>
      <c r="UAC13" s="21"/>
      <c r="UAD13" s="21"/>
      <c r="UAE13" s="21"/>
      <c r="UAF13" s="21"/>
      <c r="UAG13" s="21"/>
      <c r="UAH13" s="21"/>
      <c r="UAI13" s="21"/>
      <c r="UAJ13" s="21"/>
      <c r="UAK13" s="21"/>
      <c r="UAL13" s="21"/>
      <c r="UAM13" s="21"/>
      <c r="UAN13" s="21"/>
      <c r="UAO13" s="21"/>
      <c r="UAP13" s="21"/>
      <c r="UAQ13" s="21"/>
      <c r="UAR13" s="21"/>
      <c r="UAS13" s="21"/>
      <c r="UAT13" s="21"/>
      <c r="UAU13" s="21"/>
      <c r="UAV13" s="21"/>
      <c r="UAW13" s="21"/>
      <c r="UAX13" s="21"/>
      <c r="UAY13" s="21"/>
      <c r="UAZ13" s="21"/>
      <c r="UBA13" s="21"/>
      <c r="UBB13" s="21"/>
      <c r="UBC13" s="21"/>
      <c r="UBD13" s="21"/>
      <c r="UBE13" s="21"/>
      <c r="UBF13" s="21"/>
      <c r="UBG13" s="21"/>
      <c r="UBH13" s="21"/>
      <c r="UBI13" s="21"/>
      <c r="UBJ13" s="21"/>
      <c r="UBK13" s="21"/>
      <c r="UBL13" s="21"/>
      <c r="UBM13" s="21"/>
      <c r="UBN13" s="21"/>
      <c r="UBO13" s="21"/>
      <c r="UBP13" s="21"/>
      <c r="UBQ13" s="21"/>
      <c r="UBR13" s="21"/>
      <c r="UBS13" s="21"/>
      <c r="UBT13" s="21"/>
      <c r="UBU13" s="21"/>
      <c r="UBV13" s="21"/>
      <c r="UBW13" s="21"/>
      <c r="UBX13" s="21"/>
      <c r="UBY13" s="21"/>
      <c r="UBZ13" s="21"/>
      <c r="UCA13" s="21"/>
      <c r="UCB13" s="21"/>
      <c r="UCC13" s="21"/>
      <c r="UCD13" s="21"/>
      <c r="UCE13" s="21"/>
      <c r="UCF13" s="21"/>
      <c r="UCG13" s="21"/>
      <c r="UCH13" s="21"/>
      <c r="UCI13" s="21"/>
      <c r="UCJ13" s="21"/>
      <c r="UCK13" s="21"/>
      <c r="UCL13" s="21"/>
      <c r="UCM13" s="21"/>
      <c r="UCN13" s="21"/>
      <c r="UCO13" s="21"/>
      <c r="UCP13" s="21"/>
      <c r="UCQ13" s="21"/>
      <c r="UCR13" s="21"/>
      <c r="UCS13" s="21"/>
      <c r="UCT13" s="21"/>
      <c r="UCU13" s="21"/>
      <c r="UCV13" s="21"/>
      <c r="UCW13" s="21"/>
      <c r="UCX13" s="21"/>
      <c r="UCY13" s="21"/>
      <c r="UCZ13" s="21"/>
      <c r="UDA13" s="21"/>
      <c r="UDB13" s="21"/>
      <c r="UDC13" s="21"/>
      <c r="UDD13" s="21"/>
      <c r="UDE13" s="21"/>
      <c r="UDF13" s="21"/>
      <c r="UDG13" s="21"/>
      <c r="UDH13" s="21"/>
      <c r="UDI13" s="21"/>
      <c r="UDJ13" s="21"/>
      <c r="UDK13" s="21"/>
      <c r="UDL13" s="21"/>
      <c r="UDM13" s="21"/>
      <c r="UDN13" s="21"/>
      <c r="UDO13" s="21"/>
      <c r="UDP13" s="21"/>
      <c r="UDQ13" s="21"/>
      <c r="UDR13" s="21"/>
      <c r="UDS13" s="21"/>
      <c r="UDT13" s="21"/>
      <c r="UDU13" s="21"/>
      <c r="UDV13" s="21"/>
      <c r="UDW13" s="21"/>
      <c r="UDX13" s="21"/>
      <c r="UDY13" s="21"/>
      <c r="UDZ13" s="21"/>
      <c r="UEA13" s="21"/>
      <c r="UEB13" s="21"/>
      <c r="UEC13" s="21"/>
      <c r="UED13" s="21"/>
      <c r="UEE13" s="21"/>
      <c r="UEF13" s="21"/>
      <c r="UEG13" s="21"/>
      <c r="UEH13" s="21"/>
      <c r="UEI13" s="21"/>
      <c r="UEJ13" s="21"/>
      <c r="UEK13" s="21"/>
      <c r="UEL13" s="21"/>
      <c r="UEM13" s="21"/>
      <c r="UEN13" s="21"/>
      <c r="UEO13" s="21"/>
      <c r="UEP13" s="21"/>
      <c r="UEQ13" s="21"/>
      <c r="UER13" s="21"/>
      <c r="UES13" s="21"/>
      <c r="UET13" s="21"/>
      <c r="UEU13" s="21"/>
      <c r="UEV13" s="21"/>
      <c r="UEW13" s="21"/>
      <c r="UEX13" s="21"/>
      <c r="UEY13" s="21"/>
      <c r="UEZ13" s="21"/>
      <c r="UFA13" s="21"/>
      <c r="UFB13" s="21"/>
      <c r="UFC13" s="21"/>
      <c r="UFD13" s="21"/>
      <c r="UFE13" s="21"/>
      <c r="UFF13" s="21"/>
      <c r="UFG13" s="21"/>
      <c r="UFH13" s="21"/>
      <c r="UFI13" s="21"/>
      <c r="UFJ13" s="21"/>
      <c r="UFK13" s="21"/>
      <c r="UFL13" s="21"/>
      <c r="UFM13" s="21"/>
      <c r="UFN13" s="21"/>
      <c r="UFO13" s="21"/>
      <c r="UFP13" s="21"/>
      <c r="UFQ13" s="21"/>
      <c r="UFR13" s="21"/>
      <c r="UFS13" s="21"/>
      <c r="UFT13" s="21"/>
      <c r="UFU13" s="21"/>
      <c r="UFV13" s="21"/>
      <c r="UFW13" s="21"/>
      <c r="UFX13" s="21"/>
      <c r="UFY13" s="21"/>
      <c r="UFZ13" s="21"/>
      <c r="UGA13" s="21"/>
      <c r="UGB13" s="21"/>
      <c r="UGC13" s="21"/>
      <c r="UGD13" s="21"/>
      <c r="UGE13" s="21"/>
      <c r="UGF13" s="21"/>
      <c r="UGG13" s="21"/>
      <c r="UGH13" s="21"/>
      <c r="UGI13" s="21"/>
      <c r="UGJ13" s="21"/>
      <c r="UGK13" s="21"/>
      <c r="UGL13" s="21"/>
      <c r="UGM13" s="21"/>
      <c r="UGN13" s="21"/>
      <c r="UGO13" s="21"/>
      <c r="UGP13" s="21"/>
      <c r="UGQ13" s="21"/>
      <c r="UGR13" s="21"/>
      <c r="UGS13" s="21"/>
      <c r="UGT13" s="21"/>
      <c r="UGU13" s="21"/>
      <c r="UGV13" s="21"/>
      <c r="UGW13" s="21"/>
      <c r="UGX13" s="21"/>
      <c r="UGY13" s="21"/>
      <c r="UGZ13" s="21"/>
      <c r="UHA13" s="21"/>
      <c r="UHB13" s="21"/>
      <c r="UHC13" s="21"/>
      <c r="UHD13" s="21"/>
      <c r="UHE13" s="21"/>
      <c r="UHF13" s="21"/>
      <c r="UHG13" s="21"/>
      <c r="UHH13" s="21"/>
      <c r="UHI13" s="21"/>
      <c r="UHJ13" s="21"/>
      <c r="UHK13" s="21"/>
      <c r="UHL13" s="21"/>
      <c r="UHM13" s="21"/>
      <c r="UHN13" s="21"/>
      <c r="UHO13" s="21"/>
      <c r="UHP13" s="21"/>
      <c r="UHQ13" s="21"/>
      <c r="UHR13" s="21"/>
      <c r="UHS13" s="21"/>
      <c r="UHT13" s="21"/>
      <c r="UHU13" s="21"/>
      <c r="UHV13" s="21"/>
      <c r="UHW13" s="21"/>
      <c r="UHX13" s="21"/>
      <c r="UHY13" s="21"/>
      <c r="UHZ13" s="21"/>
      <c r="UIA13" s="21"/>
      <c r="UIB13" s="21"/>
      <c r="UIC13" s="21"/>
      <c r="UID13" s="21"/>
      <c r="UIE13" s="21"/>
      <c r="UIF13" s="21"/>
      <c r="UIG13" s="21"/>
      <c r="UIH13" s="21"/>
      <c r="UII13" s="21"/>
      <c r="UIJ13" s="21"/>
      <c r="UIK13" s="21"/>
      <c r="UIL13" s="21"/>
      <c r="UIM13" s="21"/>
      <c r="UIN13" s="21"/>
      <c r="UIO13" s="21"/>
      <c r="UIP13" s="21"/>
      <c r="UIQ13" s="21"/>
      <c r="UIR13" s="21"/>
      <c r="UIS13" s="21"/>
      <c r="UIT13" s="21"/>
      <c r="UIU13" s="21"/>
      <c r="UIV13" s="21"/>
      <c r="UIW13" s="21"/>
      <c r="UIX13" s="21"/>
      <c r="UIY13" s="21"/>
      <c r="UIZ13" s="21"/>
      <c r="UJA13" s="21"/>
      <c r="UJB13" s="21"/>
      <c r="UJC13" s="21"/>
      <c r="UJD13" s="21"/>
      <c r="UJE13" s="21"/>
      <c r="UJF13" s="21"/>
      <c r="UJG13" s="21"/>
      <c r="UJH13" s="21"/>
      <c r="UJI13" s="21"/>
      <c r="UJJ13" s="21"/>
      <c r="UJK13" s="21"/>
      <c r="UJL13" s="21"/>
      <c r="UJM13" s="21"/>
      <c r="UJN13" s="21"/>
      <c r="UJO13" s="21"/>
      <c r="UJP13" s="21"/>
      <c r="UJQ13" s="21"/>
      <c r="UJR13" s="21"/>
      <c r="UJS13" s="21"/>
      <c r="UJT13" s="21"/>
      <c r="UJU13" s="21"/>
      <c r="UJV13" s="21"/>
      <c r="UJW13" s="21"/>
      <c r="UJX13" s="21"/>
      <c r="UJY13" s="21"/>
      <c r="UJZ13" s="21"/>
      <c r="UKA13" s="21"/>
      <c r="UKB13" s="21"/>
      <c r="UKC13" s="21"/>
      <c r="UKD13" s="21"/>
      <c r="UKE13" s="21"/>
      <c r="UKF13" s="21"/>
      <c r="UKG13" s="21"/>
      <c r="UKH13" s="21"/>
      <c r="UKI13" s="21"/>
      <c r="UKJ13" s="21"/>
      <c r="UKK13" s="21"/>
      <c r="UKL13" s="21"/>
      <c r="UKM13" s="21"/>
      <c r="UKN13" s="21"/>
      <c r="UKO13" s="21"/>
      <c r="UKP13" s="21"/>
      <c r="UKQ13" s="21"/>
      <c r="UKR13" s="21"/>
      <c r="UKS13" s="21"/>
      <c r="UKT13" s="21"/>
      <c r="UKU13" s="21"/>
      <c r="UKV13" s="21"/>
      <c r="UKW13" s="21"/>
      <c r="UKX13" s="21"/>
      <c r="UKY13" s="21"/>
      <c r="UKZ13" s="21"/>
      <c r="ULA13" s="21"/>
      <c r="ULB13" s="21"/>
      <c r="ULC13" s="21"/>
      <c r="ULD13" s="21"/>
      <c r="ULE13" s="21"/>
      <c r="ULF13" s="21"/>
      <c r="ULG13" s="21"/>
      <c r="ULH13" s="21"/>
      <c r="ULI13" s="21"/>
      <c r="ULJ13" s="21"/>
      <c r="ULK13" s="21"/>
      <c r="ULL13" s="21"/>
      <c r="ULM13" s="21"/>
      <c r="ULN13" s="21"/>
      <c r="ULO13" s="21"/>
      <c r="ULP13" s="21"/>
      <c r="ULQ13" s="21"/>
      <c r="ULR13" s="21"/>
      <c r="ULS13" s="21"/>
      <c r="ULT13" s="21"/>
      <c r="ULU13" s="21"/>
      <c r="ULV13" s="21"/>
      <c r="ULW13" s="21"/>
      <c r="ULX13" s="21"/>
      <c r="ULY13" s="21"/>
      <c r="ULZ13" s="21"/>
      <c r="UMA13" s="21"/>
      <c r="UMB13" s="21"/>
      <c r="UMC13" s="21"/>
      <c r="UMD13" s="21"/>
      <c r="UME13" s="21"/>
      <c r="UMF13" s="21"/>
      <c r="UMG13" s="21"/>
      <c r="UMH13" s="21"/>
      <c r="UMI13" s="21"/>
      <c r="UMJ13" s="21"/>
      <c r="UMK13" s="21"/>
      <c r="UML13" s="21"/>
      <c r="UMM13" s="21"/>
      <c r="UMN13" s="21"/>
      <c r="UMO13" s="21"/>
      <c r="UMP13" s="21"/>
      <c r="UMQ13" s="21"/>
      <c r="UMR13" s="21"/>
      <c r="UMS13" s="21"/>
      <c r="UMT13" s="21"/>
      <c r="UMU13" s="21"/>
      <c r="UMV13" s="21"/>
      <c r="UMW13" s="21"/>
      <c r="UMX13" s="21"/>
      <c r="UMY13" s="21"/>
      <c r="UMZ13" s="21"/>
      <c r="UNA13" s="21"/>
      <c r="UNB13" s="21"/>
      <c r="UNC13" s="21"/>
      <c r="UND13" s="21"/>
      <c r="UNE13" s="21"/>
      <c r="UNF13" s="21"/>
      <c r="UNG13" s="21"/>
      <c r="UNH13" s="21"/>
      <c r="UNI13" s="21"/>
      <c r="UNJ13" s="21"/>
      <c r="UNK13" s="21"/>
      <c r="UNL13" s="21"/>
      <c r="UNM13" s="21"/>
      <c r="UNN13" s="21"/>
      <c r="UNO13" s="21"/>
      <c r="UNP13" s="21"/>
      <c r="UNQ13" s="21"/>
      <c r="UNR13" s="21"/>
      <c r="UNS13" s="21"/>
      <c r="UNT13" s="21"/>
      <c r="UNU13" s="21"/>
      <c r="UNV13" s="21"/>
      <c r="UNW13" s="21"/>
      <c r="UNX13" s="21"/>
      <c r="UNY13" s="21"/>
      <c r="UNZ13" s="21"/>
      <c r="UOA13" s="21"/>
      <c r="UOB13" s="21"/>
      <c r="UOC13" s="21"/>
      <c r="UOD13" s="21"/>
      <c r="UOE13" s="21"/>
      <c r="UOF13" s="21"/>
      <c r="UOG13" s="21"/>
      <c r="UOH13" s="21"/>
      <c r="UOI13" s="21"/>
      <c r="UOJ13" s="21"/>
      <c r="UOK13" s="21"/>
      <c r="UOL13" s="21"/>
      <c r="UOM13" s="21"/>
      <c r="UON13" s="21"/>
      <c r="UOO13" s="21"/>
      <c r="UOP13" s="21"/>
      <c r="UOQ13" s="21"/>
      <c r="UOR13" s="21"/>
      <c r="UOS13" s="21"/>
      <c r="UOT13" s="21"/>
      <c r="UOU13" s="21"/>
      <c r="UOV13" s="21"/>
      <c r="UOW13" s="21"/>
      <c r="UOX13" s="21"/>
      <c r="UOY13" s="21"/>
      <c r="UOZ13" s="21"/>
      <c r="UPA13" s="21"/>
      <c r="UPB13" s="21"/>
      <c r="UPC13" s="21"/>
      <c r="UPD13" s="21"/>
      <c r="UPE13" s="21"/>
      <c r="UPF13" s="21"/>
      <c r="UPG13" s="21"/>
      <c r="UPH13" s="21"/>
      <c r="UPI13" s="21"/>
      <c r="UPJ13" s="21"/>
      <c r="UPK13" s="21"/>
      <c r="UPL13" s="21"/>
      <c r="UPM13" s="21"/>
      <c r="UPN13" s="21"/>
      <c r="UPO13" s="21"/>
      <c r="UPP13" s="21"/>
      <c r="UPQ13" s="21"/>
      <c r="UPR13" s="21"/>
      <c r="UPS13" s="21"/>
      <c r="UPT13" s="21"/>
      <c r="UPU13" s="21"/>
      <c r="UPV13" s="21"/>
      <c r="UPW13" s="21"/>
      <c r="UPX13" s="21"/>
      <c r="UPY13" s="21"/>
      <c r="UPZ13" s="21"/>
      <c r="UQA13" s="21"/>
      <c r="UQB13" s="21"/>
      <c r="UQC13" s="21"/>
      <c r="UQD13" s="21"/>
      <c r="UQE13" s="21"/>
      <c r="UQF13" s="21"/>
      <c r="UQG13" s="21"/>
      <c r="UQH13" s="21"/>
      <c r="UQI13" s="21"/>
      <c r="UQJ13" s="21"/>
      <c r="UQK13" s="21"/>
      <c r="UQL13" s="21"/>
      <c r="UQM13" s="21"/>
      <c r="UQN13" s="21"/>
      <c r="UQO13" s="21"/>
      <c r="UQP13" s="21"/>
      <c r="UQQ13" s="21"/>
      <c r="UQR13" s="21"/>
      <c r="UQS13" s="21"/>
      <c r="UQT13" s="21"/>
      <c r="UQU13" s="21"/>
      <c r="UQV13" s="21"/>
      <c r="UQW13" s="21"/>
      <c r="UQX13" s="21"/>
      <c r="UQY13" s="21"/>
      <c r="UQZ13" s="21"/>
      <c r="URA13" s="21"/>
      <c r="URB13" s="21"/>
      <c r="URC13" s="21"/>
      <c r="URD13" s="21"/>
      <c r="URE13" s="21"/>
      <c r="URF13" s="21"/>
      <c r="URG13" s="21"/>
      <c r="URH13" s="21"/>
      <c r="URI13" s="21"/>
      <c r="URJ13" s="21"/>
      <c r="URK13" s="21"/>
      <c r="URL13" s="21"/>
      <c r="URM13" s="21"/>
      <c r="URN13" s="21"/>
      <c r="URO13" s="21"/>
      <c r="URP13" s="21"/>
      <c r="URQ13" s="21"/>
      <c r="URR13" s="21"/>
      <c r="URS13" s="21"/>
      <c r="URT13" s="21"/>
      <c r="URU13" s="21"/>
      <c r="URV13" s="21"/>
      <c r="URW13" s="21"/>
      <c r="URX13" s="21"/>
      <c r="URY13" s="21"/>
      <c r="URZ13" s="21"/>
      <c r="USA13" s="21"/>
      <c r="USB13" s="21"/>
      <c r="USC13" s="21"/>
      <c r="USD13" s="21"/>
      <c r="USE13" s="21"/>
      <c r="USF13" s="21"/>
      <c r="USG13" s="21"/>
      <c r="USH13" s="21"/>
      <c r="USI13" s="21"/>
      <c r="USJ13" s="21"/>
      <c r="USK13" s="21"/>
      <c r="USL13" s="21"/>
      <c r="USM13" s="21"/>
      <c r="USN13" s="21"/>
      <c r="USO13" s="21"/>
      <c r="USP13" s="21"/>
      <c r="USQ13" s="21"/>
      <c r="USR13" s="21"/>
      <c r="USS13" s="21"/>
      <c r="UST13" s="21"/>
      <c r="USU13" s="21"/>
      <c r="USV13" s="21"/>
      <c r="USW13" s="21"/>
      <c r="USX13" s="21"/>
      <c r="USY13" s="21"/>
      <c r="USZ13" s="21"/>
      <c r="UTA13" s="21"/>
      <c r="UTB13" s="21"/>
      <c r="UTC13" s="21"/>
      <c r="UTD13" s="21"/>
      <c r="UTE13" s="21"/>
      <c r="UTF13" s="21"/>
      <c r="UTG13" s="21"/>
      <c r="UTH13" s="21"/>
      <c r="UTI13" s="21"/>
      <c r="UTJ13" s="21"/>
      <c r="UTK13" s="21"/>
      <c r="UTL13" s="21"/>
      <c r="UTM13" s="21"/>
      <c r="UTN13" s="21"/>
      <c r="UTO13" s="21"/>
      <c r="UTP13" s="21"/>
      <c r="UTQ13" s="21"/>
      <c r="UTR13" s="21"/>
      <c r="UTS13" s="21"/>
      <c r="UTT13" s="21"/>
      <c r="UTU13" s="21"/>
      <c r="UTV13" s="21"/>
      <c r="UTW13" s="21"/>
      <c r="UTX13" s="21"/>
      <c r="UTY13" s="21"/>
      <c r="UTZ13" s="21"/>
      <c r="UUA13" s="21"/>
      <c r="UUB13" s="21"/>
      <c r="UUC13" s="21"/>
      <c r="UUD13" s="21"/>
      <c r="UUE13" s="21"/>
      <c r="UUF13" s="21"/>
      <c r="UUG13" s="21"/>
      <c r="UUH13" s="21"/>
      <c r="UUI13" s="21"/>
      <c r="UUJ13" s="21"/>
      <c r="UUK13" s="21"/>
      <c r="UUL13" s="21"/>
      <c r="UUM13" s="21"/>
      <c r="UUN13" s="21"/>
      <c r="UUO13" s="21"/>
      <c r="UUP13" s="21"/>
      <c r="UUQ13" s="21"/>
      <c r="UUR13" s="21"/>
      <c r="UUS13" s="21"/>
      <c r="UUT13" s="21"/>
      <c r="UUU13" s="21"/>
      <c r="UUV13" s="21"/>
      <c r="UUW13" s="21"/>
      <c r="UUX13" s="21"/>
      <c r="UUY13" s="21"/>
      <c r="UUZ13" s="21"/>
      <c r="UVA13" s="21"/>
      <c r="UVB13" s="21"/>
      <c r="UVC13" s="21"/>
      <c r="UVD13" s="21"/>
      <c r="UVE13" s="21"/>
      <c r="UVF13" s="21"/>
      <c r="UVG13" s="21"/>
      <c r="UVH13" s="21"/>
      <c r="UVI13" s="21"/>
      <c r="UVJ13" s="21"/>
      <c r="UVK13" s="21"/>
      <c r="UVL13" s="21"/>
      <c r="UVM13" s="21"/>
      <c r="UVN13" s="21"/>
      <c r="UVO13" s="21"/>
      <c r="UVP13" s="21"/>
      <c r="UVQ13" s="21"/>
      <c r="UVR13" s="21"/>
      <c r="UVS13" s="21"/>
      <c r="UVT13" s="21"/>
      <c r="UVU13" s="21"/>
      <c r="UVV13" s="21"/>
      <c r="UVW13" s="21"/>
      <c r="UVX13" s="21"/>
      <c r="UVY13" s="21"/>
      <c r="UVZ13" s="21"/>
      <c r="UWA13" s="21"/>
      <c r="UWB13" s="21"/>
      <c r="UWC13" s="21"/>
      <c r="UWD13" s="21"/>
      <c r="UWE13" s="21"/>
      <c r="UWF13" s="21"/>
      <c r="UWG13" s="21"/>
      <c r="UWH13" s="21"/>
      <c r="UWI13" s="21"/>
      <c r="UWJ13" s="21"/>
      <c r="UWK13" s="21"/>
      <c r="UWL13" s="21"/>
      <c r="UWM13" s="21"/>
      <c r="UWN13" s="21"/>
      <c r="UWO13" s="21"/>
      <c r="UWP13" s="21"/>
      <c r="UWQ13" s="21"/>
      <c r="UWR13" s="21"/>
      <c r="UWS13" s="21"/>
      <c r="UWT13" s="21"/>
      <c r="UWU13" s="21"/>
      <c r="UWV13" s="21"/>
      <c r="UWW13" s="21"/>
      <c r="UWX13" s="21"/>
      <c r="UWY13" s="21"/>
      <c r="UWZ13" s="21"/>
      <c r="UXA13" s="21"/>
      <c r="UXB13" s="21"/>
      <c r="UXC13" s="21"/>
      <c r="UXD13" s="21"/>
      <c r="UXE13" s="21"/>
      <c r="UXF13" s="21"/>
      <c r="UXG13" s="21"/>
      <c r="UXH13" s="21"/>
      <c r="UXI13" s="21"/>
      <c r="UXJ13" s="21"/>
      <c r="UXK13" s="21"/>
      <c r="UXL13" s="21"/>
      <c r="UXM13" s="21"/>
      <c r="UXN13" s="21"/>
      <c r="UXO13" s="21"/>
      <c r="UXP13" s="21"/>
      <c r="UXQ13" s="21"/>
      <c r="UXR13" s="21"/>
      <c r="UXS13" s="21"/>
      <c r="UXT13" s="21"/>
      <c r="UXU13" s="21"/>
      <c r="UXV13" s="21"/>
      <c r="UXW13" s="21"/>
      <c r="UXX13" s="21"/>
      <c r="UXY13" s="21"/>
      <c r="UXZ13" s="21"/>
      <c r="UYA13" s="21"/>
      <c r="UYB13" s="21"/>
      <c r="UYC13" s="21"/>
      <c r="UYD13" s="21"/>
      <c r="UYE13" s="21"/>
      <c r="UYF13" s="21"/>
      <c r="UYG13" s="21"/>
      <c r="UYH13" s="21"/>
      <c r="UYI13" s="21"/>
      <c r="UYJ13" s="21"/>
      <c r="UYK13" s="21"/>
      <c r="UYL13" s="21"/>
      <c r="UYM13" s="21"/>
      <c r="UYN13" s="21"/>
      <c r="UYO13" s="21"/>
      <c r="UYP13" s="21"/>
      <c r="UYQ13" s="21"/>
      <c r="UYR13" s="21"/>
      <c r="UYS13" s="21"/>
      <c r="UYT13" s="21"/>
      <c r="UYU13" s="21"/>
      <c r="UYV13" s="21"/>
      <c r="UYW13" s="21"/>
      <c r="UYX13" s="21"/>
      <c r="UYY13" s="21"/>
      <c r="UYZ13" s="21"/>
      <c r="UZA13" s="21"/>
      <c r="UZB13" s="21"/>
      <c r="UZC13" s="21"/>
      <c r="UZD13" s="21"/>
      <c r="UZE13" s="21"/>
      <c r="UZF13" s="21"/>
      <c r="UZG13" s="21"/>
      <c r="UZH13" s="21"/>
      <c r="UZI13" s="21"/>
      <c r="UZJ13" s="21"/>
      <c r="UZK13" s="21"/>
      <c r="UZL13" s="21"/>
      <c r="UZM13" s="21"/>
      <c r="UZN13" s="21"/>
      <c r="UZO13" s="21"/>
      <c r="UZP13" s="21"/>
      <c r="UZQ13" s="21"/>
      <c r="UZR13" s="21"/>
      <c r="UZS13" s="21"/>
      <c r="UZT13" s="21"/>
      <c r="UZU13" s="21"/>
      <c r="UZV13" s="21"/>
      <c r="UZW13" s="21"/>
      <c r="UZX13" s="21"/>
      <c r="UZY13" s="21"/>
      <c r="UZZ13" s="21"/>
      <c r="VAA13" s="21"/>
      <c r="VAB13" s="21"/>
      <c r="VAC13" s="21"/>
      <c r="VAD13" s="21"/>
      <c r="VAE13" s="21"/>
      <c r="VAF13" s="21"/>
      <c r="VAG13" s="21"/>
      <c r="VAH13" s="21"/>
      <c r="VAI13" s="21"/>
      <c r="VAJ13" s="21"/>
      <c r="VAK13" s="21"/>
      <c r="VAL13" s="21"/>
      <c r="VAM13" s="21"/>
      <c r="VAN13" s="21"/>
      <c r="VAO13" s="21"/>
      <c r="VAP13" s="21"/>
      <c r="VAQ13" s="21"/>
      <c r="VAR13" s="21"/>
      <c r="VAS13" s="21"/>
      <c r="VAT13" s="21"/>
      <c r="VAU13" s="21"/>
      <c r="VAV13" s="21"/>
      <c r="VAW13" s="21"/>
      <c r="VAX13" s="21"/>
      <c r="VAY13" s="21"/>
      <c r="VAZ13" s="21"/>
      <c r="VBA13" s="21"/>
      <c r="VBB13" s="21"/>
      <c r="VBC13" s="21"/>
      <c r="VBD13" s="21"/>
      <c r="VBE13" s="21"/>
      <c r="VBF13" s="21"/>
      <c r="VBG13" s="21"/>
      <c r="VBH13" s="21"/>
      <c r="VBI13" s="21"/>
      <c r="VBJ13" s="21"/>
      <c r="VBK13" s="21"/>
      <c r="VBL13" s="21"/>
      <c r="VBM13" s="21"/>
      <c r="VBN13" s="21"/>
      <c r="VBO13" s="21"/>
      <c r="VBP13" s="21"/>
      <c r="VBQ13" s="21"/>
      <c r="VBR13" s="21"/>
      <c r="VBS13" s="21"/>
      <c r="VBT13" s="21"/>
      <c r="VBU13" s="21"/>
      <c r="VBV13" s="21"/>
      <c r="VBW13" s="21"/>
      <c r="VBX13" s="21"/>
      <c r="VBY13" s="21"/>
      <c r="VBZ13" s="21"/>
      <c r="VCA13" s="21"/>
      <c r="VCB13" s="21"/>
      <c r="VCC13" s="21"/>
      <c r="VCD13" s="21"/>
      <c r="VCE13" s="21"/>
      <c r="VCF13" s="21"/>
      <c r="VCG13" s="21"/>
      <c r="VCH13" s="21"/>
      <c r="VCI13" s="21"/>
      <c r="VCJ13" s="21"/>
      <c r="VCK13" s="21"/>
      <c r="VCL13" s="21"/>
      <c r="VCM13" s="21"/>
      <c r="VCN13" s="21"/>
      <c r="VCO13" s="21"/>
      <c r="VCP13" s="21"/>
      <c r="VCQ13" s="21"/>
      <c r="VCR13" s="21"/>
      <c r="VCS13" s="21"/>
      <c r="VCT13" s="21"/>
      <c r="VCU13" s="21"/>
      <c r="VCV13" s="21"/>
      <c r="VCW13" s="21"/>
      <c r="VCX13" s="21"/>
      <c r="VCY13" s="21"/>
      <c r="VCZ13" s="21"/>
      <c r="VDA13" s="21"/>
      <c r="VDB13" s="21"/>
      <c r="VDC13" s="21"/>
      <c r="VDD13" s="21"/>
      <c r="VDE13" s="21"/>
      <c r="VDF13" s="21"/>
      <c r="VDG13" s="21"/>
      <c r="VDH13" s="21"/>
      <c r="VDI13" s="21"/>
      <c r="VDJ13" s="21"/>
      <c r="VDK13" s="21"/>
      <c r="VDL13" s="21"/>
      <c r="VDM13" s="21"/>
      <c r="VDN13" s="21"/>
      <c r="VDO13" s="21"/>
      <c r="VDP13" s="21"/>
      <c r="VDQ13" s="21"/>
      <c r="VDR13" s="21"/>
      <c r="VDS13" s="21"/>
      <c r="VDT13" s="21"/>
      <c r="VDU13" s="21"/>
      <c r="VDV13" s="21"/>
      <c r="VDW13" s="21"/>
      <c r="VDX13" s="21"/>
      <c r="VDY13" s="21"/>
      <c r="VDZ13" s="21"/>
      <c r="VEA13" s="21"/>
      <c r="VEB13" s="21"/>
      <c r="VEC13" s="21"/>
      <c r="VED13" s="21"/>
      <c r="VEE13" s="21"/>
      <c r="VEF13" s="21"/>
      <c r="VEG13" s="21"/>
      <c r="VEH13" s="21"/>
      <c r="VEI13" s="21"/>
      <c r="VEJ13" s="21"/>
      <c r="VEK13" s="21"/>
      <c r="VEL13" s="21"/>
      <c r="VEM13" s="21"/>
      <c r="VEN13" s="21"/>
      <c r="VEO13" s="21"/>
      <c r="VEP13" s="21"/>
      <c r="VEQ13" s="21"/>
      <c r="VER13" s="21"/>
      <c r="VES13" s="21"/>
      <c r="VET13" s="21"/>
      <c r="VEU13" s="21"/>
      <c r="VEV13" s="21"/>
      <c r="VEW13" s="21"/>
      <c r="VEX13" s="21"/>
      <c r="VEY13" s="21"/>
      <c r="VEZ13" s="21"/>
      <c r="VFA13" s="21"/>
      <c r="VFB13" s="21"/>
      <c r="VFC13" s="21"/>
      <c r="VFD13" s="21"/>
      <c r="VFE13" s="21"/>
      <c r="VFF13" s="21"/>
      <c r="VFG13" s="21"/>
      <c r="VFH13" s="21"/>
      <c r="VFI13" s="21"/>
      <c r="VFJ13" s="21"/>
      <c r="VFK13" s="21"/>
      <c r="VFL13" s="21"/>
      <c r="VFM13" s="21"/>
      <c r="VFN13" s="21"/>
      <c r="VFO13" s="21"/>
      <c r="VFP13" s="21"/>
      <c r="VFQ13" s="21"/>
      <c r="VFR13" s="21"/>
      <c r="VFS13" s="21"/>
      <c r="VFT13" s="21"/>
      <c r="VFU13" s="21"/>
      <c r="VFV13" s="21"/>
      <c r="VFW13" s="21"/>
      <c r="VFX13" s="21"/>
      <c r="VFY13" s="21"/>
      <c r="VFZ13" s="21"/>
      <c r="VGA13" s="21"/>
      <c r="VGB13" s="21"/>
      <c r="VGC13" s="21"/>
      <c r="VGD13" s="21"/>
      <c r="VGE13" s="21"/>
      <c r="VGF13" s="21"/>
      <c r="VGG13" s="21"/>
      <c r="VGH13" s="21"/>
      <c r="VGI13" s="21"/>
      <c r="VGJ13" s="21"/>
      <c r="VGK13" s="21"/>
      <c r="VGL13" s="21"/>
      <c r="VGM13" s="21"/>
      <c r="VGN13" s="21"/>
      <c r="VGO13" s="21"/>
      <c r="VGP13" s="21"/>
      <c r="VGQ13" s="21"/>
      <c r="VGR13" s="21"/>
      <c r="VGS13" s="21"/>
      <c r="VGT13" s="21"/>
      <c r="VGU13" s="21"/>
      <c r="VGV13" s="21"/>
      <c r="VGW13" s="21"/>
      <c r="VGX13" s="21"/>
      <c r="VGY13" s="21"/>
      <c r="VGZ13" s="21"/>
      <c r="VHA13" s="21"/>
      <c r="VHB13" s="21"/>
      <c r="VHC13" s="21"/>
      <c r="VHD13" s="21"/>
      <c r="VHE13" s="21"/>
      <c r="VHF13" s="21"/>
      <c r="VHG13" s="21"/>
      <c r="VHH13" s="21"/>
      <c r="VHI13" s="21"/>
      <c r="VHJ13" s="21"/>
      <c r="VHK13" s="21"/>
      <c r="VHL13" s="21"/>
      <c r="VHM13" s="21"/>
      <c r="VHN13" s="21"/>
      <c r="VHO13" s="21"/>
      <c r="VHP13" s="21"/>
      <c r="VHQ13" s="21"/>
      <c r="VHR13" s="21"/>
      <c r="VHS13" s="21"/>
      <c r="VHT13" s="21"/>
      <c r="VHU13" s="21"/>
      <c r="VHV13" s="21"/>
      <c r="VHW13" s="21"/>
      <c r="VHX13" s="21"/>
      <c r="VHY13" s="21"/>
      <c r="VHZ13" s="21"/>
      <c r="VIA13" s="21"/>
      <c r="VIB13" s="21"/>
      <c r="VIC13" s="21"/>
      <c r="VID13" s="21"/>
      <c r="VIE13" s="21"/>
      <c r="VIF13" s="21"/>
      <c r="VIG13" s="21"/>
      <c r="VIH13" s="21"/>
      <c r="VII13" s="21"/>
      <c r="VIJ13" s="21"/>
      <c r="VIK13" s="21"/>
      <c r="VIL13" s="21"/>
      <c r="VIM13" s="21"/>
      <c r="VIN13" s="21"/>
      <c r="VIO13" s="21"/>
      <c r="VIP13" s="21"/>
      <c r="VIQ13" s="21"/>
      <c r="VIR13" s="21"/>
      <c r="VIS13" s="21"/>
      <c r="VIT13" s="21"/>
      <c r="VIU13" s="21"/>
      <c r="VIV13" s="21"/>
      <c r="VIW13" s="21"/>
      <c r="VIX13" s="21"/>
      <c r="VIY13" s="21"/>
      <c r="VIZ13" s="21"/>
      <c r="VJA13" s="21"/>
      <c r="VJB13" s="21"/>
      <c r="VJC13" s="21"/>
      <c r="VJD13" s="21"/>
      <c r="VJE13" s="21"/>
      <c r="VJF13" s="21"/>
      <c r="VJG13" s="21"/>
      <c r="VJH13" s="21"/>
      <c r="VJI13" s="21"/>
      <c r="VJJ13" s="21"/>
      <c r="VJK13" s="21"/>
      <c r="VJL13" s="21"/>
      <c r="VJM13" s="21"/>
      <c r="VJN13" s="21"/>
      <c r="VJO13" s="21"/>
      <c r="VJP13" s="21"/>
      <c r="VJQ13" s="21"/>
      <c r="VJR13" s="21"/>
      <c r="VJS13" s="21"/>
      <c r="VJT13" s="21"/>
      <c r="VJU13" s="21"/>
      <c r="VJV13" s="21"/>
      <c r="VJW13" s="21"/>
      <c r="VJX13" s="21"/>
      <c r="VJY13" s="21"/>
      <c r="VJZ13" s="21"/>
      <c r="VKA13" s="21"/>
      <c r="VKB13" s="21"/>
      <c r="VKC13" s="21"/>
      <c r="VKD13" s="21"/>
      <c r="VKE13" s="21"/>
      <c r="VKF13" s="21"/>
      <c r="VKG13" s="21"/>
      <c r="VKH13" s="21"/>
      <c r="VKI13" s="21"/>
      <c r="VKJ13" s="21"/>
      <c r="VKK13" s="21"/>
      <c r="VKL13" s="21"/>
      <c r="VKM13" s="21"/>
      <c r="VKN13" s="21"/>
      <c r="VKO13" s="21"/>
      <c r="VKP13" s="21"/>
      <c r="VKQ13" s="21"/>
      <c r="VKR13" s="21"/>
      <c r="VKS13" s="21"/>
      <c r="VKT13" s="21"/>
      <c r="VKU13" s="21"/>
      <c r="VKV13" s="21"/>
      <c r="VKW13" s="21"/>
      <c r="VKX13" s="21"/>
      <c r="VKY13" s="21"/>
      <c r="VKZ13" s="21"/>
      <c r="VLA13" s="21"/>
      <c r="VLB13" s="21"/>
      <c r="VLC13" s="21"/>
      <c r="VLD13" s="21"/>
      <c r="VLE13" s="21"/>
      <c r="VLF13" s="21"/>
      <c r="VLG13" s="21"/>
      <c r="VLH13" s="21"/>
      <c r="VLI13" s="21"/>
      <c r="VLJ13" s="21"/>
      <c r="VLK13" s="21"/>
      <c r="VLL13" s="21"/>
      <c r="VLM13" s="21"/>
      <c r="VLN13" s="21"/>
      <c r="VLO13" s="21"/>
      <c r="VLP13" s="21"/>
      <c r="VLQ13" s="21"/>
      <c r="VLR13" s="21"/>
      <c r="VLS13" s="21"/>
      <c r="VLT13" s="21"/>
      <c r="VLU13" s="21"/>
      <c r="VLV13" s="21"/>
      <c r="VLW13" s="21"/>
      <c r="VLX13" s="21"/>
      <c r="VLY13" s="21"/>
      <c r="VLZ13" s="21"/>
      <c r="VMA13" s="21"/>
      <c r="VMB13" s="21"/>
      <c r="VMC13" s="21"/>
      <c r="VMD13" s="21"/>
      <c r="VME13" s="21"/>
      <c r="VMF13" s="21"/>
      <c r="VMG13" s="21"/>
      <c r="VMH13" s="21"/>
      <c r="VMI13" s="21"/>
      <c r="VMJ13" s="21"/>
      <c r="VMK13" s="21"/>
      <c r="VML13" s="21"/>
      <c r="VMM13" s="21"/>
      <c r="VMN13" s="21"/>
      <c r="VMO13" s="21"/>
      <c r="VMP13" s="21"/>
      <c r="VMQ13" s="21"/>
      <c r="VMR13" s="21"/>
      <c r="VMS13" s="21"/>
      <c r="VMT13" s="21"/>
      <c r="VMU13" s="21"/>
      <c r="VMV13" s="21"/>
      <c r="VMW13" s="21"/>
      <c r="VMX13" s="21"/>
      <c r="VMY13" s="21"/>
      <c r="VMZ13" s="21"/>
      <c r="VNA13" s="21"/>
      <c r="VNB13" s="21"/>
      <c r="VNC13" s="21"/>
      <c r="VND13" s="21"/>
      <c r="VNE13" s="21"/>
      <c r="VNF13" s="21"/>
      <c r="VNG13" s="21"/>
      <c r="VNH13" s="21"/>
      <c r="VNI13" s="21"/>
      <c r="VNJ13" s="21"/>
      <c r="VNK13" s="21"/>
      <c r="VNL13" s="21"/>
      <c r="VNM13" s="21"/>
      <c r="VNN13" s="21"/>
      <c r="VNO13" s="21"/>
      <c r="VNP13" s="21"/>
      <c r="VNQ13" s="21"/>
      <c r="VNR13" s="21"/>
      <c r="VNS13" s="21"/>
      <c r="VNT13" s="21"/>
      <c r="VNU13" s="21"/>
      <c r="VNV13" s="21"/>
      <c r="VNW13" s="21"/>
      <c r="VNX13" s="21"/>
      <c r="VNY13" s="21"/>
      <c r="VNZ13" s="21"/>
      <c r="VOA13" s="21"/>
      <c r="VOB13" s="21"/>
      <c r="VOC13" s="21"/>
      <c r="VOD13" s="21"/>
      <c r="VOE13" s="21"/>
      <c r="VOF13" s="21"/>
      <c r="VOG13" s="21"/>
      <c r="VOH13" s="21"/>
      <c r="VOI13" s="21"/>
      <c r="VOJ13" s="21"/>
      <c r="VOK13" s="21"/>
      <c r="VOL13" s="21"/>
      <c r="VOM13" s="21"/>
      <c r="VON13" s="21"/>
      <c r="VOO13" s="21"/>
      <c r="VOP13" s="21"/>
      <c r="VOQ13" s="21"/>
      <c r="VOR13" s="21"/>
      <c r="VOS13" s="21"/>
      <c r="VOT13" s="21"/>
      <c r="VOU13" s="21"/>
      <c r="VOV13" s="21"/>
      <c r="VOW13" s="21"/>
      <c r="VOX13" s="21"/>
      <c r="VOY13" s="21"/>
      <c r="VOZ13" s="21"/>
      <c r="VPA13" s="21"/>
      <c r="VPB13" s="21"/>
      <c r="VPC13" s="21"/>
      <c r="VPD13" s="21"/>
      <c r="VPE13" s="21"/>
      <c r="VPF13" s="21"/>
      <c r="VPG13" s="21"/>
      <c r="VPH13" s="21"/>
      <c r="VPI13" s="21"/>
      <c r="VPJ13" s="21"/>
      <c r="VPK13" s="21"/>
      <c r="VPL13" s="21"/>
      <c r="VPM13" s="21"/>
      <c r="VPN13" s="21"/>
      <c r="VPO13" s="21"/>
      <c r="VPP13" s="21"/>
      <c r="VPQ13" s="21"/>
      <c r="VPR13" s="21"/>
      <c r="VPS13" s="21"/>
      <c r="VPT13" s="21"/>
      <c r="VPU13" s="21"/>
      <c r="VPV13" s="21"/>
      <c r="VPW13" s="21"/>
      <c r="VPX13" s="21"/>
      <c r="VPY13" s="21"/>
      <c r="VPZ13" s="21"/>
      <c r="VQA13" s="21"/>
      <c r="VQB13" s="21"/>
      <c r="VQC13" s="21"/>
      <c r="VQD13" s="21"/>
      <c r="VQE13" s="21"/>
      <c r="VQF13" s="21"/>
      <c r="VQG13" s="21"/>
      <c r="VQH13" s="21"/>
      <c r="VQI13" s="21"/>
      <c r="VQJ13" s="21"/>
      <c r="VQK13" s="21"/>
      <c r="VQL13" s="21"/>
      <c r="VQM13" s="21"/>
      <c r="VQN13" s="21"/>
      <c r="VQO13" s="21"/>
      <c r="VQP13" s="21"/>
      <c r="VQQ13" s="21"/>
      <c r="VQR13" s="21"/>
      <c r="VQS13" s="21"/>
      <c r="VQT13" s="21"/>
      <c r="VQU13" s="21"/>
      <c r="VQV13" s="21"/>
      <c r="VQW13" s="21"/>
      <c r="VQX13" s="21"/>
      <c r="VQY13" s="21"/>
      <c r="VQZ13" s="21"/>
      <c r="VRA13" s="21"/>
      <c r="VRB13" s="21"/>
      <c r="VRC13" s="21"/>
      <c r="VRD13" s="21"/>
      <c r="VRE13" s="21"/>
      <c r="VRF13" s="21"/>
      <c r="VRG13" s="21"/>
      <c r="VRH13" s="21"/>
      <c r="VRI13" s="21"/>
      <c r="VRJ13" s="21"/>
      <c r="VRK13" s="21"/>
      <c r="VRL13" s="21"/>
      <c r="VRM13" s="21"/>
      <c r="VRN13" s="21"/>
      <c r="VRO13" s="21"/>
      <c r="VRP13" s="21"/>
      <c r="VRQ13" s="21"/>
      <c r="VRR13" s="21"/>
      <c r="VRS13" s="21"/>
      <c r="VRT13" s="21"/>
      <c r="VRU13" s="21"/>
      <c r="VRV13" s="21"/>
      <c r="VRW13" s="21"/>
      <c r="VRX13" s="21"/>
      <c r="VRY13" s="21"/>
      <c r="VRZ13" s="21"/>
      <c r="VSA13" s="21"/>
      <c r="VSB13" s="21"/>
      <c r="VSC13" s="21"/>
      <c r="VSD13" s="21"/>
      <c r="VSE13" s="21"/>
      <c r="VSF13" s="21"/>
      <c r="VSG13" s="21"/>
      <c r="VSH13" s="21"/>
      <c r="VSI13" s="21"/>
      <c r="VSJ13" s="21"/>
      <c r="VSK13" s="21"/>
      <c r="VSL13" s="21"/>
      <c r="VSM13" s="21"/>
      <c r="VSN13" s="21"/>
      <c r="VSO13" s="21"/>
      <c r="VSP13" s="21"/>
      <c r="VSQ13" s="21"/>
      <c r="VSR13" s="21"/>
      <c r="VSS13" s="21"/>
      <c r="VST13" s="21"/>
      <c r="VSU13" s="21"/>
      <c r="VSV13" s="21"/>
      <c r="VSW13" s="21"/>
      <c r="VSX13" s="21"/>
      <c r="VSY13" s="21"/>
      <c r="VSZ13" s="21"/>
      <c r="VTA13" s="21"/>
      <c r="VTB13" s="21"/>
      <c r="VTC13" s="21"/>
      <c r="VTD13" s="21"/>
      <c r="VTE13" s="21"/>
      <c r="VTF13" s="21"/>
      <c r="VTG13" s="21"/>
      <c r="VTH13" s="21"/>
      <c r="VTI13" s="21"/>
      <c r="VTJ13" s="21"/>
      <c r="VTK13" s="21"/>
      <c r="VTL13" s="21"/>
      <c r="VTM13" s="21"/>
      <c r="VTN13" s="21"/>
      <c r="VTO13" s="21"/>
      <c r="VTP13" s="21"/>
      <c r="VTQ13" s="21"/>
      <c r="VTR13" s="21"/>
      <c r="VTS13" s="21"/>
      <c r="VTT13" s="21"/>
      <c r="VTU13" s="21"/>
      <c r="VTV13" s="21"/>
      <c r="VTW13" s="21"/>
      <c r="VTX13" s="21"/>
      <c r="VTY13" s="21"/>
      <c r="VTZ13" s="21"/>
      <c r="VUA13" s="21"/>
      <c r="VUB13" s="21"/>
      <c r="VUC13" s="21"/>
      <c r="VUD13" s="21"/>
      <c r="VUE13" s="21"/>
      <c r="VUF13" s="21"/>
      <c r="VUG13" s="21"/>
      <c r="VUH13" s="21"/>
      <c r="VUI13" s="21"/>
      <c r="VUJ13" s="21"/>
      <c r="VUK13" s="21"/>
      <c r="VUL13" s="21"/>
      <c r="VUM13" s="21"/>
      <c r="VUN13" s="21"/>
      <c r="VUO13" s="21"/>
      <c r="VUP13" s="21"/>
      <c r="VUQ13" s="21"/>
      <c r="VUR13" s="21"/>
      <c r="VUS13" s="21"/>
      <c r="VUT13" s="21"/>
      <c r="VUU13" s="21"/>
      <c r="VUV13" s="21"/>
      <c r="VUW13" s="21"/>
      <c r="VUX13" s="21"/>
      <c r="VUY13" s="21"/>
      <c r="VUZ13" s="21"/>
      <c r="VVA13" s="21"/>
      <c r="VVB13" s="21"/>
      <c r="VVC13" s="21"/>
      <c r="VVD13" s="21"/>
      <c r="VVE13" s="21"/>
      <c r="VVF13" s="21"/>
      <c r="VVG13" s="21"/>
      <c r="VVH13" s="21"/>
      <c r="VVI13" s="21"/>
      <c r="VVJ13" s="21"/>
      <c r="VVK13" s="21"/>
      <c r="VVL13" s="21"/>
      <c r="VVM13" s="21"/>
      <c r="VVN13" s="21"/>
      <c r="VVO13" s="21"/>
      <c r="VVP13" s="21"/>
      <c r="VVQ13" s="21"/>
      <c r="VVR13" s="21"/>
      <c r="VVS13" s="21"/>
      <c r="VVT13" s="21"/>
      <c r="VVU13" s="21"/>
      <c r="VVV13" s="21"/>
      <c r="VVW13" s="21"/>
      <c r="VVX13" s="21"/>
      <c r="VVY13" s="21"/>
      <c r="VVZ13" s="21"/>
      <c r="VWA13" s="21"/>
      <c r="VWB13" s="21"/>
      <c r="VWC13" s="21"/>
      <c r="VWD13" s="21"/>
      <c r="VWE13" s="21"/>
      <c r="VWF13" s="21"/>
      <c r="VWG13" s="21"/>
      <c r="VWH13" s="21"/>
      <c r="VWI13" s="21"/>
      <c r="VWJ13" s="21"/>
      <c r="VWK13" s="21"/>
      <c r="VWL13" s="21"/>
      <c r="VWM13" s="21"/>
      <c r="VWN13" s="21"/>
      <c r="VWO13" s="21"/>
      <c r="VWP13" s="21"/>
      <c r="VWQ13" s="21"/>
      <c r="VWR13" s="21"/>
      <c r="VWS13" s="21"/>
      <c r="VWT13" s="21"/>
      <c r="VWU13" s="21"/>
      <c r="VWV13" s="21"/>
      <c r="VWW13" s="21"/>
      <c r="VWX13" s="21"/>
      <c r="VWY13" s="21"/>
      <c r="VWZ13" s="21"/>
      <c r="VXA13" s="21"/>
      <c r="VXB13" s="21"/>
      <c r="VXC13" s="21"/>
      <c r="VXD13" s="21"/>
      <c r="VXE13" s="21"/>
      <c r="VXF13" s="21"/>
      <c r="VXG13" s="21"/>
      <c r="VXH13" s="21"/>
      <c r="VXI13" s="21"/>
      <c r="VXJ13" s="21"/>
      <c r="VXK13" s="21"/>
      <c r="VXL13" s="21"/>
      <c r="VXM13" s="21"/>
      <c r="VXN13" s="21"/>
      <c r="VXO13" s="21"/>
      <c r="VXP13" s="21"/>
      <c r="VXQ13" s="21"/>
      <c r="VXR13" s="21"/>
      <c r="VXS13" s="21"/>
      <c r="VXT13" s="21"/>
      <c r="VXU13" s="21"/>
      <c r="VXV13" s="21"/>
      <c r="VXW13" s="21"/>
      <c r="VXX13" s="21"/>
      <c r="VXY13" s="21"/>
      <c r="VXZ13" s="21"/>
      <c r="VYA13" s="21"/>
      <c r="VYB13" s="21"/>
      <c r="VYC13" s="21"/>
      <c r="VYD13" s="21"/>
      <c r="VYE13" s="21"/>
      <c r="VYF13" s="21"/>
      <c r="VYG13" s="21"/>
      <c r="VYH13" s="21"/>
      <c r="VYI13" s="21"/>
      <c r="VYJ13" s="21"/>
      <c r="VYK13" s="21"/>
      <c r="VYL13" s="21"/>
      <c r="VYM13" s="21"/>
      <c r="VYN13" s="21"/>
      <c r="VYO13" s="21"/>
      <c r="VYP13" s="21"/>
      <c r="VYQ13" s="21"/>
      <c r="VYR13" s="21"/>
      <c r="VYS13" s="21"/>
      <c r="VYT13" s="21"/>
      <c r="VYU13" s="21"/>
      <c r="VYV13" s="21"/>
      <c r="VYW13" s="21"/>
      <c r="VYX13" s="21"/>
      <c r="VYY13" s="21"/>
      <c r="VYZ13" s="21"/>
      <c r="VZA13" s="21"/>
      <c r="VZB13" s="21"/>
      <c r="VZC13" s="21"/>
      <c r="VZD13" s="21"/>
      <c r="VZE13" s="21"/>
      <c r="VZF13" s="21"/>
      <c r="VZG13" s="21"/>
      <c r="VZH13" s="21"/>
      <c r="VZI13" s="21"/>
      <c r="VZJ13" s="21"/>
      <c r="VZK13" s="21"/>
      <c r="VZL13" s="21"/>
      <c r="VZM13" s="21"/>
      <c r="VZN13" s="21"/>
      <c r="VZO13" s="21"/>
      <c r="VZP13" s="21"/>
      <c r="VZQ13" s="21"/>
      <c r="VZR13" s="21"/>
      <c r="VZS13" s="21"/>
      <c r="VZT13" s="21"/>
      <c r="VZU13" s="21"/>
      <c r="VZV13" s="21"/>
      <c r="VZW13" s="21"/>
      <c r="VZX13" s="21"/>
      <c r="VZY13" s="21"/>
      <c r="VZZ13" s="21"/>
      <c r="WAA13" s="21"/>
      <c r="WAB13" s="21"/>
      <c r="WAC13" s="21"/>
      <c r="WAD13" s="21"/>
      <c r="WAE13" s="21"/>
      <c r="WAF13" s="21"/>
      <c r="WAG13" s="21"/>
      <c r="WAH13" s="21"/>
      <c r="WAI13" s="21"/>
      <c r="WAJ13" s="21"/>
      <c r="WAK13" s="21"/>
      <c r="WAL13" s="21"/>
      <c r="WAM13" s="21"/>
      <c r="WAN13" s="21"/>
      <c r="WAO13" s="21"/>
      <c r="WAP13" s="21"/>
      <c r="WAQ13" s="21"/>
      <c r="WAR13" s="21"/>
      <c r="WAS13" s="21"/>
      <c r="WAT13" s="21"/>
      <c r="WAU13" s="21"/>
      <c r="WAV13" s="21"/>
      <c r="WAW13" s="21"/>
      <c r="WAX13" s="21"/>
      <c r="WAY13" s="21"/>
      <c r="WAZ13" s="21"/>
      <c r="WBA13" s="21"/>
      <c r="WBB13" s="21"/>
      <c r="WBC13" s="21"/>
      <c r="WBD13" s="21"/>
      <c r="WBE13" s="21"/>
      <c r="WBF13" s="21"/>
      <c r="WBG13" s="21"/>
      <c r="WBH13" s="21"/>
      <c r="WBI13" s="21"/>
      <c r="WBJ13" s="21"/>
      <c r="WBK13" s="21"/>
      <c r="WBL13" s="21"/>
      <c r="WBM13" s="21"/>
      <c r="WBN13" s="21"/>
      <c r="WBO13" s="21"/>
      <c r="WBP13" s="21"/>
      <c r="WBQ13" s="21"/>
      <c r="WBR13" s="21"/>
      <c r="WBS13" s="21"/>
      <c r="WBT13" s="21"/>
      <c r="WBU13" s="21"/>
      <c r="WBV13" s="21"/>
      <c r="WBW13" s="21"/>
      <c r="WBX13" s="21"/>
      <c r="WBY13" s="21"/>
      <c r="WBZ13" s="21"/>
      <c r="WCA13" s="21"/>
      <c r="WCB13" s="21"/>
      <c r="WCC13" s="21"/>
      <c r="WCD13" s="21"/>
      <c r="WCE13" s="21"/>
      <c r="WCF13" s="21"/>
      <c r="WCG13" s="21"/>
      <c r="WCH13" s="21"/>
      <c r="WCI13" s="21"/>
      <c r="WCJ13" s="21"/>
      <c r="WCK13" s="21"/>
      <c r="WCL13" s="21"/>
      <c r="WCM13" s="21"/>
      <c r="WCN13" s="21"/>
      <c r="WCO13" s="21"/>
      <c r="WCP13" s="21"/>
      <c r="WCQ13" s="21"/>
      <c r="WCR13" s="21"/>
      <c r="WCS13" s="21"/>
      <c r="WCT13" s="21"/>
      <c r="WCU13" s="21"/>
      <c r="WCV13" s="21"/>
      <c r="WCW13" s="21"/>
      <c r="WCX13" s="21"/>
      <c r="WCY13" s="21"/>
      <c r="WCZ13" s="21"/>
      <c r="WDA13" s="21"/>
      <c r="WDB13" s="21"/>
      <c r="WDC13" s="21"/>
      <c r="WDD13" s="21"/>
      <c r="WDE13" s="21"/>
      <c r="WDF13" s="21"/>
      <c r="WDG13" s="21"/>
      <c r="WDH13" s="21"/>
      <c r="WDI13" s="21"/>
      <c r="WDJ13" s="21"/>
      <c r="WDK13" s="21"/>
      <c r="WDL13" s="21"/>
      <c r="WDM13" s="21"/>
      <c r="WDN13" s="21"/>
      <c r="WDO13" s="21"/>
      <c r="WDP13" s="21"/>
      <c r="WDQ13" s="21"/>
      <c r="WDR13" s="21"/>
      <c r="WDS13" s="21"/>
      <c r="WDT13" s="21"/>
      <c r="WDU13" s="21"/>
      <c r="WDV13" s="21"/>
      <c r="WDW13" s="21"/>
      <c r="WDX13" s="21"/>
      <c r="WDY13" s="21"/>
      <c r="WDZ13" s="21"/>
      <c r="WEA13" s="21"/>
      <c r="WEB13" s="21"/>
      <c r="WEC13" s="21"/>
      <c r="WED13" s="21"/>
      <c r="WEE13" s="21"/>
      <c r="WEF13" s="21"/>
      <c r="WEG13" s="21"/>
      <c r="WEH13" s="21"/>
      <c r="WEI13" s="21"/>
      <c r="WEJ13" s="21"/>
      <c r="WEK13" s="21"/>
      <c r="WEL13" s="21"/>
      <c r="WEM13" s="21"/>
      <c r="WEN13" s="21"/>
      <c r="WEO13" s="21"/>
      <c r="WEP13" s="21"/>
      <c r="WEQ13" s="21"/>
      <c r="WER13" s="21"/>
      <c r="WES13" s="21"/>
      <c r="WET13" s="21"/>
      <c r="WEU13" s="21"/>
      <c r="WEV13" s="21"/>
      <c r="WEW13" s="21"/>
      <c r="WEX13" s="21"/>
      <c r="WEY13" s="21"/>
      <c r="WEZ13" s="21"/>
      <c r="WFA13" s="21"/>
      <c r="WFB13" s="21"/>
      <c r="WFC13" s="21"/>
      <c r="WFD13" s="21"/>
      <c r="WFE13" s="21"/>
      <c r="WFF13" s="21"/>
      <c r="WFG13" s="21"/>
      <c r="WFH13" s="21"/>
      <c r="WFI13" s="21"/>
      <c r="WFJ13" s="21"/>
      <c r="WFK13" s="21"/>
      <c r="WFL13" s="21"/>
      <c r="WFM13" s="21"/>
      <c r="WFN13" s="21"/>
      <c r="WFO13" s="21"/>
      <c r="WFP13" s="21"/>
      <c r="WFQ13" s="21"/>
      <c r="WFR13" s="21"/>
      <c r="WFS13" s="21"/>
      <c r="WFT13" s="21"/>
      <c r="WFU13" s="21"/>
      <c r="WFV13" s="21"/>
      <c r="WFW13" s="21"/>
      <c r="WFX13" s="21"/>
      <c r="WFY13" s="21"/>
      <c r="WFZ13" s="21"/>
      <c r="WGA13" s="21"/>
      <c r="WGB13" s="21"/>
      <c r="WGC13" s="21"/>
      <c r="WGD13" s="21"/>
      <c r="WGE13" s="21"/>
      <c r="WGF13" s="21"/>
      <c r="WGG13" s="21"/>
      <c r="WGH13" s="21"/>
      <c r="WGI13" s="21"/>
      <c r="WGJ13" s="21"/>
      <c r="WGK13" s="21"/>
      <c r="WGL13" s="21"/>
      <c r="WGM13" s="21"/>
      <c r="WGN13" s="21"/>
      <c r="WGO13" s="21"/>
      <c r="WGP13" s="21"/>
      <c r="WGQ13" s="21"/>
      <c r="WGR13" s="21"/>
      <c r="WGS13" s="21"/>
      <c r="WGT13" s="21"/>
      <c r="WGU13" s="21"/>
      <c r="WGV13" s="21"/>
      <c r="WGW13" s="21"/>
      <c r="WGX13" s="21"/>
      <c r="WGY13" s="21"/>
      <c r="WGZ13" s="21"/>
      <c r="WHA13" s="21"/>
      <c r="WHB13" s="21"/>
      <c r="WHC13" s="21"/>
      <c r="WHD13" s="21"/>
      <c r="WHE13" s="21"/>
      <c r="WHF13" s="21"/>
      <c r="WHG13" s="21"/>
      <c r="WHH13" s="21"/>
      <c r="WHI13" s="21"/>
      <c r="WHJ13" s="21"/>
      <c r="WHK13" s="21"/>
      <c r="WHL13" s="21"/>
      <c r="WHM13" s="21"/>
      <c r="WHN13" s="21"/>
      <c r="WHO13" s="21"/>
      <c r="WHP13" s="21"/>
      <c r="WHQ13" s="21"/>
      <c r="WHR13" s="21"/>
      <c r="WHS13" s="21"/>
      <c r="WHT13" s="21"/>
      <c r="WHU13" s="21"/>
      <c r="WHV13" s="21"/>
      <c r="WHW13" s="21"/>
      <c r="WHX13" s="21"/>
      <c r="WHY13" s="21"/>
      <c r="WHZ13" s="21"/>
      <c r="WIA13" s="21"/>
      <c r="WIB13" s="21"/>
      <c r="WIC13" s="21"/>
      <c r="WID13" s="21"/>
      <c r="WIE13" s="21"/>
      <c r="WIF13" s="21"/>
      <c r="WIG13" s="21"/>
      <c r="WIH13" s="21"/>
      <c r="WII13" s="21"/>
      <c r="WIJ13" s="21"/>
      <c r="WIK13" s="21"/>
      <c r="WIL13" s="21"/>
      <c r="WIM13" s="21"/>
      <c r="WIN13" s="21"/>
      <c r="WIO13" s="21"/>
      <c r="WIP13" s="21"/>
      <c r="WIQ13" s="21"/>
      <c r="WIR13" s="21"/>
      <c r="WIS13" s="21"/>
      <c r="WIT13" s="21"/>
      <c r="WIU13" s="21"/>
      <c r="WIV13" s="21"/>
      <c r="WIW13" s="21"/>
      <c r="WIX13" s="21"/>
      <c r="WIY13" s="21"/>
      <c r="WIZ13" s="21"/>
      <c r="WJA13" s="21"/>
      <c r="WJB13" s="21"/>
      <c r="WJC13" s="21"/>
      <c r="WJD13" s="21"/>
      <c r="WJE13" s="21"/>
      <c r="WJF13" s="21"/>
      <c r="WJG13" s="21"/>
      <c r="WJH13" s="21"/>
      <c r="WJI13" s="21"/>
      <c r="WJJ13" s="21"/>
      <c r="WJK13" s="21"/>
      <c r="WJL13" s="21"/>
      <c r="WJM13" s="21"/>
      <c r="WJN13" s="21"/>
      <c r="WJO13" s="21"/>
      <c r="WJP13" s="21"/>
      <c r="WJQ13" s="21"/>
      <c r="WJR13" s="21"/>
      <c r="WJS13" s="21"/>
      <c r="WJT13" s="21"/>
      <c r="WJU13" s="21"/>
      <c r="WJV13" s="21"/>
      <c r="WJW13" s="21"/>
      <c r="WJX13" s="21"/>
      <c r="WJY13" s="21"/>
      <c r="WJZ13" s="21"/>
      <c r="WKA13" s="21"/>
      <c r="WKB13" s="21"/>
      <c r="WKC13" s="21"/>
      <c r="WKD13" s="21"/>
      <c r="WKE13" s="21"/>
      <c r="WKF13" s="21"/>
      <c r="WKG13" s="21"/>
      <c r="WKH13" s="21"/>
      <c r="WKI13" s="21"/>
      <c r="WKJ13" s="21"/>
      <c r="WKK13" s="21"/>
      <c r="WKL13" s="21"/>
      <c r="WKM13" s="21"/>
      <c r="WKN13" s="21"/>
      <c r="WKO13" s="21"/>
      <c r="WKP13" s="21"/>
      <c r="WKQ13" s="21"/>
      <c r="WKR13" s="21"/>
      <c r="WKS13" s="21"/>
      <c r="WKT13" s="21"/>
      <c r="WKU13" s="21"/>
      <c r="WKV13" s="21"/>
      <c r="WKW13" s="21"/>
      <c r="WKX13" s="21"/>
      <c r="WKY13" s="21"/>
      <c r="WKZ13" s="21"/>
      <c r="WLA13" s="21"/>
      <c r="WLB13" s="21"/>
      <c r="WLC13" s="21"/>
      <c r="WLD13" s="21"/>
      <c r="WLE13" s="21"/>
      <c r="WLF13" s="21"/>
      <c r="WLG13" s="21"/>
      <c r="WLH13" s="21"/>
      <c r="WLI13" s="21"/>
      <c r="WLJ13" s="21"/>
      <c r="WLK13" s="21"/>
      <c r="WLL13" s="21"/>
      <c r="WLM13" s="21"/>
      <c r="WLN13" s="21"/>
      <c r="WLO13" s="21"/>
      <c r="WLP13" s="21"/>
      <c r="WLQ13" s="21"/>
      <c r="WLR13" s="21"/>
      <c r="WLS13" s="21"/>
      <c r="WLT13" s="21"/>
      <c r="WLU13" s="21"/>
      <c r="WLV13" s="21"/>
      <c r="WLW13" s="21"/>
      <c r="WLX13" s="21"/>
      <c r="WLY13" s="21"/>
      <c r="WLZ13" s="21"/>
      <c r="WMA13" s="21"/>
      <c r="WMB13" s="21"/>
      <c r="WMC13" s="21"/>
      <c r="WMD13" s="21"/>
      <c r="WME13" s="21"/>
      <c r="WMF13" s="21"/>
      <c r="WMG13" s="21"/>
      <c r="WMH13" s="21"/>
      <c r="WMI13" s="21"/>
      <c r="WMJ13" s="21"/>
      <c r="WMK13" s="21"/>
      <c r="WML13" s="21"/>
      <c r="WMM13" s="21"/>
      <c r="WMN13" s="21"/>
      <c r="WMO13" s="21"/>
      <c r="WMP13" s="21"/>
      <c r="WMQ13" s="21"/>
      <c r="WMR13" s="21"/>
      <c r="WMS13" s="21"/>
      <c r="WMT13" s="21"/>
      <c r="WMU13" s="21"/>
      <c r="WMV13" s="21"/>
      <c r="WMW13" s="21"/>
      <c r="WMX13" s="21"/>
      <c r="WMY13" s="21"/>
      <c r="WMZ13" s="21"/>
      <c r="WNA13" s="21"/>
      <c r="WNB13" s="21"/>
      <c r="WNC13" s="21"/>
      <c r="WND13" s="21"/>
      <c r="WNE13" s="21"/>
      <c r="WNF13" s="21"/>
      <c r="WNG13" s="21"/>
      <c r="WNH13" s="21"/>
      <c r="WNI13" s="21"/>
      <c r="WNJ13" s="21"/>
      <c r="WNK13" s="21"/>
      <c r="WNL13" s="21"/>
      <c r="WNM13" s="21"/>
      <c r="WNN13" s="21"/>
      <c r="WNO13" s="21"/>
      <c r="WNP13" s="21"/>
      <c r="WNQ13" s="21"/>
      <c r="WNR13" s="21"/>
      <c r="WNS13" s="21"/>
      <c r="WNT13" s="21"/>
      <c r="WNU13" s="21"/>
      <c r="WNV13" s="21"/>
      <c r="WNW13" s="21"/>
      <c r="WNX13" s="21"/>
      <c r="WNY13" s="21"/>
      <c r="WNZ13" s="21"/>
      <c r="WOA13" s="21"/>
      <c r="WOB13" s="21"/>
      <c r="WOC13" s="21"/>
      <c r="WOD13" s="21"/>
      <c r="WOE13" s="21"/>
      <c r="WOF13" s="21"/>
      <c r="WOG13" s="21"/>
      <c r="WOH13" s="21"/>
      <c r="WOI13" s="21"/>
      <c r="WOJ13" s="21"/>
      <c r="WOK13" s="21"/>
      <c r="WOL13" s="21"/>
      <c r="WOM13" s="21"/>
      <c r="WON13" s="21"/>
      <c r="WOO13" s="21"/>
      <c r="WOP13" s="21"/>
      <c r="WOQ13" s="21"/>
      <c r="WOR13" s="21"/>
      <c r="WOS13" s="21"/>
      <c r="WOT13" s="21"/>
      <c r="WOU13" s="21"/>
      <c r="WOV13" s="21"/>
      <c r="WOW13" s="21"/>
      <c r="WOX13" s="21"/>
      <c r="WOY13" s="21"/>
      <c r="WOZ13" s="21"/>
      <c r="WPA13" s="21"/>
      <c r="WPB13" s="21"/>
      <c r="WPC13" s="21"/>
      <c r="WPD13" s="21"/>
      <c r="WPE13" s="21"/>
      <c r="WPF13" s="21"/>
      <c r="WPG13" s="21"/>
      <c r="WPH13" s="21"/>
      <c r="WPI13" s="21"/>
      <c r="WPJ13" s="21"/>
      <c r="WPK13" s="21"/>
      <c r="WPL13" s="21"/>
      <c r="WPM13" s="21"/>
      <c r="WPN13" s="21"/>
      <c r="WPO13" s="21"/>
      <c r="WPP13" s="21"/>
      <c r="WPQ13" s="21"/>
      <c r="WPR13" s="21"/>
      <c r="WPS13" s="21"/>
      <c r="WPT13" s="21"/>
      <c r="WPU13" s="21"/>
      <c r="WPV13" s="21"/>
      <c r="WPW13" s="21"/>
      <c r="WPX13" s="21"/>
      <c r="WPY13" s="21"/>
      <c r="WPZ13" s="21"/>
      <c r="WQA13" s="21"/>
      <c r="WQB13" s="21"/>
      <c r="WQC13" s="21"/>
      <c r="WQD13" s="21"/>
      <c r="WQE13" s="21"/>
      <c r="WQF13" s="21"/>
      <c r="WQG13" s="21"/>
      <c r="WQH13" s="21"/>
      <c r="WQI13" s="21"/>
      <c r="WQJ13" s="21"/>
      <c r="WQK13" s="21"/>
      <c r="WQL13" s="21"/>
      <c r="WQM13" s="21"/>
      <c r="WQN13" s="21"/>
      <c r="WQO13" s="21"/>
      <c r="WQP13" s="21"/>
      <c r="WQQ13" s="21"/>
      <c r="WQR13" s="21"/>
      <c r="WQS13" s="21"/>
      <c r="WQT13" s="21"/>
      <c r="WQU13" s="21"/>
      <c r="WQV13" s="21"/>
      <c r="WQW13" s="21"/>
      <c r="WQX13" s="21"/>
      <c r="WQY13" s="21"/>
      <c r="WQZ13" s="21"/>
      <c r="WRA13" s="21"/>
      <c r="WRB13" s="21"/>
      <c r="WRC13" s="21"/>
      <c r="WRD13" s="21"/>
      <c r="WRE13" s="21"/>
      <c r="WRF13" s="21"/>
      <c r="WRG13" s="21"/>
      <c r="WRH13" s="21"/>
      <c r="WRI13" s="21"/>
      <c r="WRJ13" s="21"/>
      <c r="WRK13" s="21"/>
      <c r="WRL13" s="21"/>
      <c r="WRM13" s="21"/>
      <c r="WRN13" s="21"/>
      <c r="WRO13" s="21"/>
      <c r="WRP13" s="21"/>
      <c r="WRQ13" s="21"/>
      <c r="WRR13" s="21"/>
      <c r="WRS13" s="21"/>
      <c r="WRT13" s="21"/>
      <c r="WRU13" s="21"/>
      <c r="WRV13" s="21"/>
      <c r="WRW13" s="21"/>
      <c r="WRX13" s="21"/>
      <c r="WRY13" s="21"/>
      <c r="WRZ13" s="21"/>
      <c r="WSA13" s="21"/>
      <c r="WSB13" s="21"/>
      <c r="WSC13" s="21"/>
      <c r="WSD13" s="21"/>
      <c r="WSE13" s="21"/>
      <c r="WSF13" s="21"/>
      <c r="WSG13" s="21"/>
      <c r="WSH13" s="21"/>
      <c r="WSI13" s="21"/>
      <c r="WSJ13" s="21"/>
      <c r="WSK13" s="21"/>
      <c r="WSL13" s="21"/>
      <c r="WSM13" s="21"/>
      <c r="WSN13" s="21"/>
      <c r="WSO13" s="21"/>
      <c r="WSP13" s="21"/>
      <c r="WSQ13" s="21"/>
      <c r="WSR13" s="21"/>
      <c r="WSS13" s="21"/>
      <c r="WST13" s="21"/>
      <c r="WSU13" s="21"/>
      <c r="WSV13" s="21"/>
      <c r="WSW13" s="21"/>
      <c r="WSX13" s="21"/>
      <c r="WSY13" s="21"/>
      <c r="WSZ13" s="21"/>
      <c r="WTA13" s="21"/>
      <c r="WTB13" s="21"/>
      <c r="WTC13" s="21"/>
      <c r="WTD13" s="21"/>
      <c r="WTE13" s="21"/>
      <c r="WTF13" s="21"/>
      <c r="WTG13" s="21"/>
      <c r="WTH13" s="21"/>
      <c r="WTI13" s="21"/>
      <c r="WTJ13" s="21"/>
      <c r="WTK13" s="21"/>
      <c r="WTL13" s="21"/>
      <c r="WTM13" s="21"/>
      <c r="WTN13" s="21"/>
      <c r="WTO13" s="21"/>
      <c r="WTP13" s="21"/>
      <c r="WTQ13" s="21"/>
      <c r="WTR13" s="21"/>
      <c r="WTS13" s="21"/>
      <c r="WTT13" s="21"/>
      <c r="WTU13" s="21"/>
      <c r="WTV13" s="21"/>
      <c r="WTW13" s="21"/>
      <c r="WTX13" s="21"/>
      <c r="WTY13" s="21"/>
      <c r="WTZ13" s="21"/>
      <c r="WUA13" s="21"/>
      <c r="WUB13" s="21"/>
      <c r="WUC13" s="21"/>
      <c r="WUD13" s="21"/>
      <c r="WUE13" s="21"/>
      <c r="WUF13" s="21"/>
      <c r="WUG13" s="21"/>
      <c r="WUH13" s="21"/>
      <c r="WUI13" s="21"/>
      <c r="WUJ13" s="21"/>
      <c r="WUK13" s="21"/>
      <c r="WUL13" s="21"/>
      <c r="WUM13" s="21"/>
      <c r="WUN13" s="21"/>
      <c r="WUO13" s="21"/>
      <c r="WUP13" s="21"/>
      <c r="WUQ13" s="21"/>
      <c r="WUR13" s="21"/>
      <c r="WUS13" s="21"/>
      <c r="WUT13" s="21"/>
      <c r="WUU13" s="21"/>
      <c r="WUV13" s="21"/>
      <c r="WUW13" s="21"/>
      <c r="WUX13" s="21"/>
      <c r="WUY13" s="21"/>
      <c r="WUZ13" s="21"/>
      <c r="WVA13" s="21"/>
      <c r="WVB13" s="21"/>
      <c r="WVC13" s="21"/>
      <c r="WVD13" s="21"/>
      <c r="WVE13" s="21"/>
      <c r="WVF13" s="21"/>
      <c r="WVG13" s="21"/>
      <c r="WVH13" s="21"/>
      <c r="WVI13" s="21"/>
      <c r="WVJ13" s="21"/>
      <c r="WVK13" s="21"/>
      <c r="WVL13" s="21"/>
      <c r="WVM13" s="21"/>
      <c r="WVN13" s="21"/>
      <c r="WVO13" s="21"/>
      <c r="WVP13" s="21"/>
      <c r="WVQ13" s="21"/>
      <c r="WVR13" s="21"/>
      <c r="WVS13" s="21"/>
      <c r="WVT13" s="21"/>
      <c r="WVU13" s="21"/>
      <c r="WVV13" s="21"/>
      <c r="WVW13" s="21"/>
      <c r="WVX13" s="21"/>
      <c r="WVY13" s="21"/>
      <c r="WVZ13" s="21"/>
      <c r="WWA13" s="21"/>
      <c r="WWB13" s="21"/>
      <c r="WWC13" s="21"/>
      <c r="WWD13" s="21"/>
      <c r="WWE13" s="21"/>
      <c r="WWF13" s="21"/>
      <c r="WWG13" s="21"/>
      <c r="WWH13" s="21"/>
      <c r="WWI13" s="21"/>
      <c r="WWJ13" s="21"/>
      <c r="WWK13" s="21"/>
      <c r="WWL13" s="21"/>
      <c r="WWM13" s="21"/>
      <c r="WWN13" s="21"/>
      <c r="WWO13" s="21"/>
      <c r="WWP13" s="21"/>
      <c r="WWQ13" s="21"/>
      <c r="WWR13" s="21"/>
      <c r="WWS13" s="21"/>
      <c r="WWT13" s="21"/>
      <c r="WWU13" s="21"/>
      <c r="WWV13" s="21"/>
      <c r="WWW13" s="21"/>
      <c r="WWX13" s="21"/>
      <c r="WWY13" s="21"/>
      <c r="WWZ13" s="21"/>
      <c r="WXA13" s="21"/>
      <c r="WXB13" s="21"/>
      <c r="WXC13" s="21"/>
      <c r="WXD13" s="21"/>
      <c r="WXE13" s="21"/>
      <c r="WXF13" s="21"/>
      <c r="WXG13" s="21"/>
      <c r="WXH13" s="21"/>
      <c r="WXI13" s="21"/>
      <c r="WXJ13" s="21"/>
      <c r="WXK13" s="21"/>
      <c r="WXL13" s="21"/>
      <c r="WXM13" s="21"/>
      <c r="WXN13" s="21"/>
      <c r="WXO13" s="21"/>
      <c r="WXP13" s="21"/>
      <c r="WXQ13" s="21"/>
      <c r="WXR13" s="21"/>
      <c r="WXS13" s="21"/>
      <c r="WXT13" s="21"/>
      <c r="WXU13" s="21"/>
      <c r="WXV13" s="21"/>
      <c r="WXW13" s="21"/>
      <c r="WXX13" s="21"/>
      <c r="WXY13" s="21"/>
      <c r="WXZ13" s="21"/>
      <c r="WYA13" s="21"/>
      <c r="WYB13" s="21"/>
      <c r="WYC13" s="21"/>
      <c r="WYD13" s="21"/>
      <c r="WYE13" s="21"/>
      <c r="WYF13" s="21"/>
      <c r="WYG13" s="21"/>
      <c r="WYH13" s="21"/>
      <c r="WYI13" s="21"/>
      <c r="WYJ13" s="21"/>
      <c r="WYK13" s="21"/>
      <c r="WYL13" s="21"/>
      <c r="WYM13" s="21"/>
      <c r="WYN13" s="21"/>
      <c r="WYO13" s="21"/>
      <c r="WYP13" s="21"/>
      <c r="WYQ13" s="21"/>
      <c r="WYR13" s="21"/>
      <c r="WYS13" s="21"/>
      <c r="WYT13" s="21"/>
      <c r="WYU13" s="21"/>
      <c r="WYV13" s="21"/>
      <c r="WYW13" s="21"/>
      <c r="WYX13" s="21"/>
      <c r="WYY13" s="21"/>
      <c r="WYZ13" s="21"/>
      <c r="WZA13" s="21"/>
      <c r="WZB13" s="21"/>
      <c r="WZC13" s="21"/>
      <c r="WZD13" s="21"/>
      <c r="WZE13" s="21"/>
      <c r="WZF13" s="21"/>
      <c r="WZG13" s="21"/>
      <c r="WZH13" s="21"/>
      <c r="WZI13" s="21"/>
      <c r="WZJ13" s="21"/>
      <c r="WZK13" s="21"/>
      <c r="WZL13" s="21"/>
      <c r="WZM13" s="21"/>
      <c r="WZN13" s="21"/>
      <c r="WZO13" s="21"/>
      <c r="WZP13" s="21"/>
      <c r="WZQ13" s="21"/>
      <c r="WZR13" s="21"/>
      <c r="WZS13" s="21"/>
      <c r="WZT13" s="21"/>
      <c r="WZU13" s="21"/>
      <c r="WZV13" s="21"/>
      <c r="WZW13" s="21"/>
      <c r="WZX13" s="21"/>
      <c r="WZY13" s="21"/>
      <c r="WZZ13" s="21"/>
      <c r="XAA13" s="21"/>
      <c r="XAB13" s="21"/>
      <c r="XAC13" s="21"/>
      <c r="XAD13" s="21"/>
      <c r="XAE13" s="21"/>
      <c r="XAF13" s="21"/>
      <c r="XAG13" s="21"/>
      <c r="XAH13" s="21"/>
      <c r="XAI13" s="21"/>
      <c r="XAJ13" s="21"/>
      <c r="XAK13" s="21"/>
      <c r="XAL13" s="21"/>
      <c r="XAM13" s="21"/>
      <c r="XAN13" s="21"/>
      <c r="XAO13" s="21"/>
      <c r="XAP13" s="21"/>
      <c r="XAQ13" s="21"/>
      <c r="XAR13" s="21"/>
      <c r="XAS13" s="21"/>
      <c r="XAT13" s="21"/>
      <c r="XAU13" s="21"/>
      <c r="XAV13" s="21"/>
      <c r="XAW13" s="21"/>
      <c r="XAX13" s="21"/>
      <c r="XAY13" s="21"/>
      <c r="XAZ13" s="21"/>
      <c r="XBA13" s="21"/>
      <c r="XBB13" s="21"/>
      <c r="XBC13" s="21"/>
      <c r="XBD13" s="21"/>
      <c r="XBE13" s="21"/>
      <c r="XBF13" s="21"/>
      <c r="XBG13" s="21"/>
      <c r="XBH13" s="21"/>
      <c r="XBI13" s="21"/>
      <c r="XBJ13" s="21"/>
      <c r="XBK13" s="21"/>
      <c r="XBL13" s="21"/>
      <c r="XBM13" s="21"/>
      <c r="XBN13" s="21"/>
      <c r="XBO13" s="21"/>
      <c r="XBP13" s="21"/>
      <c r="XBQ13" s="21"/>
      <c r="XBR13" s="21"/>
      <c r="XBS13" s="21"/>
      <c r="XBT13" s="21"/>
      <c r="XBU13" s="21"/>
      <c r="XBV13" s="21"/>
      <c r="XBW13" s="21"/>
      <c r="XBX13" s="21"/>
      <c r="XBY13" s="21"/>
      <c r="XBZ13" s="21"/>
      <c r="XCA13" s="21"/>
      <c r="XCB13" s="21"/>
      <c r="XCC13" s="21"/>
      <c r="XCD13" s="21"/>
      <c r="XCE13" s="21"/>
      <c r="XCF13" s="21"/>
      <c r="XCG13" s="21"/>
      <c r="XCH13" s="21"/>
      <c r="XCI13" s="21"/>
      <c r="XCJ13" s="21"/>
      <c r="XCK13" s="21"/>
      <c r="XCL13" s="21"/>
      <c r="XCM13" s="21"/>
      <c r="XCN13" s="21"/>
      <c r="XCO13" s="21"/>
      <c r="XCP13" s="21"/>
      <c r="XCQ13" s="21"/>
      <c r="XCR13" s="21"/>
      <c r="XCS13" s="21"/>
      <c r="XCT13" s="21"/>
      <c r="XCU13" s="21"/>
      <c r="XCV13" s="21"/>
      <c r="XCW13" s="21"/>
      <c r="XCX13" s="21"/>
      <c r="XCY13" s="21"/>
      <c r="XCZ13" s="21"/>
      <c r="XDA13" s="21"/>
      <c r="XDB13" s="21"/>
      <c r="XDC13" s="21"/>
      <c r="XDD13" s="21"/>
      <c r="XDE13" s="21"/>
      <c r="XDF13" s="21"/>
      <c r="XDG13" s="21"/>
      <c r="XDH13" s="21"/>
      <c r="XDI13" s="21"/>
      <c r="XDJ13" s="21"/>
      <c r="XDK13" s="21"/>
      <c r="XDL13" s="21"/>
      <c r="XDM13" s="21"/>
      <c r="XDN13" s="21"/>
      <c r="XDO13" s="21"/>
      <c r="XDP13" s="21"/>
      <c r="XDQ13" s="21"/>
      <c r="XDR13" s="21"/>
      <c r="XDS13" s="21"/>
      <c r="XDT13" s="21"/>
      <c r="XDU13" s="21"/>
      <c r="XDV13" s="21"/>
      <c r="XDW13" s="21"/>
      <c r="XDX13" s="21"/>
      <c r="XDY13" s="21"/>
      <c r="XDZ13" s="21"/>
      <c r="XEA13" s="21"/>
      <c r="XEB13" s="21"/>
      <c r="XEC13" s="21"/>
      <c r="XED13" s="21"/>
      <c r="XEE13" s="21"/>
      <c r="XEF13" s="21"/>
      <c r="XEG13" s="21"/>
      <c r="XEH13" s="21"/>
      <c r="XEI13" s="21"/>
      <c r="XEJ13" s="21"/>
      <c r="XEK13" s="21"/>
      <c r="XEL13" s="21"/>
      <c r="XEM13" s="21"/>
      <c r="XEN13" s="21"/>
      <c r="XEO13" s="21"/>
      <c r="XEP13" s="21"/>
      <c r="XEQ13" s="21"/>
      <c r="XER13" s="21"/>
      <c r="XES13" s="21"/>
      <c r="XET13" s="21"/>
      <c r="XEU13" s="21"/>
      <c r="XEV13" s="21"/>
      <c r="XEW13" s="21"/>
      <c r="XEX13" s="21"/>
      <c r="XEY13" s="21"/>
      <c r="XEZ13" s="21"/>
      <c r="XFA13" s="21"/>
      <c r="XFB13" s="21"/>
      <c r="XFC13" s="21"/>
      <c r="XFD13" s="21"/>
    </row>
    <row r="14" spans="2:16384" x14ac:dyDescent="0.25">
      <c r="B14" s="49" t="s">
        <v>57</v>
      </c>
      <c r="C14" s="152" t="s">
        <v>15</v>
      </c>
      <c r="D14" s="86" t="s">
        <v>2</v>
      </c>
    </row>
    <row r="15" spans="2:16384" ht="14.4" thickBot="1" x14ac:dyDescent="0.3">
      <c r="B15" s="50" t="s">
        <v>111</v>
      </c>
      <c r="C15" s="438" t="s">
        <v>156</v>
      </c>
      <c r="D15" s="88"/>
    </row>
    <row r="16" spans="2:16384" ht="14.4" thickBot="1" x14ac:dyDescent="0.3"/>
    <row r="17" spans="2:88" ht="41.4" x14ac:dyDescent="0.25">
      <c r="B17" s="471" t="s">
        <v>109</v>
      </c>
      <c r="C17" s="1383" t="s">
        <v>115</v>
      </c>
    </row>
    <row r="18" spans="2:88" ht="14.4" thickBot="1" x14ac:dyDescent="0.3">
      <c r="B18" s="472" t="s">
        <v>63</v>
      </c>
      <c r="C18" s="436" t="s">
        <v>116</v>
      </c>
      <c r="D18" s="436" t="s">
        <v>64</v>
      </c>
      <c r="E18" s="436" t="s">
        <v>117</v>
      </c>
      <c r="F18" s="437" t="s">
        <v>118</v>
      </c>
      <c r="G18" s="435" t="s">
        <v>119</v>
      </c>
      <c r="H18" s="436" t="s">
        <v>120</v>
      </c>
      <c r="I18" s="436" t="s">
        <v>121</v>
      </c>
      <c r="J18" s="436" t="s">
        <v>122</v>
      </c>
      <c r="K18" s="436" t="s">
        <v>123</v>
      </c>
      <c r="L18" s="436" t="s">
        <v>124</v>
      </c>
      <c r="M18" s="436" t="s">
        <v>125</v>
      </c>
      <c r="N18" s="436" t="s">
        <v>126</v>
      </c>
      <c r="O18" s="436" t="s">
        <v>127</v>
      </c>
      <c r="P18" s="436" t="s">
        <v>128</v>
      </c>
      <c r="Q18" s="436" t="s">
        <v>129</v>
      </c>
      <c r="R18" s="436" t="s">
        <v>130</v>
      </c>
      <c r="S18" s="436" t="s">
        <v>157</v>
      </c>
      <c r="T18" s="436" t="s">
        <v>158</v>
      </c>
      <c r="U18" s="436" t="s">
        <v>159</v>
      </c>
      <c r="V18" s="436" t="s">
        <v>160</v>
      </c>
      <c r="W18" s="436" t="s">
        <v>131</v>
      </c>
      <c r="X18" s="436" t="s">
        <v>161</v>
      </c>
      <c r="Y18" s="436" t="s">
        <v>162</v>
      </c>
      <c r="Z18" s="436" t="s">
        <v>163</v>
      </c>
      <c r="AA18" s="436" t="s">
        <v>164</v>
      </c>
      <c r="AB18" s="436" t="s">
        <v>132</v>
      </c>
      <c r="AC18" s="436" t="s">
        <v>165</v>
      </c>
      <c r="AD18" s="436" t="s">
        <v>166</v>
      </c>
      <c r="AE18" s="436" t="s">
        <v>167</v>
      </c>
      <c r="AF18" s="436" t="s">
        <v>168</v>
      </c>
      <c r="AG18" s="436" t="s">
        <v>133</v>
      </c>
      <c r="AH18" s="436" t="s">
        <v>169</v>
      </c>
      <c r="AI18" s="436" t="s">
        <v>170</v>
      </c>
      <c r="AJ18" s="436" t="s">
        <v>171</v>
      </c>
      <c r="AK18" s="436" t="s">
        <v>172</v>
      </c>
      <c r="AL18" s="436" t="s">
        <v>134</v>
      </c>
      <c r="AM18" s="436" t="s">
        <v>173</v>
      </c>
      <c r="AN18" s="436" t="s">
        <v>174</v>
      </c>
      <c r="AO18" s="436" t="s">
        <v>175</v>
      </c>
      <c r="AP18" s="436" t="s">
        <v>176</v>
      </c>
      <c r="AQ18" s="436" t="s">
        <v>135</v>
      </c>
      <c r="AR18" s="436" t="s">
        <v>177</v>
      </c>
      <c r="AS18" s="436" t="s">
        <v>178</v>
      </c>
      <c r="AT18" s="436" t="s">
        <v>179</v>
      </c>
      <c r="AU18" s="436" t="s">
        <v>180</v>
      </c>
      <c r="AV18" s="436" t="s">
        <v>136</v>
      </c>
      <c r="AW18" s="436" t="s">
        <v>181</v>
      </c>
      <c r="AX18" s="436" t="s">
        <v>182</v>
      </c>
      <c r="AY18" s="436" t="s">
        <v>183</v>
      </c>
      <c r="AZ18" s="436" t="s">
        <v>184</v>
      </c>
      <c r="BA18" s="436" t="s">
        <v>137</v>
      </c>
      <c r="BB18" s="436" t="s">
        <v>185</v>
      </c>
      <c r="BC18" s="436" t="s">
        <v>186</v>
      </c>
      <c r="BD18" s="436" t="s">
        <v>187</v>
      </c>
      <c r="BE18" s="436" t="s">
        <v>188</v>
      </c>
      <c r="BF18" s="436" t="s">
        <v>138</v>
      </c>
      <c r="BG18" s="436" t="s">
        <v>189</v>
      </c>
      <c r="BH18" s="436" t="s">
        <v>190</v>
      </c>
      <c r="BI18" s="436" t="s">
        <v>191</v>
      </c>
      <c r="BJ18" s="436" t="s">
        <v>192</v>
      </c>
      <c r="BK18" s="436" t="s">
        <v>139</v>
      </c>
      <c r="BL18" s="436" t="s">
        <v>193</v>
      </c>
      <c r="BM18" s="436" t="s">
        <v>194</v>
      </c>
      <c r="BN18" s="436" t="s">
        <v>195</v>
      </c>
      <c r="BO18" s="436" t="s">
        <v>196</v>
      </c>
      <c r="BP18" s="436" t="s">
        <v>140</v>
      </c>
      <c r="BQ18" s="436" t="s">
        <v>197</v>
      </c>
      <c r="BR18" s="436" t="s">
        <v>198</v>
      </c>
      <c r="BS18" s="436" t="s">
        <v>199</v>
      </c>
      <c r="BT18" s="436" t="s">
        <v>200</v>
      </c>
      <c r="BU18" s="436" t="s">
        <v>141</v>
      </c>
      <c r="BV18" s="436" t="s">
        <v>201</v>
      </c>
      <c r="BW18" s="436" t="s">
        <v>202</v>
      </c>
      <c r="BX18" s="436" t="s">
        <v>203</v>
      </c>
      <c r="BY18" s="436" t="s">
        <v>204</v>
      </c>
      <c r="BZ18" s="436" t="s">
        <v>142</v>
      </c>
      <c r="CA18" s="436" t="s">
        <v>205</v>
      </c>
      <c r="CB18" s="436" t="s">
        <v>206</v>
      </c>
      <c r="CC18" s="436" t="s">
        <v>207</v>
      </c>
      <c r="CD18" s="436" t="s">
        <v>208</v>
      </c>
      <c r="CE18" s="436" t="s">
        <v>143</v>
      </c>
      <c r="CF18" s="436" t="s">
        <v>209</v>
      </c>
      <c r="CG18" s="436" t="s">
        <v>210</v>
      </c>
      <c r="CH18" s="436" t="s">
        <v>211</v>
      </c>
      <c r="CI18" s="436" t="s">
        <v>212</v>
      </c>
      <c r="CJ18" s="436" t="s">
        <v>213</v>
      </c>
    </row>
    <row r="19" spans="2:88" ht="13.95" customHeight="1" x14ac:dyDescent="0.25">
      <c r="B19" s="517" t="s">
        <v>214</v>
      </c>
      <c r="C19" s="518" t="s">
        <v>215</v>
      </c>
      <c r="D19" s="519" t="s">
        <v>216</v>
      </c>
      <c r="E19" s="519" t="s">
        <v>149</v>
      </c>
      <c r="F19" s="520">
        <v>1</v>
      </c>
      <c r="G19" s="347"/>
      <c r="H19" s="348"/>
      <c r="I19" s="348">
        <f t="shared" ref="I19:BS19" si="0">SUM(I20:I28)</f>
        <v>148.50233999999995</v>
      </c>
      <c r="J19" s="348">
        <f t="shared" si="0"/>
        <v>146.99437850169664</v>
      </c>
      <c r="K19" s="348">
        <f t="shared" si="0"/>
        <v>145.89439658944576</v>
      </c>
      <c r="L19" s="348">
        <f t="shared" si="0"/>
        <v>145.03537363456863</v>
      </c>
      <c r="M19" s="348">
        <f t="shared" si="0"/>
        <v>142.88043282983566</v>
      </c>
      <c r="N19" s="348">
        <f t="shared" si="0"/>
        <v>139.63446807968592</v>
      </c>
      <c r="O19" s="348">
        <f t="shared" si="0"/>
        <v>136.37113730504177</v>
      </c>
      <c r="P19" s="348">
        <f t="shared" si="0"/>
        <v>133.28874702220776</v>
      </c>
      <c r="Q19" s="348">
        <f t="shared" si="0"/>
        <v>130.33969810330757</v>
      </c>
      <c r="R19" s="348">
        <f t="shared" si="0"/>
        <v>125.47269806872632</v>
      </c>
      <c r="S19" s="348">
        <f t="shared" si="0"/>
        <v>120.60366175889094</v>
      </c>
      <c r="T19" s="348">
        <f t="shared" si="0"/>
        <v>117.75446095752473</v>
      </c>
      <c r="U19" s="348">
        <f t="shared" si="0"/>
        <v>114.99765879401994</v>
      </c>
      <c r="V19" s="348">
        <f t="shared" si="0"/>
        <v>112.31310764110941</v>
      </c>
      <c r="W19" s="348">
        <f t="shared" si="0"/>
        <v>110.91863836911656</v>
      </c>
      <c r="X19" s="348">
        <f t="shared" si="0"/>
        <v>109.57999852848583</v>
      </c>
      <c r="Y19" s="348">
        <f t="shared" si="0"/>
        <v>108.31372396976265</v>
      </c>
      <c r="Z19" s="348">
        <f t="shared" si="0"/>
        <v>107.08381126693622</v>
      </c>
      <c r="AA19" s="348">
        <f t="shared" si="0"/>
        <v>105.87723863360254</v>
      </c>
      <c r="AB19" s="348">
        <f t="shared" si="0"/>
        <v>105.00092831162078</v>
      </c>
      <c r="AC19" s="348">
        <f t="shared" si="0"/>
        <v>104.44856566213849</v>
      </c>
      <c r="AD19" s="348">
        <f t="shared" si="0"/>
        <v>103.93671932849115</v>
      </c>
      <c r="AE19" s="348">
        <f t="shared" si="0"/>
        <v>103.40103414162969</v>
      </c>
      <c r="AF19" s="348">
        <f t="shared" si="0"/>
        <v>102.79404521926185</v>
      </c>
      <c r="AG19" s="348">
        <f t="shared" si="0"/>
        <v>102.93847847241629</v>
      </c>
      <c r="AH19" s="348">
        <f t="shared" si="0"/>
        <v>102.92563234502946</v>
      </c>
      <c r="AI19" s="348">
        <f t="shared" si="0"/>
        <v>102.89370537249222</v>
      </c>
      <c r="AJ19" s="348">
        <f t="shared" si="0"/>
        <v>102.83350245775883</v>
      </c>
      <c r="AK19" s="348">
        <f t="shared" si="0"/>
        <v>102.73245767928658</v>
      </c>
      <c r="AL19" s="348">
        <f t="shared" si="0"/>
        <v>102.63501719966757</v>
      </c>
      <c r="AM19" s="348">
        <f t="shared" si="0"/>
        <v>102.54654273800817</v>
      </c>
      <c r="AN19" s="348">
        <f t="shared" si="0"/>
        <v>102.40908037501168</v>
      </c>
      <c r="AO19" s="348">
        <f t="shared" si="0"/>
        <v>102.27469020226033</v>
      </c>
      <c r="AP19" s="348">
        <f t="shared" si="0"/>
        <v>102.12950665031633</v>
      </c>
      <c r="AQ19" s="348">
        <f t="shared" si="0"/>
        <v>103.80299786223412</v>
      </c>
      <c r="AR19" s="348">
        <f t="shared" si="0"/>
        <v>105.69644627304058</v>
      </c>
      <c r="AS19" s="348">
        <f t="shared" si="0"/>
        <v>105.91353450979564</v>
      </c>
      <c r="AT19" s="348">
        <f t="shared" si="0"/>
        <v>105.82816029594319</v>
      </c>
      <c r="AU19" s="348">
        <f t="shared" si="0"/>
        <v>105.79192237014888</v>
      </c>
      <c r="AV19" s="348">
        <f t="shared" si="0"/>
        <v>105.72446223150027</v>
      </c>
      <c r="AW19" s="348">
        <f t="shared" si="0"/>
        <v>105.6793894597989</v>
      </c>
      <c r="AX19" s="348">
        <f t="shared" si="0"/>
        <v>105.64270878528384</v>
      </c>
      <c r="AY19" s="348">
        <f t="shared" si="0"/>
        <v>105.56905842023329</v>
      </c>
      <c r="AZ19" s="348">
        <f t="shared" si="0"/>
        <v>105.51156003840897</v>
      </c>
      <c r="BA19" s="348">
        <f t="shared" si="0"/>
        <v>105.43296259436406</v>
      </c>
      <c r="BB19" s="348">
        <f t="shared" si="0"/>
        <v>105.37699759867857</v>
      </c>
      <c r="BC19" s="348">
        <f t="shared" si="0"/>
        <v>105.31336903519727</v>
      </c>
      <c r="BD19" s="348">
        <f t="shared" si="0"/>
        <v>105.23788067472252</v>
      </c>
      <c r="BE19" s="348">
        <f t="shared" si="0"/>
        <v>105.18464196597378</v>
      </c>
      <c r="BF19" s="348">
        <f t="shared" si="0"/>
        <v>105.12350766860439</v>
      </c>
      <c r="BG19" s="348">
        <f t="shared" si="0"/>
        <v>105.05100567798533</v>
      </c>
      <c r="BH19" s="348">
        <f t="shared" si="0"/>
        <v>104.99250334344721</v>
      </c>
      <c r="BI19" s="348">
        <f t="shared" si="0"/>
        <v>104.93419134804694</v>
      </c>
      <c r="BJ19" s="348">
        <f t="shared" si="0"/>
        <v>104.86463950641283</v>
      </c>
      <c r="BK19" s="348">
        <f t="shared" si="0"/>
        <v>104.80886684559073</v>
      </c>
      <c r="BL19" s="348">
        <f t="shared" si="0"/>
        <v>104.73322039014253</v>
      </c>
      <c r="BM19" s="348">
        <f t="shared" si="0"/>
        <v>104.67899215073041</v>
      </c>
      <c r="BN19" s="348">
        <f t="shared" si="0"/>
        <v>104.62558594232067</v>
      </c>
      <c r="BO19" s="348">
        <f t="shared" si="0"/>
        <v>104.55291592844358</v>
      </c>
      <c r="BP19" s="348">
        <f t="shared" si="0"/>
        <v>0</v>
      </c>
      <c r="BQ19" s="348">
        <f t="shared" si="0"/>
        <v>0</v>
      </c>
      <c r="BR19" s="348">
        <f t="shared" si="0"/>
        <v>0</v>
      </c>
      <c r="BS19" s="348">
        <f t="shared" si="0"/>
        <v>0</v>
      </c>
      <c r="BT19" s="348">
        <f t="shared" ref="BT19:CJ19" si="1">SUM(BT20:BT28)</f>
        <v>0</v>
      </c>
      <c r="BU19" s="348">
        <f t="shared" si="1"/>
        <v>0</v>
      </c>
      <c r="BV19" s="348">
        <f t="shared" si="1"/>
        <v>0</v>
      </c>
      <c r="BW19" s="348">
        <f t="shared" si="1"/>
        <v>0</v>
      </c>
      <c r="BX19" s="348">
        <f t="shared" si="1"/>
        <v>0</v>
      </c>
      <c r="BY19" s="348">
        <f t="shared" si="1"/>
        <v>0</v>
      </c>
      <c r="BZ19" s="348">
        <f t="shared" si="1"/>
        <v>0</v>
      </c>
      <c r="CA19" s="348">
        <f t="shared" si="1"/>
        <v>0</v>
      </c>
      <c r="CB19" s="348">
        <f t="shared" si="1"/>
        <v>0</v>
      </c>
      <c r="CC19" s="348">
        <f t="shared" si="1"/>
        <v>0</v>
      </c>
      <c r="CD19" s="348">
        <f t="shared" si="1"/>
        <v>0</v>
      </c>
      <c r="CE19" s="348">
        <f t="shared" si="1"/>
        <v>0</v>
      </c>
      <c r="CF19" s="348">
        <f t="shared" si="1"/>
        <v>0</v>
      </c>
      <c r="CG19" s="348">
        <f t="shared" si="1"/>
        <v>0</v>
      </c>
      <c r="CH19" s="348">
        <f t="shared" si="1"/>
        <v>0</v>
      </c>
      <c r="CI19" s="348">
        <f t="shared" si="1"/>
        <v>0</v>
      </c>
      <c r="CJ19" s="348">
        <f t="shared" si="1"/>
        <v>0</v>
      </c>
    </row>
    <row r="20" spans="2:88" x14ac:dyDescent="0.25">
      <c r="B20" s="521" t="s">
        <v>217</v>
      </c>
      <c r="C20" s="522" t="s">
        <v>218</v>
      </c>
      <c r="D20" s="523" t="s">
        <v>79</v>
      </c>
      <c r="E20" s="523" t="s">
        <v>149</v>
      </c>
      <c r="F20" s="524">
        <v>1</v>
      </c>
      <c r="G20" s="349"/>
      <c r="H20" s="350"/>
      <c r="I20" s="350">
        <v>31.443942207194304</v>
      </c>
      <c r="J20" s="350">
        <v>31.204102426173652</v>
      </c>
      <c r="K20" s="350">
        <v>31.010149724261677</v>
      </c>
      <c r="L20" s="351">
        <v>30.841256877939429</v>
      </c>
      <c r="M20" s="351">
        <v>30.346631913855692</v>
      </c>
      <c r="N20" s="351">
        <v>29.621649891060784</v>
      </c>
      <c r="O20" s="351">
        <v>28.937568937132632</v>
      </c>
      <c r="P20" s="351">
        <v>28.290749014666876</v>
      </c>
      <c r="Q20" s="351">
        <v>27.672423454751467</v>
      </c>
      <c r="R20" s="351">
        <v>26.648929852821134</v>
      </c>
      <c r="S20" s="351">
        <v>25.625291068303898</v>
      </c>
      <c r="T20" s="351">
        <v>25.028879840511799</v>
      </c>
      <c r="U20" s="351">
        <v>24.45321802853849</v>
      </c>
      <c r="V20" s="351">
        <v>23.894191963688549</v>
      </c>
      <c r="W20" s="351">
        <v>23.514892137778943</v>
      </c>
      <c r="X20" s="351">
        <v>23.149036133442767</v>
      </c>
      <c r="Y20" s="351">
        <v>22.799391274085508</v>
      </c>
      <c r="Z20" s="351">
        <v>22.459409648466643</v>
      </c>
      <c r="AA20" s="351">
        <v>22.126728659933757</v>
      </c>
      <c r="AB20" s="351">
        <v>21.86493319844033</v>
      </c>
      <c r="AC20" s="351">
        <v>21.670798194046817</v>
      </c>
      <c r="AD20" s="351">
        <v>21.485724602982785</v>
      </c>
      <c r="AE20" s="351">
        <v>21.298087135542609</v>
      </c>
      <c r="AF20" s="351">
        <v>21.10001476580338</v>
      </c>
      <c r="AG20" s="351">
        <v>21.05594853773259</v>
      </c>
      <c r="AH20" s="351">
        <v>20.980232711467949</v>
      </c>
      <c r="AI20" s="351">
        <v>20.900222863447475</v>
      </c>
      <c r="AJ20" s="351">
        <v>20.814495718003961</v>
      </c>
      <c r="AK20" s="351">
        <v>20.720959441857321</v>
      </c>
      <c r="AL20" s="351">
        <v>20.627917607059551</v>
      </c>
      <c r="AM20" s="351">
        <v>20.536521230051036</v>
      </c>
      <c r="AN20" s="351">
        <v>20.436446673606504</v>
      </c>
      <c r="AO20" s="351">
        <v>20.336557740738655</v>
      </c>
      <c r="AP20" s="351">
        <v>20.234767189881751</v>
      </c>
      <c r="AQ20" s="351">
        <v>20.49320176610761</v>
      </c>
      <c r="AR20" s="351">
        <v>20.791660300743136</v>
      </c>
      <c r="AS20" s="351">
        <v>20.759572257615471</v>
      </c>
      <c r="AT20" s="351">
        <v>20.666545837144959</v>
      </c>
      <c r="AU20" s="351">
        <v>20.583103360811851</v>
      </c>
      <c r="AV20" s="351">
        <v>20.494754067367865</v>
      </c>
      <c r="AW20" s="351">
        <v>20.4103827809721</v>
      </c>
      <c r="AX20" s="351">
        <v>20.327600745285938</v>
      </c>
      <c r="AY20" s="351">
        <v>20.238851384683457</v>
      </c>
      <c r="AZ20" s="351">
        <v>20.1528683187388</v>
      </c>
      <c r="BA20" s="351">
        <v>20.063729838128726</v>
      </c>
      <c r="BB20" s="351">
        <v>19.978582377299194</v>
      </c>
      <c r="BC20" s="351">
        <v>19.892515134276614</v>
      </c>
      <c r="BD20" s="351">
        <v>19.804802384478048</v>
      </c>
      <c r="BE20" s="351">
        <v>19.720974112064347</v>
      </c>
      <c r="BF20" s="351">
        <v>19.636187185590458</v>
      </c>
      <c r="BG20" s="351">
        <v>19.549858784821179</v>
      </c>
      <c r="BH20" s="351">
        <v>19.466100446552385</v>
      </c>
      <c r="BI20" s="351">
        <v>19.382641447031077</v>
      </c>
      <c r="BJ20" s="351">
        <v>19.297675556585734</v>
      </c>
      <c r="BK20" s="351">
        <v>19.215214847754535</v>
      </c>
      <c r="BL20" s="351">
        <v>19.129916154129742</v>
      </c>
      <c r="BM20" s="351">
        <v>19.048265792526653</v>
      </c>
      <c r="BN20" s="351">
        <v>18.967022703574198</v>
      </c>
      <c r="BO20" s="351">
        <v>18.88307406936736</v>
      </c>
      <c r="BP20" s="351"/>
      <c r="BQ20" s="351"/>
      <c r="BR20" s="351"/>
      <c r="BS20" s="351"/>
      <c r="BT20" s="351"/>
      <c r="BU20" s="351"/>
      <c r="BV20" s="351"/>
      <c r="BW20" s="351"/>
      <c r="BX20" s="351"/>
      <c r="BY20" s="351"/>
      <c r="BZ20" s="351"/>
      <c r="CA20" s="351"/>
      <c r="CB20" s="351"/>
      <c r="CC20" s="351"/>
      <c r="CD20" s="351"/>
      <c r="CE20" s="351"/>
      <c r="CF20" s="351"/>
      <c r="CG20" s="351"/>
      <c r="CH20" s="351"/>
      <c r="CI20" s="351"/>
      <c r="CJ20" s="351"/>
    </row>
    <row r="21" spans="2:88" x14ac:dyDescent="0.25">
      <c r="B21" s="521" t="s">
        <v>219</v>
      </c>
      <c r="C21" s="522" t="s">
        <v>220</v>
      </c>
      <c r="D21" s="523" t="s">
        <v>79</v>
      </c>
      <c r="E21" s="523" t="s">
        <v>149</v>
      </c>
      <c r="F21" s="524">
        <v>1</v>
      </c>
      <c r="G21" s="349"/>
      <c r="H21" s="350"/>
      <c r="I21" s="350">
        <v>60.739488809769782</v>
      </c>
      <c r="J21" s="350">
        <v>60.797028977276362</v>
      </c>
      <c r="K21" s="350">
        <v>60.941294385442603</v>
      </c>
      <c r="L21" s="351">
        <v>61.133274346295487</v>
      </c>
      <c r="M21" s="351">
        <v>60.672863202289534</v>
      </c>
      <c r="N21" s="351">
        <v>59.73546742610278</v>
      </c>
      <c r="O21" s="351">
        <v>58.649185349159474</v>
      </c>
      <c r="P21" s="351">
        <v>57.626375676000073</v>
      </c>
      <c r="Q21" s="351">
        <v>56.650138292854308</v>
      </c>
      <c r="R21" s="351">
        <v>54.829018611359928</v>
      </c>
      <c r="S21" s="351">
        <v>52.987865488653121</v>
      </c>
      <c r="T21" s="351">
        <v>52.014682355953688</v>
      </c>
      <c r="U21" s="351">
        <v>51.073718291493456</v>
      </c>
      <c r="V21" s="351">
        <v>50.156904351550729</v>
      </c>
      <c r="W21" s="351">
        <v>49.608750218335665</v>
      </c>
      <c r="X21" s="351">
        <v>49.082325042056546</v>
      </c>
      <c r="Y21" s="351">
        <v>48.583901257099583</v>
      </c>
      <c r="Z21" s="351">
        <v>48.099923914558495</v>
      </c>
      <c r="AA21" s="351">
        <v>47.625569533766601</v>
      </c>
      <c r="AB21" s="351">
        <v>47.29857386637881</v>
      </c>
      <c r="AC21" s="351">
        <v>47.114188858277366</v>
      </c>
      <c r="AD21" s="351">
        <v>46.946555648706678</v>
      </c>
      <c r="AE21" s="351">
        <v>46.770417710404324</v>
      </c>
      <c r="AF21" s="351">
        <v>46.568293945430476</v>
      </c>
      <c r="AG21" s="351">
        <v>46.704561414788131</v>
      </c>
      <c r="AH21" s="351">
        <v>46.770467174828312</v>
      </c>
      <c r="AI21" s="351">
        <v>46.826235316933428</v>
      </c>
      <c r="AJ21" s="351">
        <v>46.868509121849605</v>
      </c>
      <c r="AK21" s="351">
        <v>46.892352965822219</v>
      </c>
      <c r="AL21" s="351">
        <v>46.916377491291307</v>
      </c>
      <c r="AM21" s="351">
        <v>46.943220603600814</v>
      </c>
      <c r="AN21" s="351">
        <v>46.949212148064603</v>
      </c>
      <c r="AO21" s="351">
        <v>46.954507085190002</v>
      </c>
      <c r="AP21" s="351">
        <v>46.954257025884047</v>
      </c>
      <c r="AQ21" s="351">
        <v>47.792912377520508</v>
      </c>
      <c r="AR21" s="351">
        <v>48.732621066994</v>
      </c>
      <c r="AS21" s="351">
        <v>48.901920976068276</v>
      </c>
      <c r="AT21" s="351">
        <v>48.927422036331244</v>
      </c>
      <c r="AU21" s="351">
        <v>48.974748239226685</v>
      </c>
      <c r="AV21" s="351">
        <v>49.009580787018216</v>
      </c>
      <c r="AW21" s="351">
        <v>49.053087208871638</v>
      </c>
      <c r="AX21" s="351">
        <v>49.099631999920859</v>
      </c>
      <c r="AY21" s="351">
        <v>49.130919886804179</v>
      </c>
      <c r="AZ21" s="351">
        <v>49.168031443556742</v>
      </c>
      <c r="BA21" s="351">
        <v>49.196538212674447</v>
      </c>
      <c r="BB21" s="351">
        <v>49.233925107172347</v>
      </c>
      <c r="BC21" s="351">
        <v>49.268167401997019</v>
      </c>
      <c r="BD21" s="351">
        <v>49.29741465359362</v>
      </c>
      <c r="BE21" s="351">
        <v>49.335429425573963</v>
      </c>
      <c r="BF21" s="351">
        <v>49.370171112313848</v>
      </c>
      <c r="BG21" s="351">
        <v>49.400121030510256</v>
      </c>
      <c r="BH21" s="351">
        <v>49.435652133346608</v>
      </c>
      <c r="BI21" s="351">
        <v>49.471056900122278</v>
      </c>
      <c r="BJ21" s="351">
        <v>49.501703727733002</v>
      </c>
      <c r="BK21" s="351">
        <v>49.53786782039942</v>
      </c>
      <c r="BL21" s="351">
        <v>49.565792114617373</v>
      </c>
      <c r="BM21" s="351">
        <v>49.602246494635217</v>
      </c>
      <c r="BN21" s="351">
        <v>49.638881499924793</v>
      </c>
      <c r="BO21" s="351">
        <v>49.667515841009681</v>
      </c>
      <c r="BP21" s="351"/>
      <c r="BQ21" s="351"/>
      <c r="BR21" s="351"/>
      <c r="BS21" s="351"/>
      <c r="BT21" s="351"/>
      <c r="BU21" s="351"/>
      <c r="BV21" s="351"/>
      <c r="BW21" s="351"/>
      <c r="BX21" s="351"/>
      <c r="BY21" s="351"/>
      <c r="BZ21" s="351"/>
      <c r="CA21" s="351"/>
      <c r="CB21" s="351"/>
      <c r="CC21" s="351"/>
      <c r="CD21" s="351"/>
      <c r="CE21" s="351"/>
      <c r="CF21" s="351"/>
      <c r="CG21" s="351"/>
      <c r="CH21" s="351"/>
      <c r="CI21" s="351"/>
      <c r="CJ21" s="351"/>
    </row>
    <row r="22" spans="2:88" x14ac:dyDescent="0.25">
      <c r="B22" s="521" t="s">
        <v>221</v>
      </c>
      <c r="C22" s="522" t="s">
        <v>222</v>
      </c>
      <c r="D22" s="523" t="s">
        <v>79</v>
      </c>
      <c r="E22" s="523" t="s">
        <v>149</v>
      </c>
      <c r="F22" s="524">
        <v>1</v>
      </c>
      <c r="G22" s="349"/>
      <c r="H22" s="350"/>
      <c r="I22" s="350">
        <v>13.629368006775232</v>
      </c>
      <c r="J22" s="350">
        <v>13.316388571623412</v>
      </c>
      <c r="K22" s="350">
        <v>13.092043370584669</v>
      </c>
      <c r="L22" s="351">
        <v>12.923944251579641</v>
      </c>
      <c r="M22" s="351">
        <v>12.709703246577133</v>
      </c>
      <c r="N22" s="351">
        <v>12.401823190922741</v>
      </c>
      <c r="O22" s="351">
        <v>12.117337484481597</v>
      </c>
      <c r="P22" s="351">
        <v>11.853642770747363</v>
      </c>
      <c r="Q22" s="351">
        <v>11.604708117923028</v>
      </c>
      <c r="R22" s="351">
        <v>11.184765640676716</v>
      </c>
      <c r="S22" s="351">
        <v>10.766263063964939</v>
      </c>
      <c r="T22" s="351">
        <v>10.533428418255564</v>
      </c>
      <c r="U22" s="351">
        <v>10.310155039402281</v>
      </c>
      <c r="V22" s="351">
        <v>10.094341622223554</v>
      </c>
      <c r="W22" s="351">
        <v>9.9549740584786139</v>
      </c>
      <c r="X22" s="351">
        <v>9.8207805299002686</v>
      </c>
      <c r="Y22" s="351">
        <v>9.6953404517438049</v>
      </c>
      <c r="Z22" s="351">
        <v>9.5735236968159505</v>
      </c>
      <c r="AA22" s="351">
        <v>9.4534295575027372</v>
      </c>
      <c r="AB22" s="351">
        <v>9.3628518781257757</v>
      </c>
      <c r="AC22" s="351">
        <v>9.3030221659881747</v>
      </c>
      <c r="AD22" s="351">
        <v>9.247441383599627</v>
      </c>
      <c r="AE22" s="351">
        <v>9.1875473805113312</v>
      </c>
      <c r="AF22" s="351">
        <v>9.1161168067556506</v>
      </c>
      <c r="AG22" s="351">
        <v>9.1125825241594463</v>
      </c>
      <c r="AH22" s="351">
        <v>9.0943381965766132</v>
      </c>
      <c r="AI22" s="351">
        <v>9.0753938821717419</v>
      </c>
      <c r="AJ22" s="351">
        <v>9.0542955794624813</v>
      </c>
      <c r="AK22" s="351">
        <v>9.0293159739215625</v>
      </c>
      <c r="AL22" s="351">
        <v>9.0055732230526324</v>
      </c>
      <c r="AM22" s="351">
        <v>8.9833999907612778</v>
      </c>
      <c r="AN22" s="351">
        <v>8.955604602258239</v>
      </c>
      <c r="AO22" s="351">
        <v>8.9294356238437071</v>
      </c>
      <c r="AP22" s="351">
        <v>8.9025635063775237</v>
      </c>
      <c r="AQ22" s="351">
        <v>9.0326194640573387</v>
      </c>
      <c r="AR22" s="351">
        <v>9.1830677032125312</v>
      </c>
      <c r="AS22" s="351">
        <v>9.1866537421105221</v>
      </c>
      <c r="AT22" s="351">
        <v>9.1669535243483331</v>
      </c>
      <c r="AU22" s="351">
        <v>9.152002481525809</v>
      </c>
      <c r="AV22" s="351">
        <v>9.1327891374384631</v>
      </c>
      <c r="AW22" s="351">
        <v>9.1165927576347574</v>
      </c>
      <c r="AX22" s="351">
        <v>9.1015981164187991</v>
      </c>
      <c r="AY22" s="351">
        <v>9.0818905230020288</v>
      </c>
      <c r="AZ22" s="351">
        <v>9.0646352175358711</v>
      </c>
      <c r="BA22" s="351">
        <v>9.0445384594758451</v>
      </c>
      <c r="BB22" s="351">
        <v>9.0274314442401256</v>
      </c>
      <c r="BC22" s="351">
        <v>9.0092111119535527</v>
      </c>
      <c r="BD22" s="351">
        <v>8.9894334802794749</v>
      </c>
      <c r="BE22" s="351">
        <v>8.972582079907685</v>
      </c>
      <c r="BF22" s="351">
        <v>8.9546095271634432</v>
      </c>
      <c r="BG22" s="351">
        <v>8.9351361675643748</v>
      </c>
      <c r="BH22" s="351">
        <v>8.9174137144340229</v>
      </c>
      <c r="BI22" s="351">
        <v>8.8997173943853891</v>
      </c>
      <c r="BJ22" s="351">
        <v>8.8805452100534001</v>
      </c>
      <c r="BK22" s="351">
        <v>8.8630882674682425</v>
      </c>
      <c r="BL22" s="351">
        <v>8.8430032771488563</v>
      </c>
      <c r="BM22" s="351">
        <v>8.8257036766504928</v>
      </c>
      <c r="BN22" s="351">
        <v>8.8084819192645849</v>
      </c>
      <c r="BO22" s="351">
        <v>8.7887093392307012</v>
      </c>
      <c r="BP22" s="351"/>
      <c r="BQ22" s="351"/>
      <c r="BR22" s="351"/>
      <c r="BS22" s="351"/>
      <c r="BT22" s="351"/>
      <c r="BU22" s="351"/>
      <c r="BV22" s="351"/>
      <c r="BW22" s="351"/>
      <c r="BX22" s="351"/>
      <c r="BY22" s="351"/>
      <c r="BZ22" s="351"/>
      <c r="CA22" s="351"/>
      <c r="CB22" s="351"/>
      <c r="CC22" s="351"/>
      <c r="CD22" s="351"/>
      <c r="CE22" s="351"/>
      <c r="CF22" s="351"/>
      <c r="CG22" s="351"/>
      <c r="CH22" s="351"/>
      <c r="CI22" s="351"/>
      <c r="CJ22" s="351"/>
    </row>
    <row r="23" spans="2:88" x14ac:dyDescent="0.25">
      <c r="B23" s="521" t="s">
        <v>223</v>
      </c>
      <c r="C23" s="522" t="s">
        <v>224</v>
      </c>
      <c r="D23" s="523" t="s">
        <v>79</v>
      </c>
      <c r="E23" s="523" t="s">
        <v>149</v>
      </c>
      <c r="F23" s="524">
        <v>1</v>
      </c>
      <c r="G23" s="349"/>
      <c r="H23" s="350"/>
      <c r="I23" s="350">
        <v>21.640887009524686</v>
      </c>
      <c r="J23" s="350">
        <v>20.732726195213285</v>
      </c>
      <c r="K23" s="350">
        <v>19.96766043127333</v>
      </c>
      <c r="L23" s="351">
        <v>19.28923049658431</v>
      </c>
      <c r="M23" s="351">
        <v>18.542732152356777</v>
      </c>
      <c r="N23" s="351">
        <v>17.66548081423819</v>
      </c>
      <c r="O23" s="351">
        <v>16.83033169894636</v>
      </c>
      <c r="P23" s="351">
        <v>16.031829373319813</v>
      </c>
      <c r="Q23" s="351">
        <v>15.260281568847128</v>
      </c>
      <c r="R23" s="351">
        <v>14.277381737183012</v>
      </c>
      <c r="S23" s="351">
        <v>13.317237116974281</v>
      </c>
      <c r="T23" s="351">
        <v>12.601140107307156</v>
      </c>
      <c r="U23" s="351">
        <v>11.903619890937989</v>
      </c>
      <c r="V23" s="351">
        <v>11.221623997128562</v>
      </c>
      <c r="W23" s="351">
        <v>11.080026594383638</v>
      </c>
      <c r="X23" s="351">
        <v>10.946531017758662</v>
      </c>
      <c r="Y23" s="351">
        <v>10.82244068550825</v>
      </c>
      <c r="Z23" s="351">
        <v>10.702060794353027</v>
      </c>
      <c r="AA23" s="351">
        <v>10.583278717361242</v>
      </c>
      <c r="AB23" s="351">
        <v>10.497261846988357</v>
      </c>
      <c r="AC23" s="351">
        <v>10.445536638234906</v>
      </c>
      <c r="AD23" s="351">
        <v>10.398456828308797</v>
      </c>
      <c r="AE23" s="351">
        <v>10.346400344859257</v>
      </c>
      <c r="AF23" s="351">
        <v>10.281197950960854</v>
      </c>
      <c r="AG23" s="351">
        <v>10.292508455383707</v>
      </c>
      <c r="AH23" s="351">
        <v>10.287232079670002</v>
      </c>
      <c r="AI23" s="351">
        <v>10.281165599128093</v>
      </c>
      <c r="AJ23" s="351">
        <v>10.272655497484687</v>
      </c>
      <c r="AK23" s="351">
        <v>10.25972774320538</v>
      </c>
      <c r="AL23" s="351">
        <v>10.248186397469702</v>
      </c>
      <c r="AM23" s="351">
        <v>10.238416547771754</v>
      </c>
      <c r="AN23" s="351">
        <v>10.222217110064884</v>
      </c>
      <c r="AO23" s="351">
        <v>10.207844761159629</v>
      </c>
      <c r="AP23" s="351">
        <v>10.192640378238444</v>
      </c>
      <c r="AQ23" s="351">
        <v>10.35734931454804</v>
      </c>
      <c r="AR23" s="351">
        <v>10.545998182078517</v>
      </c>
      <c r="AS23" s="351">
        <v>10.566324713457778</v>
      </c>
      <c r="AT23" s="351">
        <v>10.559905505568432</v>
      </c>
      <c r="AU23" s="351">
        <v>10.558961861561365</v>
      </c>
      <c r="AV23" s="351">
        <v>10.553105975466897</v>
      </c>
      <c r="AW23" s="351">
        <v>10.550739073441239</v>
      </c>
      <c r="AX23" s="351">
        <v>10.549773085797773</v>
      </c>
      <c r="AY23" s="351">
        <v>10.543347797139209</v>
      </c>
      <c r="AZ23" s="351">
        <v>10.539768595706006</v>
      </c>
      <c r="BA23" s="351">
        <v>10.532883696054748</v>
      </c>
      <c r="BB23" s="351">
        <v>10.529478657556583</v>
      </c>
      <c r="BC23" s="351">
        <v>10.524776326253628</v>
      </c>
      <c r="BD23" s="351">
        <v>10.518250780597034</v>
      </c>
      <c r="BE23" s="351">
        <v>10.515147411807135</v>
      </c>
      <c r="BF23" s="351">
        <v>10.510731474162407</v>
      </c>
      <c r="BG23" s="351">
        <v>10.504550083734504</v>
      </c>
      <c r="BH23" s="351">
        <v>10.500423465504849</v>
      </c>
      <c r="BI23" s="351">
        <v>10.496326976143363</v>
      </c>
      <c r="BJ23" s="351">
        <v>10.49048618336306</v>
      </c>
      <c r="BK23" s="351">
        <v>10.486668071919954</v>
      </c>
      <c r="BL23" s="351">
        <v>10.479734935398072</v>
      </c>
      <c r="BM23" s="351">
        <v>10.476097167995263</v>
      </c>
      <c r="BN23" s="351">
        <v>10.472551408407448</v>
      </c>
      <c r="BO23" s="351">
        <v>10.465967498935083</v>
      </c>
      <c r="BP23" s="351"/>
      <c r="BQ23" s="351"/>
      <c r="BR23" s="351"/>
      <c r="BS23" s="351"/>
      <c r="BT23" s="351"/>
      <c r="BU23" s="351"/>
      <c r="BV23" s="351"/>
      <c r="BW23" s="351"/>
      <c r="BX23" s="351"/>
      <c r="BY23" s="351"/>
      <c r="BZ23" s="351"/>
      <c r="CA23" s="351"/>
      <c r="CB23" s="351"/>
      <c r="CC23" s="351"/>
      <c r="CD23" s="351"/>
      <c r="CE23" s="351"/>
      <c r="CF23" s="351"/>
      <c r="CG23" s="351"/>
      <c r="CH23" s="351"/>
      <c r="CI23" s="351"/>
      <c r="CJ23" s="351"/>
    </row>
    <row r="24" spans="2:88" x14ac:dyDescent="0.25">
      <c r="B24" s="521" t="s">
        <v>225</v>
      </c>
      <c r="C24" s="522" t="s">
        <v>226</v>
      </c>
      <c r="D24" s="523" t="s">
        <v>79</v>
      </c>
      <c r="E24" s="523" t="s">
        <v>149</v>
      </c>
      <c r="F24" s="524">
        <v>1</v>
      </c>
      <c r="G24" s="349"/>
      <c r="H24" s="350"/>
      <c r="I24" s="350">
        <v>17.310947345114286</v>
      </c>
      <c r="J24" s="350">
        <v>17.265233650388669</v>
      </c>
      <c r="K24" s="350">
        <v>17.244140298430413</v>
      </c>
      <c r="L24" s="351">
        <v>17.236404297487166</v>
      </c>
      <c r="M24" s="351">
        <v>17.045196805071569</v>
      </c>
      <c r="N24" s="351">
        <v>16.721594471727848</v>
      </c>
      <c r="O24" s="351">
        <v>16.417514347218521</v>
      </c>
      <c r="P24" s="351">
        <v>16.131201888083762</v>
      </c>
      <c r="Q24" s="351">
        <v>15.857926289306558</v>
      </c>
      <c r="R24" s="351">
        <v>15.348144979967969</v>
      </c>
      <c r="S24" s="351">
        <v>14.832755761387828</v>
      </c>
      <c r="T24" s="351">
        <v>14.560335131016823</v>
      </c>
      <c r="U24" s="351">
        <v>14.296933500857364</v>
      </c>
      <c r="V24" s="351">
        <v>14.040292152420365</v>
      </c>
      <c r="W24" s="351">
        <v>13.886848787555719</v>
      </c>
      <c r="X24" s="351">
        <v>13.739487953251761</v>
      </c>
      <c r="Y24" s="351">
        <v>13.599965475798577</v>
      </c>
      <c r="Z24" s="351">
        <v>13.464486953503791</v>
      </c>
      <c r="AA24" s="351">
        <v>13.331702161934158</v>
      </c>
      <c r="AB24" s="351">
        <v>13.240167112830628</v>
      </c>
      <c r="AC24" s="351">
        <v>13.188552695718167</v>
      </c>
      <c r="AD24" s="351">
        <v>13.141627566122374</v>
      </c>
      <c r="AE24" s="351">
        <v>13.09232172986987</v>
      </c>
      <c r="AF24" s="351">
        <v>13.035741748551862</v>
      </c>
      <c r="AG24" s="351">
        <v>13.073886747837356</v>
      </c>
      <c r="AH24" s="351">
        <v>13.092335576317792</v>
      </c>
      <c r="AI24" s="351">
        <v>13.107946607701736</v>
      </c>
      <c r="AJ24" s="351">
        <v>13.119780204274152</v>
      </c>
      <c r="AK24" s="351">
        <v>13.126454749678027</v>
      </c>
      <c r="AL24" s="351">
        <v>13.133179872784607</v>
      </c>
      <c r="AM24" s="351">
        <v>13.140693995595383</v>
      </c>
      <c r="AN24" s="351">
        <v>13.142371193097965</v>
      </c>
      <c r="AO24" s="351">
        <v>13.143853391114979</v>
      </c>
      <c r="AP24" s="351">
        <v>13.143783392661994</v>
      </c>
      <c r="AQ24" s="351">
        <v>13.378546010179932</v>
      </c>
      <c r="AR24" s="351">
        <v>13.641596226475185</v>
      </c>
      <c r="AS24" s="351">
        <v>13.68898791094041</v>
      </c>
      <c r="AT24" s="351">
        <v>13.696126356602425</v>
      </c>
      <c r="AU24" s="351">
        <v>13.709374257837704</v>
      </c>
      <c r="AV24" s="351">
        <v>13.719124842602234</v>
      </c>
      <c r="AW24" s="351">
        <v>13.731303482437083</v>
      </c>
      <c r="AX24" s="351">
        <v>13.744332645080855</v>
      </c>
      <c r="AY24" s="351">
        <v>13.753090982110482</v>
      </c>
      <c r="AZ24" s="351">
        <v>13.763479523942829</v>
      </c>
      <c r="BA24" s="351">
        <v>13.771459349889202</v>
      </c>
      <c r="BB24" s="351">
        <v>13.78192496630251</v>
      </c>
      <c r="BC24" s="351">
        <v>13.791510323084855</v>
      </c>
      <c r="BD24" s="351">
        <v>13.799697430371092</v>
      </c>
      <c r="BE24" s="351">
        <v>13.810338806899647</v>
      </c>
      <c r="BF24" s="351">
        <v>13.82006395716564</v>
      </c>
      <c r="BG24" s="351">
        <v>13.828447760090786</v>
      </c>
      <c r="BH24" s="351">
        <v>13.838393889557299</v>
      </c>
      <c r="BI24" s="351">
        <v>13.848304654097999</v>
      </c>
      <c r="BJ24" s="351">
        <v>13.856883541068047</v>
      </c>
      <c r="BK24" s="351">
        <v>13.867006861736021</v>
      </c>
      <c r="BL24" s="351">
        <v>13.874823636994364</v>
      </c>
      <c r="BM24" s="351">
        <v>13.885028217047759</v>
      </c>
      <c r="BN24" s="351">
        <v>13.895283359065013</v>
      </c>
      <c r="BO24" s="351">
        <v>13.903298895901301</v>
      </c>
      <c r="BP24" s="351"/>
      <c r="BQ24" s="351"/>
      <c r="BR24" s="351"/>
      <c r="BS24" s="351"/>
      <c r="BT24" s="351"/>
      <c r="BU24" s="351"/>
      <c r="BV24" s="351"/>
      <c r="BW24" s="351"/>
      <c r="BX24" s="351"/>
      <c r="BY24" s="351"/>
      <c r="BZ24" s="351"/>
      <c r="CA24" s="351"/>
      <c r="CB24" s="351"/>
      <c r="CC24" s="351"/>
      <c r="CD24" s="351"/>
      <c r="CE24" s="351"/>
      <c r="CF24" s="351"/>
      <c r="CG24" s="351"/>
      <c r="CH24" s="351"/>
      <c r="CI24" s="351"/>
      <c r="CJ24" s="351"/>
    </row>
    <row r="25" spans="2:88" x14ac:dyDescent="0.25">
      <c r="B25" s="525" t="s">
        <v>227</v>
      </c>
      <c r="C25" s="522" t="s">
        <v>228</v>
      </c>
      <c r="D25" s="523" t="s">
        <v>79</v>
      </c>
      <c r="E25" s="523" t="s">
        <v>149</v>
      </c>
      <c r="F25" s="524">
        <v>1</v>
      </c>
      <c r="G25" s="352"/>
      <c r="H25" s="353"/>
      <c r="I25" s="350">
        <v>3.7377066216216734</v>
      </c>
      <c r="J25" s="350">
        <v>3.678898681021249</v>
      </c>
      <c r="K25" s="350">
        <v>3.6391083794530714</v>
      </c>
      <c r="L25" s="351">
        <v>3.6112633646825931</v>
      </c>
      <c r="M25" s="351">
        <v>3.5633055096849704</v>
      </c>
      <c r="N25" s="351">
        <v>3.4884522856335809</v>
      </c>
      <c r="O25" s="351">
        <v>3.4191994881032159</v>
      </c>
      <c r="P25" s="351">
        <v>3.354948299389874</v>
      </c>
      <c r="Q25" s="351">
        <v>3.2942203796250853</v>
      </c>
      <c r="R25" s="351">
        <v>3.1844572467175731</v>
      </c>
      <c r="S25" s="351">
        <v>3.0742492596068582</v>
      </c>
      <c r="T25" s="351">
        <v>3.0159951044796918</v>
      </c>
      <c r="U25" s="351">
        <v>2.9600140427903585</v>
      </c>
      <c r="V25" s="351">
        <v>2.905753554097664</v>
      </c>
      <c r="W25" s="351">
        <v>2.8731465725839884</v>
      </c>
      <c r="X25" s="351">
        <v>2.8418378520758414</v>
      </c>
      <c r="Y25" s="351">
        <v>2.8126848255269166</v>
      </c>
      <c r="Z25" s="351">
        <v>2.7844062592383061</v>
      </c>
      <c r="AA25" s="351">
        <v>2.7565300031040585</v>
      </c>
      <c r="AB25" s="351">
        <v>2.7371404088568685</v>
      </c>
      <c r="AC25" s="351">
        <v>2.7264671098730666</v>
      </c>
      <c r="AD25" s="351">
        <v>2.7169132987709115</v>
      </c>
      <c r="AE25" s="351">
        <v>2.7062598404422986</v>
      </c>
      <c r="AF25" s="351">
        <v>2.6926800017596166</v>
      </c>
      <c r="AG25" s="351">
        <v>2.698990792515068</v>
      </c>
      <c r="AH25" s="351">
        <v>2.7010266061687798</v>
      </c>
      <c r="AI25" s="351">
        <v>2.7027411031097572</v>
      </c>
      <c r="AJ25" s="351">
        <v>2.7037663366839348</v>
      </c>
      <c r="AK25" s="351">
        <v>2.7036468048020779</v>
      </c>
      <c r="AL25" s="351">
        <v>2.7037826080097558</v>
      </c>
      <c r="AM25" s="351">
        <v>2.7042903702279064</v>
      </c>
      <c r="AN25" s="351">
        <v>2.703228647919468</v>
      </c>
      <c r="AO25" s="351">
        <v>2.7024916002133605</v>
      </c>
      <c r="AP25" s="351">
        <v>2.7014951572725709</v>
      </c>
      <c r="AQ25" s="351">
        <v>2.7483689298206961</v>
      </c>
      <c r="AR25" s="351">
        <v>2.8015027935372139</v>
      </c>
      <c r="AS25" s="351">
        <v>2.8100749096031925</v>
      </c>
      <c r="AT25" s="351">
        <v>2.8112070359477968</v>
      </c>
      <c r="AU25" s="351">
        <v>2.8137321691854771</v>
      </c>
      <c r="AV25" s="351">
        <v>2.8151074216065988</v>
      </c>
      <c r="AW25" s="351">
        <v>2.8172841564420859</v>
      </c>
      <c r="AX25" s="351">
        <v>2.8197721927796304</v>
      </c>
      <c r="AY25" s="351">
        <v>2.8209578464939433</v>
      </c>
      <c r="AZ25" s="351">
        <v>2.8227769389287261</v>
      </c>
      <c r="BA25" s="351">
        <v>2.8238130381410764</v>
      </c>
      <c r="BB25" s="351">
        <v>2.8256550461078183</v>
      </c>
      <c r="BC25" s="351">
        <v>2.8271887376316034</v>
      </c>
      <c r="BD25" s="351">
        <v>2.8282819454032539</v>
      </c>
      <c r="BE25" s="351">
        <v>2.8301701297209916</v>
      </c>
      <c r="BF25" s="351">
        <v>2.8317444122085744</v>
      </c>
      <c r="BG25" s="351">
        <v>2.8328918512642307</v>
      </c>
      <c r="BH25" s="351">
        <v>2.8345196940520485</v>
      </c>
      <c r="BI25" s="351">
        <v>2.8361439762668201</v>
      </c>
      <c r="BJ25" s="351">
        <v>2.8373452876095899</v>
      </c>
      <c r="BK25" s="351">
        <v>2.8390209763125647</v>
      </c>
      <c r="BL25" s="351">
        <v>2.8399502718541392</v>
      </c>
      <c r="BM25" s="351">
        <v>2.8416508018750219</v>
      </c>
      <c r="BN25" s="351">
        <v>2.8433650520846343</v>
      </c>
      <c r="BO25" s="351">
        <v>2.8443502839994417</v>
      </c>
      <c r="BP25" s="354"/>
      <c r="BQ25" s="354"/>
      <c r="BR25" s="354"/>
      <c r="BS25" s="354"/>
      <c r="BT25" s="354"/>
      <c r="BU25" s="354"/>
      <c r="BV25" s="354"/>
      <c r="BW25" s="354"/>
      <c r="BX25" s="354"/>
      <c r="BY25" s="354"/>
      <c r="BZ25" s="354"/>
      <c r="CA25" s="354"/>
      <c r="CB25" s="354"/>
      <c r="CC25" s="354"/>
      <c r="CD25" s="354"/>
      <c r="CE25" s="354"/>
      <c r="CF25" s="354"/>
      <c r="CG25" s="354"/>
      <c r="CH25" s="354"/>
      <c r="CI25" s="354"/>
      <c r="CJ25" s="354"/>
    </row>
    <row r="26" spans="2:88" x14ac:dyDescent="0.25">
      <c r="B26" s="525" t="s">
        <v>229</v>
      </c>
      <c r="C26" s="522" t="s">
        <v>230</v>
      </c>
      <c r="D26" s="523" t="s">
        <v>79</v>
      </c>
      <c r="E26" s="523" t="s">
        <v>149</v>
      </c>
      <c r="F26" s="524">
        <v>1</v>
      </c>
      <c r="G26" s="352"/>
      <c r="H26" s="353"/>
      <c r="I26" s="353"/>
      <c r="J26" s="353"/>
      <c r="K26" s="353"/>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c r="BU26" s="354"/>
      <c r="BV26" s="354"/>
      <c r="BW26" s="354"/>
      <c r="BX26" s="354"/>
      <c r="BY26" s="354"/>
      <c r="BZ26" s="354"/>
      <c r="CA26" s="354"/>
      <c r="CB26" s="354"/>
      <c r="CC26" s="354"/>
      <c r="CD26" s="354"/>
      <c r="CE26" s="354"/>
      <c r="CF26" s="354"/>
      <c r="CG26" s="354"/>
      <c r="CH26" s="354"/>
      <c r="CI26" s="354"/>
      <c r="CJ26" s="354"/>
    </row>
    <row r="27" spans="2:88" x14ac:dyDescent="0.25">
      <c r="B27" s="525" t="s">
        <v>231</v>
      </c>
      <c r="C27" s="526" t="s">
        <v>230</v>
      </c>
      <c r="D27" s="527" t="s">
        <v>79</v>
      </c>
      <c r="E27" s="527" t="s">
        <v>149</v>
      </c>
      <c r="F27" s="528">
        <v>1</v>
      </c>
      <c r="G27" s="352"/>
      <c r="H27" s="353"/>
      <c r="I27" s="353"/>
      <c r="J27" s="353"/>
      <c r="K27" s="353"/>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354"/>
      <c r="AV27" s="354"/>
      <c r="AW27" s="354"/>
      <c r="AX27" s="354"/>
      <c r="AY27" s="354"/>
      <c r="AZ27" s="354"/>
      <c r="BA27" s="354"/>
      <c r="BB27" s="354"/>
      <c r="BC27" s="354"/>
      <c r="BD27" s="354"/>
      <c r="BE27" s="354"/>
      <c r="BF27" s="354"/>
      <c r="BG27" s="354"/>
      <c r="BH27" s="354"/>
      <c r="BI27" s="354"/>
      <c r="BJ27" s="354"/>
      <c r="BK27" s="354"/>
      <c r="BL27" s="354"/>
      <c r="BM27" s="354"/>
      <c r="BN27" s="354"/>
      <c r="BO27" s="354"/>
      <c r="BP27" s="354"/>
      <c r="BQ27" s="354"/>
      <c r="BR27" s="354"/>
      <c r="BS27" s="354"/>
      <c r="BT27" s="354"/>
      <c r="BU27" s="354"/>
      <c r="BV27" s="354"/>
      <c r="BW27" s="354"/>
      <c r="BX27" s="354"/>
      <c r="BY27" s="354"/>
      <c r="BZ27" s="354"/>
      <c r="CA27" s="354"/>
      <c r="CB27" s="354"/>
      <c r="CC27" s="354"/>
      <c r="CD27" s="354"/>
      <c r="CE27" s="354"/>
      <c r="CF27" s="354"/>
      <c r="CG27" s="354"/>
      <c r="CH27" s="354"/>
      <c r="CI27" s="354"/>
      <c r="CJ27" s="354"/>
    </row>
    <row r="28" spans="2:88" ht="14.4" thickBot="1" x14ac:dyDescent="0.3">
      <c r="B28" s="525" t="s">
        <v>232</v>
      </c>
      <c r="C28" s="526" t="s">
        <v>230</v>
      </c>
      <c r="D28" s="527" t="s">
        <v>79</v>
      </c>
      <c r="E28" s="527" t="s">
        <v>149</v>
      </c>
      <c r="F28" s="528">
        <v>1</v>
      </c>
      <c r="G28" s="355"/>
      <c r="H28" s="356"/>
      <c r="I28" s="356"/>
      <c r="J28" s="356"/>
      <c r="K28" s="356"/>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c r="BT28" s="357"/>
      <c r="BU28" s="357"/>
      <c r="BV28" s="357"/>
      <c r="BW28" s="357"/>
      <c r="BX28" s="357"/>
      <c r="BY28" s="357"/>
      <c r="BZ28" s="357"/>
      <c r="CA28" s="357"/>
      <c r="CB28" s="357"/>
      <c r="CC28" s="357"/>
      <c r="CD28" s="357"/>
      <c r="CE28" s="357"/>
      <c r="CF28" s="357"/>
      <c r="CG28" s="357"/>
      <c r="CH28" s="357"/>
      <c r="CI28" s="357"/>
      <c r="CJ28" s="357"/>
    </row>
    <row r="29" spans="2:88" ht="13.95" customHeight="1" x14ac:dyDescent="0.25">
      <c r="B29" s="473" t="s">
        <v>233</v>
      </c>
      <c r="C29" s="474" t="s">
        <v>234</v>
      </c>
      <c r="D29" s="475" t="s">
        <v>235</v>
      </c>
      <c r="E29" s="475" t="s">
        <v>149</v>
      </c>
      <c r="F29" s="476">
        <v>1</v>
      </c>
      <c r="G29" s="358"/>
      <c r="H29" s="359"/>
      <c r="I29" s="359">
        <f t="shared" ref="I29:BS29" si="2">SUM(I30:I38)</f>
        <v>169.92741999999998</v>
      </c>
      <c r="J29" s="359">
        <f t="shared" si="2"/>
        <v>170.21121511170972</v>
      </c>
      <c r="K29" s="359">
        <f t="shared" si="2"/>
        <v>170.39302620519575</v>
      </c>
      <c r="L29" s="359">
        <f t="shared" si="2"/>
        <v>170.51665554082939</v>
      </c>
      <c r="M29" s="359">
        <f t="shared" si="2"/>
        <v>172.50692284361278</v>
      </c>
      <c r="N29" s="359">
        <f t="shared" si="2"/>
        <v>173.6327601781278</v>
      </c>
      <c r="O29" s="359">
        <f t="shared" si="2"/>
        <v>174.76179327087556</v>
      </c>
      <c r="P29" s="359">
        <f t="shared" si="2"/>
        <v>176.18149471506936</v>
      </c>
      <c r="Q29" s="359">
        <f t="shared" si="2"/>
        <v>177.89072007782633</v>
      </c>
      <c r="R29" s="359">
        <f t="shared" si="2"/>
        <v>178.13965835850561</v>
      </c>
      <c r="S29" s="359">
        <f t="shared" si="2"/>
        <v>178.63181238163313</v>
      </c>
      <c r="T29" s="359">
        <f t="shared" si="2"/>
        <v>181.21262615165924</v>
      </c>
      <c r="U29" s="359">
        <f t="shared" si="2"/>
        <v>184.24797132432775</v>
      </c>
      <c r="V29" s="359">
        <f t="shared" si="2"/>
        <v>187.78501387057347</v>
      </c>
      <c r="W29" s="359">
        <f t="shared" si="2"/>
        <v>192.49846885059935</v>
      </c>
      <c r="X29" s="359">
        <f t="shared" si="2"/>
        <v>197.86048407860258</v>
      </c>
      <c r="Y29" s="359">
        <f t="shared" si="2"/>
        <v>204.03279435816768</v>
      </c>
      <c r="Z29" s="359">
        <f t="shared" si="2"/>
        <v>211.09201629401079</v>
      </c>
      <c r="AA29" s="359">
        <f t="shared" si="2"/>
        <v>219.73974615802371</v>
      </c>
      <c r="AB29" s="359">
        <f t="shared" si="2"/>
        <v>230.40154584471341</v>
      </c>
      <c r="AC29" s="359">
        <f t="shared" si="2"/>
        <v>243.02892643422183</v>
      </c>
      <c r="AD29" s="359">
        <f t="shared" si="2"/>
        <v>257.73565848047434</v>
      </c>
      <c r="AE29" s="359">
        <f t="shared" si="2"/>
        <v>274.89592432796888</v>
      </c>
      <c r="AF29" s="359">
        <f t="shared" si="2"/>
        <v>295.03878687069465</v>
      </c>
      <c r="AG29" s="359">
        <f t="shared" si="2"/>
        <v>280.076238138316</v>
      </c>
      <c r="AH29" s="359">
        <f t="shared" si="2"/>
        <v>265.64180338438337</v>
      </c>
      <c r="AI29" s="359">
        <f t="shared" si="2"/>
        <v>251.88294681582528</v>
      </c>
      <c r="AJ29" s="359">
        <f t="shared" si="2"/>
        <v>238.74026234981881</v>
      </c>
      <c r="AK29" s="359">
        <f t="shared" si="2"/>
        <v>226.1583905498012</v>
      </c>
      <c r="AL29" s="359">
        <f t="shared" si="2"/>
        <v>214.17853930058536</v>
      </c>
      <c r="AM29" s="359">
        <f t="shared" si="2"/>
        <v>202.77219255685426</v>
      </c>
      <c r="AN29" s="359">
        <f t="shared" si="2"/>
        <v>191.82315507451258</v>
      </c>
      <c r="AO29" s="359">
        <f t="shared" si="2"/>
        <v>181.40336353805006</v>
      </c>
      <c r="AP29" s="359">
        <f t="shared" si="2"/>
        <v>171.45605807123096</v>
      </c>
      <c r="AQ29" s="359">
        <f t="shared" si="2"/>
        <v>163.59056063648339</v>
      </c>
      <c r="AR29" s="359">
        <f t="shared" si="2"/>
        <v>156.3832493567671</v>
      </c>
      <c r="AS29" s="359">
        <f t="shared" si="2"/>
        <v>148.07136077401708</v>
      </c>
      <c r="AT29" s="359">
        <f t="shared" si="2"/>
        <v>147.98128390042831</v>
      </c>
      <c r="AU29" s="359">
        <f t="shared" si="2"/>
        <v>147.93889278779881</v>
      </c>
      <c r="AV29" s="359">
        <f t="shared" si="2"/>
        <v>147.85363322769689</v>
      </c>
      <c r="AW29" s="359">
        <f t="shared" si="2"/>
        <v>147.79756515005059</v>
      </c>
      <c r="AX29" s="359">
        <f t="shared" si="2"/>
        <v>147.75240590753054</v>
      </c>
      <c r="AY29" s="359">
        <f t="shared" si="2"/>
        <v>147.65956850168817</v>
      </c>
      <c r="AZ29" s="359">
        <f t="shared" si="2"/>
        <v>147.59010991539353</v>
      </c>
      <c r="BA29" s="359">
        <f t="shared" si="2"/>
        <v>147.49153141297165</v>
      </c>
      <c r="BB29" s="359">
        <f t="shared" si="2"/>
        <v>147.422057871936</v>
      </c>
      <c r="BC29" s="359">
        <f t="shared" si="2"/>
        <v>147.34107807618389</v>
      </c>
      <c r="BD29" s="359">
        <f t="shared" si="2"/>
        <v>147.24352326307948</v>
      </c>
      <c r="BE29" s="359">
        <f t="shared" si="2"/>
        <v>147.17454879559722</v>
      </c>
      <c r="BF29" s="359">
        <f t="shared" si="2"/>
        <v>147.09397967273401</v>
      </c>
      <c r="BG29" s="359">
        <f t="shared" si="2"/>
        <v>146.99748526869206</v>
      </c>
      <c r="BH29" s="359">
        <f t="shared" si="2"/>
        <v>146.91811847823794</v>
      </c>
      <c r="BI29" s="359">
        <f t="shared" si="2"/>
        <v>146.83837645371875</v>
      </c>
      <c r="BJ29" s="359">
        <f t="shared" si="2"/>
        <v>146.74302172788762</v>
      </c>
      <c r="BK29" s="359">
        <f t="shared" si="2"/>
        <v>146.66449234251465</v>
      </c>
      <c r="BL29" s="359">
        <f t="shared" si="2"/>
        <v>146.55894198184833</v>
      </c>
      <c r="BM29" s="359">
        <f t="shared" si="2"/>
        <v>146.48076081568698</v>
      </c>
      <c r="BN29" s="359">
        <f t="shared" si="2"/>
        <v>146.4028484673243</v>
      </c>
      <c r="BO29" s="359">
        <f t="shared" si="2"/>
        <v>146.29871392507718</v>
      </c>
      <c r="BP29" s="359">
        <f t="shared" si="2"/>
        <v>0</v>
      </c>
      <c r="BQ29" s="359">
        <f t="shared" si="2"/>
        <v>0</v>
      </c>
      <c r="BR29" s="359">
        <f t="shared" si="2"/>
        <v>0</v>
      </c>
      <c r="BS29" s="359">
        <f t="shared" si="2"/>
        <v>0</v>
      </c>
      <c r="BT29" s="359">
        <f t="shared" ref="BT29:CJ29" si="3">SUM(BT30:BT38)</f>
        <v>0</v>
      </c>
      <c r="BU29" s="359">
        <f t="shared" si="3"/>
        <v>0</v>
      </c>
      <c r="BV29" s="359">
        <f t="shared" si="3"/>
        <v>0</v>
      </c>
      <c r="BW29" s="359">
        <f t="shared" si="3"/>
        <v>0</v>
      </c>
      <c r="BX29" s="359">
        <f t="shared" si="3"/>
        <v>0</v>
      </c>
      <c r="BY29" s="359">
        <f t="shared" si="3"/>
        <v>0</v>
      </c>
      <c r="BZ29" s="359">
        <f t="shared" si="3"/>
        <v>0</v>
      </c>
      <c r="CA29" s="359">
        <f t="shared" si="3"/>
        <v>0</v>
      </c>
      <c r="CB29" s="359">
        <f t="shared" si="3"/>
        <v>0</v>
      </c>
      <c r="CC29" s="359">
        <f t="shared" si="3"/>
        <v>0</v>
      </c>
      <c r="CD29" s="359">
        <f t="shared" si="3"/>
        <v>0</v>
      </c>
      <c r="CE29" s="359">
        <f t="shared" si="3"/>
        <v>0</v>
      </c>
      <c r="CF29" s="359">
        <f t="shared" si="3"/>
        <v>0</v>
      </c>
      <c r="CG29" s="359">
        <f t="shared" si="3"/>
        <v>0</v>
      </c>
      <c r="CH29" s="359">
        <f t="shared" si="3"/>
        <v>0</v>
      </c>
      <c r="CI29" s="359">
        <f t="shared" si="3"/>
        <v>0</v>
      </c>
      <c r="CJ29" s="359">
        <f t="shared" si="3"/>
        <v>0</v>
      </c>
    </row>
    <row r="30" spans="2:88" x14ac:dyDescent="0.25">
      <c r="B30" s="477" t="s">
        <v>236</v>
      </c>
      <c r="C30" s="478" t="s">
        <v>237</v>
      </c>
      <c r="D30" s="479" t="s">
        <v>79</v>
      </c>
      <c r="E30" s="479" t="s">
        <v>149</v>
      </c>
      <c r="F30" s="480">
        <v>1</v>
      </c>
      <c r="G30" s="349"/>
      <c r="H30" s="350"/>
      <c r="I30" s="350">
        <v>33.842833898662867</v>
      </c>
      <c r="J30" s="350">
        <v>33.767517263807697</v>
      </c>
      <c r="K30" s="350">
        <v>33.677816088808683</v>
      </c>
      <c r="L30" s="351">
        <v>33.580920614072021</v>
      </c>
      <c r="M30" s="351">
        <v>33.870948405309541</v>
      </c>
      <c r="N30" s="351">
        <v>33.993617746157952</v>
      </c>
      <c r="O30" s="351">
        <v>34.170966043023718</v>
      </c>
      <c r="P30" s="351">
        <v>34.406510017712996</v>
      </c>
      <c r="Q30" s="351">
        <v>34.700898672101033</v>
      </c>
      <c r="R30" s="351">
        <v>34.715539546999054</v>
      </c>
      <c r="S30" s="351">
        <v>34.780736064081211</v>
      </c>
      <c r="T30" s="351">
        <v>35.251990741582844</v>
      </c>
      <c r="U30" s="351">
        <v>35.814415011001977</v>
      </c>
      <c r="V30" s="351">
        <v>36.477389650808817</v>
      </c>
      <c r="W30" s="351">
        <v>37.371891446214704</v>
      </c>
      <c r="X30" s="351">
        <v>38.396396970817371</v>
      </c>
      <c r="Y30" s="351">
        <v>39.580521696078726</v>
      </c>
      <c r="Z30" s="351">
        <v>40.941312129463633</v>
      </c>
      <c r="AA30" s="351">
        <v>42.514825289401976</v>
      </c>
      <c r="AB30" s="351">
        <v>44.394314903264579</v>
      </c>
      <c r="AC30" s="351">
        <v>46.633159340490856</v>
      </c>
      <c r="AD30" s="351">
        <v>49.249731751625376</v>
      </c>
      <c r="AE30" s="351">
        <v>52.314339259617718</v>
      </c>
      <c r="AF30" s="351">
        <v>55.926945666471916</v>
      </c>
      <c r="AG30" s="351">
        <v>52.880734462818509</v>
      </c>
      <c r="AH30" s="351">
        <v>49.958432065208541</v>
      </c>
      <c r="AI30" s="351">
        <v>47.183787706244885</v>
      </c>
      <c r="AJ30" s="351">
        <v>44.545051427608577</v>
      </c>
      <c r="AK30" s="351">
        <v>42.031204127137961</v>
      </c>
      <c r="AL30" s="351">
        <v>39.647064181197742</v>
      </c>
      <c r="AM30" s="351">
        <v>37.386215999873677</v>
      </c>
      <c r="AN30" s="351">
        <v>35.228142250629865</v>
      </c>
      <c r="AO30" s="351">
        <v>33.182137158216243</v>
      </c>
      <c r="AP30" s="351">
        <v>31.237790116591341</v>
      </c>
      <c r="AQ30" s="351">
        <v>29.687346652549934</v>
      </c>
      <c r="AR30" s="351">
        <v>28.26623919462277</v>
      </c>
      <c r="AS30" s="351">
        <v>26.657824481198077</v>
      </c>
      <c r="AT30" s="351">
        <v>26.54093287127824</v>
      </c>
      <c r="AU30" s="351">
        <v>26.432596939487194</v>
      </c>
      <c r="AV30" s="351">
        <v>26.318085583041437</v>
      </c>
      <c r="AW30" s="351">
        <v>26.208348056126979</v>
      </c>
      <c r="AX30" s="351">
        <v>26.100537190628579</v>
      </c>
      <c r="AY30" s="351">
        <v>25.985761217566854</v>
      </c>
      <c r="AZ30" s="351">
        <v>25.874713932783045</v>
      </c>
      <c r="BA30" s="351">
        <v>25.759678238134505</v>
      </c>
      <c r="BB30" s="351">
        <v>25.649358671984771</v>
      </c>
      <c r="BC30" s="351">
        <v>25.537728730201302</v>
      </c>
      <c r="BD30" s="351">
        <v>25.423998882288789</v>
      </c>
      <c r="BE30" s="351">
        <v>25.314857055791538</v>
      </c>
      <c r="BF30" s="351">
        <v>25.204401453358802</v>
      </c>
      <c r="BG30" s="351">
        <v>25.091977057842843</v>
      </c>
      <c r="BH30" s="351">
        <v>24.982464969155725</v>
      </c>
      <c r="BI30" s="351">
        <v>24.873253646767331</v>
      </c>
      <c r="BJ30" s="351">
        <v>24.762144668863936</v>
      </c>
      <c r="BK30" s="351">
        <v>24.653872679552517</v>
      </c>
      <c r="BL30" s="351">
        <v>24.542100506990195</v>
      </c>
      <c r="BM30" s="351">
        <v>24.434622468865779</v>
      </c>
      <c r="BN30" s="351">
        <v>24.327550741645389</v>
      </c>
      <c r="BO30" s="351">
        <v>24.217142312623636</v>
      </c>
      <c r="BP30" s="351"/>
      <c r="BQ30" s="351"/>
      <c r="BR30" s="351"/>
      <c r="BS30" s="351"/>
      <c r="BT30" s="351"/>
      <c r="BU30" s="351"/>
      <c r="BV30" s="351"/>
      <c r="BW30" s="351"/>
      <c r="BX30" s="351"/>
      <c r="BY30" s="351"/>
      <c r="BZ30" s="351"/>
      <c r="CA30" s="351"/>
      <c r="CB30" s="351"/>
      <c r="CC30" s="351"/>
      <c r="CD30" s="351"/>
      <c r="CE30" s="351"/>
      <c r="CF30" s="351"/>
      <c r="CG30" s="351"/>
      <c r="CH30" s="351"/>
      <c r="CI30" s="351"/>
      <c r="CJ30" s="351"/>
    </row>
    <row r="31" spans="2:88" x14ac:dyDescent="0.25">
      <c r="B31" s="477" t="s">
        <v>238</v>
      </c>
      <c r="C31" s="478" t="s">
        <v>239</v>
      </c>
      <c r="D31" s="479" t="s">
        <v>79</v>
      </c>
      <c r="E31" s="479" t="s">
        <v>149</v>
      </c>
      <c r="F31" s="480">
        <v>1</v>
      </c>
      <c r="G31" s="349"/>
      <c r="H31" s="350"/>
      <c r="I31" s="350">
        <v>72.909607821469564</v>
      </c>
      <c r="J31" s="350">
        <v>73.373938395657092</v>
      </c>
      <c r="K31" s="350">
        <v>73.809446653778167</v>
      </c>
      <c r="L31" s="351">
        <v>74.231223818632571</v>
      </c>
      <c r="M31" s="351">
        <v>75.517575369330999</v>
      </c>
      <c r="N31" s="351">
        <v>76.444348962581415</v>
      </c>
      <c r="O31" s="351">
        <v>77.229313780094401</v>
      </c>
      <c r="P31" s="351">
        <v>78.152425490740612</v>
      </c>
      <c r="Q31" s="351">
        <v>79.217198524435403</v>
      </c>
      <c r="R31" s="351">
        <v>79.648865881422509</v>
      </c>
      <c r="S31" s="351">
        <v>80.199445361965772</v>
      </c>
      <c r="T31" s="351">
        <v>81.694564646337042</v>
      </c>
      <c r="U31" s="351">
        <v>83.415027332757887</v>
      </c>
      <c r="V31" s="351">
        <v>85.386085948972479</v>
      </c>
      <c r="W31" s="351">
        <v>87.919528791701779</v>
      </c>
      <c r="X31" s="351">
        <v>90.783655369006951</v>
      </c>
      <c r="Y31" s="351">
        <v>94.053643860337019</v>
      </c>
      <c r="Z31" s="351">
        <v>97.776117470360305</v>
      </c>
      <c r="AA31" s="351">
        <v>102.04420554152719</v>
      </c>
      <c r="AB31" s="351">
        <v>107.09081598076266</v>
      </c>
      <c r="AC31" s="351">
        <v>113.05678415942006</v>
      </c>
      <c r="AD31" s="351">
        <v>120.00036782975461</v>
      </c>
      <c r="AE31" s="351">
        <v>128.10803554571126</v>
      </c>
      <c r="AF31" s="351">
        <v>137.6428474180158</v>
      </c>
      <c r="AG31" s="351">
        <v>130.79975909545152</v>
      </c>
      <c r="AH31" s="351">
        <v>124.19244711178222</v>
      </c>
      <c r="AI31" s="351">
        <v>117.88433701775467</v>
      </c>
      <c r="AJ31" s="351">
        <v>111.85095282912357</v>
      </c>
      <c r="AK31" s="351">
        <v>106.06912218673071</v>
      </c>
      <c r="AL31" s="351">
        <v>100.55533004030046</v>
      </c>
      <c r="AM31" s="351">
        <v>95.29771598896221</v>
      </c>
      <c r="AN31" s="351">
        <v>90.24801154781521</v>
      </c>
      <c r="AO31" s="351">
        <v>85.433691827035602</v>
      </c>
      <c r="AP31" s="351">
        <v>80.831761207096335</v>
      </c>
      <c r="AQ31" s="351">
        <v>77.205820339640596</v>
      </c>
      <c r="AR31" s="351">
        <v>73.879442095201568</v>
      </c>
      <c r="AS31" s="351">
        <v>70.025658403479184</v>
      </c>
      <c r="AT31" s="351">
        <v>70.068948383585905</v>
      </c>
      <c r="AU31" s="351">
        <v>70.133605938455389</v>
      </c>
      <c r="AV31" s="351">
        <v>70.180676353419017</v>
      </c>
      <c r="AW31" s="351">
        <v>70.239242853572293</v>
      </c>
      <c r="AX31" s="351">
        <v>70.301815231093457</v>
      </c>
      <c r="AY31" s="351">
        <v>70.344388007178381</v>
      </c>
      <c r="AZ31" s="351">
        <v>70.395757811856811</v>
      </c>
      <c r="BA31" s="351">
        <v>70.434962015914067</v>
      </c>
      <c r="BB31" s="351">
        <v>70.485742767399358</v>
      </c>
      <c r="BC31" s="351">
        <v>70.531636188163802</v>
      </c>
      <c r="BD31" s="351">
        <v>70.570382160200779</v>
      </c>
      <c r="BE31" s="351">
        <v>70.620535627190449</v>
      </c>
      <c r="BF31" s="351">
        <v>70.665727672498818</v>
      </c>
      <c r="BG31" s="351">
        <v>70.704042952441299</v>
      </c>
      <c r="BH31" s="351">
        <v>70.74920638826049</v>
      </c>
      <c r="BI31" s="351">
        <v>70.793894354097489</v>
      </c>
      <c r="BJ31" s="351">
        <v>70.831816673461574</v>
      </c>
      <c r="BK31" s="351">
        <v>70.876488393667572</v>
      </c>
      <c r="BL31" s="351">
        <v>70.909707328493823</v>
      </c>
      <c r="BM31" s="351">
        <v>70.953939784466144</v>
      </c>
      <c r="BN31" s="351">
        <v>70.998011969667772</v>
      </c>
      <c r="BO31" s="351">
        <v>71.030948538881205</v>
      </c>
      <c r="BP31" s="351"/>
      <c r="BQ31" s="351"/>
      <c r="BR31" s="351"/>
      <c r="BS31" s="351"/>
      <c r="BT31" s="351"/>
      <c r="BU31" s="351"/>
      <c r="BV31" s="351"/>
      <c r="BW31" s="351"/>
      <c r="BX31" s="351"/>
      <c r="BY31" s="351"/>
      <c r="BZ31" s="351"/>
      <c r="CA31" s="351"/>
      <c r="CB31" s="351"/>
      <c r="CC31" s="351"/>
      <c r="CD31" s="351"/>
      <c r="CE31" s="351"/>
      <c r="CF31" s="351"/>
      <c r="CG31" s="351"/>
      <c r="CH31" s="351"/>
      <c r="CI31" s="351"/>
      <c r="CJ31" s="351"/>
    </row>
    <row r="32" spans="2:88" x14ac:dyDescent="0.25">
      <c r="B32" s="477" t="s">
        <v>240</v>
      </c>
      <c r="C32" s="478" t="s">
        <v>241</v>
      </c>
      <c r="D32" s="479" t="s">
        <v>79</v>
      </c>
      <c r="E32" s="479" t="s">
        <v>149</v>
      </c>
      <c r="F32" s="480">
        <v>1</v>
      </c>
      <c r="G32" s="349"/>
      <c r="H32" s="350"/>
      <c r="I32" s="350">
        <v>13.64613700462913</v>
      </c>
      <c r="J32" s="350">
        <v>13.721241077884432</v>
      </c>
      <c r="K32" s="350">
        <v>13.784797868901425</v>
      </c>
      <c r="L32" s="351">
        <v>13.842472931254969</v>
      </c>
      <c r="M32" s="351">
        <v>14.028238718872791</v>
      </c>
      <c r="N32" s="351">
        <v>14.142637952494217</v>
      </c>
      <c r="O32" s="351">
        <v>14.282728651763271</v>
      </c>
      <c r="P32" s="351">
        <v>14.450032243385223</v>
      </c>
      <c r="Q32" s="351">
        <v>14.643474362810309</v>
      </c>
      <c r="R32" s="351">
        <v>14.715179608487336</v>
      </c>
      <c r="S32" s="351">
        <v>14.808568081964637</v>
      </c>
      <c r="T32" s="351">
        <v>15.083034105644469</v>
      </c>
      <c r="U32" s="351">
        <v>15.398762000515145</v>
      </c>
      <c r="V32" s="351">
        <v>15.760092965840691</v>
      </c>
      <c r="W32" s="351">
        <v>16.224820046411232</v>
      </c>
      <c r="X32" s="351">
        <v>16.748239913590925</v>
      </c>
      <c r="Y32" s="351">
        <v>17.348581137730356</v>
      </c>
      <c r="Z32" s="351">
        <v>18.030527244187844</v>
      </c>
      <c r="AA32" s="351">
        <v>18.809288250056564</v>
      </c>
      <c r="AB32" s="351">
        <v>19.728421171637798</v>
      </c>
      <c r="AC32" s="351">
        <v>20.819020114418848</v>
      </c>
      <c r="AD32" s="351">
        <v>22.088780011098137</v>
      </c>
      <c r="AE32" s="351">
        <v>23.562746141710274</v>
      </c>
      <c r="AF32" s="351">
        <v>25.276534018483598</v>
      </c>
      <c r="AG32" s="351">
        <v>23.984358741708206</v>
      </c>
      <c r="AH32" s="351">
        <v>22.735474547737471</v>
      </c>
      <c r="AI32" s="351">
        <v>21.547233150760444</v>
      </c>
      <c r="AJ32" s="351">
        <v>20.412775251422975</v>
      </c>
      <c r="AK32" s="351">
        <v>19.325958768206856</v>
      </c>
      <c r="AL32" s="351">
        <v>18.293007276563877</v>
      </c>
      <c r="AM32" s="351">
        <v>17.310966320329921</v>
      </c>
      <c r="AN32" s="351">
        <v>16.365814044068799</v>
      </c>
      <c r="AO32" s="351">
        <v>15.468862556806963</v>
      </c>
      <c r="AP32" s="351">
        <v>14.613048836483474</v>
      </c>
      <c r="AQ32" s="351">
        <v>13.932937739006302</v>
      </c>
      <c r="AR32" s="351">
        <v>13.312114983189247</v>
      </c>
      <c r="AS32" s="351">
        <v>12.596394076814398</v>
      </c>
      <c r="AT32" s="351">
        <v>12.570982272610083</v>
      </c>
      <c r="AU32" s="351">
        <v>12.550301585419662</v>
      </c>
      <c r="AV32" s="351">
        <v>12.523817157884062</v>
      </c>
      <c r="AW32" s="351">
        <v>12.501312898136629</v>
      </c>
      <c r="AX32" s="351">
        <v>12.480393418016067</v>
      </c>
      <c r="AY32" s="351">
        <v>12.453326580000336</v>
      </c>
      <c r="AZ32" s="351">
        <v>12.429710205779365</v>
      </c>
      <c r="BA32" s="351">
        <v>12.402211310014758</v>
      </c>
      <c r="BB32" s="351">
        <v>12.378618463125381</v>
      </c>
      <c r="BC32" s="351">
        <v>12.353428970840039</v>
      </c>
      <c r="BD32" s="351">
        <v>12.326093216303166</v>
      </c>
      <c r="BE32" s="351">
        <v>12.302578064481114</v>
      </c>
      <c r="BF32" s="351">
        <v>12.277476770595726</v>
      </c>
      <c r="BG32" s="351">
        <v>12.250305039182592</v>
      </c>
      <c r="BH32" s="351">
        <v>12.225345491446257</v>
      </c>
      <c r="BI32" s="351">
        <v>12.200371610522312</v>
      </c>
      <c r="BJ32" s="351">
        <v>12.173374208802937</v>
      </c>
      <c r="BK32" s="351">
        <v>12.148541513179801</v>
      </c>
      <c r="BL32" s="351">
        <v>12.120157752420555</v>
      </c>
      <c r="BM32" s="351">
        <v>12.095399243677509</v>
      </c>
      <c r="BN32" s="351">
        <v>12.070679176768271</v>
      </c>
      <c r="BO32" s="351">
        <v>12.042511066319458</v>
      </c>
      <c r="BP32" s="351"/>
      <c r="BQ32" s="351"/>
      <c r="BR32" s="351"/>
      <c r="BS32" s="351"/>
      <c r="BT32" s="351"/>
      <c r="BU32" s="351"/>
      <c r="BV32" s="351"/>
      <c r="BW32" s="351"/>
      <c r="BX32" s="351"/>
      <c r="BY32" s="351"/>
      <c r="BZ32" s="351"/>
      <c r="CA32" s="351"/>
      <c r="CB32" s="351"/>
      <c r="CC32" s="351"/>
      <c r="CD32" s="351"/>
      <c r="CE32" s="351"/>
      <c r="CF32" s="351"/>
      <c r="CG32" s="351"/>
      <c r="CH32" s="351"/>
      <c r="CI32" s="351"/>
      <c r="CJ32" s="351"/>
    </row>
    <row r="33" spans="2:88" x14ac:dyDescent="0.25">
      <c r="B33" s="477" t="s">
        <v>242</v>
      </c>
      <c r="C33" s="478" t="s">
        <v>243</v>
      </c>
      <c r="D33" s="479" t="s">
        <v>79</v>
      </c>
      <c r="E33" s="479" t="s">
        <v>149</v>
      </c>
      <c r="F33" s="480">
        <v>1</v>
      </c>
      <c r="G33" s="349"/>
      <c r="H33" s="350"/>
      <c r="I33" s="350">
        <v>22.780200507805038</v>
      </c>
      <c r="J33" s="350">
        <v>22.507119822326164</v>
      </c>
      <c r="K33" s="350">
        <v>22.199572292149941</v>
      </c>
      <c r="L33" s="351">
        <v>21.867114209106401</v>
      </c>
      <c r="M33" s="351">
        <v>21.717267490286389</v>
      </c>
      <c r="N33" s="351">
        <v>21.434809136728092</v>
      </c>
      <c r="O33" s="351">
        <v>21.169953870063466</v>
      </c>
      <c r="P33" s="351">
        <v>20.921637060262221</v>
      </c>
      <c r="Q33" s="351">
        <v>20.684748066411338</v>
      </c>
      <c r="R33" s="351">
        <v>20.252114197813871</v>
      </c>
      <c r="S33" s="351">
        <v>19.828478969580782</v>
      </c>
      <c r="T33" s="351">
        <v>19.618107772772589</v>
      </c>
      <c r="U33" s="351">
        <v>19.422620863449271</v>
      </c>
      <c r="V33" s="351">
        <v>19.24106644820165</v>
      </c>
      <c r="W33" s="351">
        <v>19.134501219837503</v>
      </c>
      <c r="X33" s="351">
        <v>19.037265977843408</v>
      </c>
      <c r="Y33" s="351">
        <v>18.959550802547877</v>
      </c>
      <c r="Z33" s="351">
        <v>18.893597989295099</v>
      </c>
      <c r="AA33" s="351">
        <v>19.363186854194684</v>
      </c>
      <c r="AB33" s="351">
        <v>20.339299400605938</v>
      </c>
      <c r="AC33" s="351">
        <v>21.495369149448507</v>
      </c>
      <c r="AD33" s="351">
        <v>22.840157426197816</v>
      </c>
      <c r="AE33" s="351">
        <v>24.400446716923121</v>
      </c>
      <c r="AF33" s="351">
        <v>26.214143352190057</v>
      </c>
      <c r="AG33" s="351">
        <v>24.911179651250965</v>
      </c>
      <c r="AH33" s="351">
        <v>23.649392789637215</v>
      </c>
      <c r="AI33" s="351">
        <v>22.447036859926616</v>
      </c>
      <c r="AJ33" s="351">
        <v>21.297216424311173</v>
      </c>
      <c r="AK33" s="351">
        <v>20.193744593276662</v>
      </c>
      <c r="AL33" s="351">
        <v>19.143338156952929</v>
      </c>
      <c r="AM33" s="351">
        <v>18.143136030758594</v>
      </c>
      <c r="AN33" s="351">
        <v>17.178643293172254</v>
      </c>
      <c r="AO33" s="351">
        <v>16.261909963885618</v>
      </c>
      <c r="AP33" s="351">
        <v>15.385713510842974</v>
      </c>
      <c r="AQ33" s="351">
        <v>14.692132740097803</v>
      </c>
      <c r="AR33" s="351">
        <v>14.059058899336625</v>
      </c>
      <c r="AS33" s="351">
        <v>13.323679249168068</v>
      </c>
      <c r="AT33" s="351">
        <v>13.317342683256603</v>
      </c>
      <c r="AU33" s="351">
        <v>13.316026192921457</v>
      </c>
      <c r="AV33" s="351">
        <v>13.308557812439766</v>
      </c>
      <c r="AW33" s="351">
        <v>13.305321608167077</v>
      </c>
      <c r="AX33" s="351">
        <v>13.303783586706437</v>
      </c>
      <c r="AY33" s="351">
        <v>13.295696198582757</v>
      </c>
      <c r="AZ33" s="351">
        <v>13.291291386367464</v>
      </c>
      <c r="BA33" s="351">
        <v>13.282732529141825</v>
      </c>
      <c r="BB33" s="351">
        <v>13.278354306152448</v>
      </c>
      <c r="BC33" s="351">
        <v>13.272264168596919</v>
      </c>
      <c r="BD33" s="351">
        <v>13.263862191545858</v>
      </c>
      <c r="BE33" s="351">
        <v>13.259568014781451</v>
      </c>
      <c r="BF33" s="351">
        <v>13.253564274263072</v>
      </c>
      <c r="BG33" s="351">
        <v>13.24531880225376</v>
      </c>
      <c r="BH33" s="351">
        <v>13.239458358768919</v>
      </c>
      <c r="BI33" s="351">
        <v>13.233578963629231</v>
      </c>
      <c r="BJ33" s="351">
        <v>13.225497327435836</v>
      </c>
      <c r="BK33" s="351">
        <v>13.219759989609015</v>
      </c>
      <c r="BL33" s="351">
        <v>13.210148127994056</v>
      </c>
      <c r="BM33" s="351">
        <v>13.204476938211391</v>
      </c>
      <c r="BN33" s="351">
        <v>13.198843165559731</v>
      </c>
      <c r="BO33" s="351">
        <v>13.189428104814192</v>
      </c>
      <c r="BP33" s="351"/>
      <c r="BQ33" s="351"/>
      <c r="BR33" s="351"/>
      <c r="BS33" s="351"/>
      <c r="BT33" s="351"/>
      <c r="BU33" s="351"/>
      <c r="BV33" s="351"/>
      <c r="BW33" s="351"/>
      <c r="BX33" s="351"/>
      <c r="BY33" s="351"/>
      <c r="BZ33" s="351"/>
      <c r="CA33" s="351"/>
      <c r="CB33" s="351"/>
      <c r="CC33" s="351"/>
      <c r="CD33" s="351"/>
      <c r="CE33" s="351"/>
      <c r="CF33" s="351"/>
      <c r="CG33" s="351"/>
      <c r="CH33" s="351"/>
      <c r="CI33" s="351"/>
      <c r="CJ33" s="351"/>
    </row>
    <row r="34" spans="2:88" x14ac:dyDescent="0.25">
      <c r="B34" s="477" t="s">
        <v>244</v>
      </c>
      <c r="C34" s="478" t="s">
        <v>245</v>
      </c>
      <c r="D34" s="479" t="s">
        <v>79</v>
      </c>
      <c r="E34" s="479" t="s">
        <v>149</v>
      </c>
      <c r="F34" s="480">
        <v>1</v>
      </c>
      <c r="G34" s="349"/>
      <c r="H34" s="350"/>
      <c r="I34" s="350">
        <v>22.206933570691699</v>
      </c>
      <c r="J34" s="350">
        <v>22.268856712038886</v>
      </c>
      <c r="K34" s="350">
        <v>22.321307505382752</v>
      </c>
      <c r="L34" s="351">
        <v>22.368930843056201</v>
      </c>
      <c r="M34" s="351">
        <v>22.675501733145722</v>
      </c>
      <c r="N34" s="351">
        <v>22.871984803457192</v>
      </c>
      <c r="O34" s="351">
        <v>23.106844588661112</v>
      </c>
      <c r="P34" s="351">
        <v>23.38303762718288</v>
      </c>
      <c r="Q34" s="351">
        <v>23.701615428894801</v>
      </c>
      <c r="R34" s="351">
        <v>23.830769373733684</v>
      </c>
      <c r="S34" s="351">
        <v>23.995501570200492</v>
      </c>
      <c r="T34" s="351">
        <v>24.442838044584409</v>
      </c>
      <c r="U34" s="351">
        <v>24.957596780223511</v>
      </c>
      <c r="V34" s="351">
        <v>25.547333279109136</v>
      </c>
      <c r="W34" s="351">
        <v>26.305333929068176</v>
      </c>
      <c r="X34" s="351">
        <v>27.162274441222539</v>
      </c>
      <c r="Y34" s="351">
        <v>28.140647965180346</v>
      </c>
      <c r="Z34" s="351">
        <v>29.25440406350749</v>
      </c>
      <c r="AA34" s="351">
        <v>30.53140683517514</v>
      </c>
      <c r="AB34" s="351">
        <v>32.041341825028503</v>
      </c>
      <c r="AC34" s="351">
        <v>33.826346673286857</v>
      </c>
      <c r="AD34" s="351">
        <v>35.903851974132088</v>
      </c>
      <c r="AE34" s="351">
        <v>38.329648717873219</v>
      </c>
      <c r="AF34" s="351">
        <v>41.18244392388538</v>
      </c>
      <c r="AG34" s="351">
        <v>39.135006614961235</v>
      </c>
      <c r="AH34" s="351">
        <v>37.158113079558667</v>
      </c>
      <c r="AI34" s="351">
        <v>35.270740106054042</v>
      </c>
      <c r="AJ34" s="351">
        <v>33.465564532600773</v>
      </c>
      <c r="AK34" s="351">
        <v>31.735653239174709</v>
      </c>
      <c r="AL34" s="351">
        <v>30.085938487279783</v>
      </c>
      <c r="AM34" s="351">
        <v>28.512871670483246</v>
      </c>
      <c r="AN34" s="351">
        <v>27.002010961912116</v>
      </c>
      <c r="AO34" s="351">
        <v>25.561576855441352</v>
      </c>
      <c r="AP34" s="351">
        <v>24.184689111164314</v>
      </c>
      <c r="AQ34" s="351">
        <v>23.099815401803841</v>
      </c>
      <c r="AR34" s="351">
        <v>22.104570184991275</v>
      </c>
      <c r="AS34" s="351">
        <v>20.951526392623691</v>
      </c>
      <c r="AT34" s="351">
        <v>20.964478661569402</v>
      </c>
      <c r="AU34" s="351">
        <v>20.983824062929642</v>
      </c>
      <c r="AV34" s="351">
        <v>20.997907429854088</v>
      </c>
      <c r="AW34" s="351">
        <v>21.015430400743057</v>
      </c>
      <c r="AX34" s="351">
        <v>21.034151921525204</v>
      </c>
      <c r="AY34" s="351">
        <v>21.046889604570051</v>
      </c>
      <c r="AZ34" s="351">
        <v>21.062259339650623</v>
      </c>
      <c r="BA34" s="351">
        <v>21.073989153189462</v>
      </c>
      <c r="BB34" s="351">
        <v>21.089182644821506</v>
      </c>
      <c r="BC34" s="351">
        <v>21.102913857612876</v>
      </c>
      <c r="BD34" s="351">
        <v>21.114506569116752</v>
      </c>
      <c r="BE34" s="351">
        <v>21.129512378576781</v>
      </c>
      <c r="BF34" s="351">
        <v>21.143033741340119</v>
      </c>
      <c r="BG34" s="351">
        <v>21.154497590695595</v>
      </c>
      <c r="BH34" s="351">
        <v>21.1680103935613</v>
      </c>
      <c r="BI34" s="351">
        <v>21.181380936830909</v>
      </c>
      <c r="BJ34" s="351">
        <v>21.192727213226458</v>
      </c>
      <c r="BK34" s="351">
        <v>21.206092895838211</v>
      </c>
      <c r="BL34" s="351">
        <v>21.21603192969544</v>
      </c>
      <c r="BM34" s="351">
        <v>21.229266185393186</v>
      </c>
      <c r="BN34" s="351">
        <v>21.24245248842103</v>
      </c>
      <c r="BO34" s="351">
        <v>21.252307039094177</v>
      </c>
      <c r="BP34" s="351"/>
      <c r="BQ34" s="351"/>
      <c r="BR34" s="351"/>
      <c r="BS34" s="351"/>
      <c r="BT34" s="351"/>
      <c r="BU34" s="351"/>
      <c r="BV34" s="351"/>
      <c r="BW34" s="351"/>
      <c r="BX34" s="351"/>
      <c r="BY34" s="351"/>
      <c r="BZ34" s="351"/>
      <c r="CA34" s="351"/>
      <c r="CB34" s="351"/>
      <c r="CC34" s="351"/>
      <c r="CD34" s="351"/>
      <c r="CE34" s="351"/>
      <c r="CF34" s="351"/>
      <c r="CG34" s="351"/>
      <c r="CH34" s="351"/>
      <c r="CI34" s="351"/>
      <c r="CJ34" s="351"/>
    </row>
    <row r="35" spans="2:88" x14ac:dyDescent="0.25">
      <c r="B35" s="477" t="s">
        <v>246</v>
      </c>
      <c r="C35" s="478" t="s">
        <v>247</v>
      </c>
      <c r="D35" s="479" t="s">
        <v>79</v>
      </c>
      <c r="E35" s="479" t="s">
        <v>149</v>
      </c>
      <c r="F35" s="480">
        <v>1</v>
      </c>
      <c r="G35" s="349"/>
      <c r="H35" s="350"/>
      <c r="I35" s="350">
        <v>4.5417071967416973</v>
      </c>
      <c r="J35" s="350">
        <v>4.572541839995476</v>
      </c>
      <c r="K35" s="350">
        <v>4.6000857961747981</v>
      </c>
      <c r="L35" s="351">
        <v>4.6259931247072092</v>
      </c>
      <c r="M35" s="351">
        <v>4.6973911266673536</v>
      </c>
      <c r="N35" s="351">
        <v>4.7453615767089303</v>
      </c>
      <c r="O35" s="351">
        <v>4.8019863372695664</v>
      </c>
      <c r="P35" s="351">
        <v>4.8678522757854177</v>
      </c>
      <c r="Q35" s="351">
        <v>4.9427850231734167</v>
      </c>
      <c r="R35" s="351">
        <v>4.9771897500491589</v>
      </c>
      <c r="S35" s="351">
        <v>5.0190823338402266</v>
      </c>
      <c r="T35" s="351">
        <v>5.1220908407378749</v>
      </c>
      <c r="U35" s="351">
        <v>5.2395493363799339</v>
      </c>
      <c r="V35" s="351">
        <v>5.3730455776407053</v>
      </c>
      <c r="W35" s="351">
        <v>5.5423934173659237</v>
      </c>
      <c r="X35" s="351">
        <v>5.7326514061213691</v>
      </c>
      <c r="Y35" s="351">
        <v>5.9498488962933624</v>
      </c>
      <c r="Z35" s="351">
        <v>6.1960573971964221</v>
      </c>
      <c r="AA35" s="351">
        <v>6.4768333876681385</v>
      </c>
      <c r="AB35" s="351">
        <v>6.8073525634139642</v>
      </c>
      <c r="AC35" s="351">
        <v>7.1982469971567014</v>
      </c>
      <c r="AD35" s="351">
        <v>7.6527694876663448</v>
      </c>
      <c r="AE35" s="351">
        <v>8.1807079461332908</v>
      </c>
      <c r="AF35" s="351">
        <v>8.7958724916479341</v>
      </c>
      <c r="AG35" s="351">
        <v>8.3651995721255776</v>
      </c>
      <c r="AH35" s="351">
        <v>7.9479437904592318</v>
      </c>
      <c r="AI35" s="351">
        <v>7.5498119750846344</v>
      </c>
      <c r="AJ35" s="351">
        <v>7.1687018847517638</v>
      </c>
      <c r="AK35" s="351">
        <v>6.8027076352743148</v>
      </c>
      <c r="AL35" s="351">
        <v>6.4538611582905716</v>
      </c>
      <c r="AM35" s="351">
        <v>6.1212865464466093</v>
      </c>
      <c r="AN35" s="351">
        <v>5.800532976914341</v>
      </c>
      <c r="AO35" s="351">
        <v>5.4951851766642763</v>
      </c>
      <c r="AP35" s="351">
        <v>5.2030552890525037</v>
      </c>
      <c r="AQ35" s="351">
        <v>4.9725077633848906</v>
      </c>
      <c r="AR35" s="351">
        <v>4.7618239994256282</v>
      </c>
      <c r="AS35" s="351">
        <v>4.5162781707336723</v>
      </c>
      <c r="AT35" s="351">
        <v>4.5185990281280723</v>
      </c>
      <c r="AU35" s="351">
        <v>4.5225380685854359</v>
      </c>
      <c r="AV35" s="351">
        <v>4.5245888910585359</v>
      </c>
      <c r="AW35" s="351">
        <v>4.5279093333045539</v>
      </c>
      <c r="AX35" s="351">
        <v>4.5317245595608018</v>
      </c>
      <c r="AY35" s="351">
        <v>4.533506893789788</v>
      </c>
      <c r="AZ35" s="351">
        <v>4.5363772389562103</v>
      </c>
      <c r="BA35" s="351">
        <v>4.5379581665770399</v>
      </c>
      <c r="BB35" s="351">
        <v>4.5408010184525187</v>
      </c>
      <c r="BC35" s="351">
        <v>4.5431061607689625</v>
      </c>
      <c r="BD35" s="351">
        <v>4.5446802436241613</v>
      </c>
      <c r="BE35" s="351">
        <v>4.5474976547759072</v>
      </c>
      <c r="BF35" s="351">
        <v>4.5497757606774689</v>
      </c>
      <c r="BG35" s="351">
        <v>4.5513438262759731</v>
      </c>
      <c r="BH35" s="351">
        <v>4.5536328770452732</v>
      </c>
      <c r="BI35" s="351">
        <v>4.5558969418714819</v>
      </c>
      <c r="BJ35" s="351">
        <v>4.5574616360968765</v>
      </c>
      <c r="BK35" s="351">
        <v>4.5597368706675336</v>
      </c>
      <c r="BL35" s="351">
        <v>4.5607963362542723</v>
      </c>
      <c r="BM35" s="351">
        <v>4.5630561950729502</v>
      </c>
      <c r="BN35" s="351">
        <v>4.5653109252621054</v>
      </c>
      <c r="BO35" s="351">
        <v>4.5663768633445141</v>
      </c>
      <c r="BP35" s="351"/>
      <c r="BQ35" s="351"/>
      <c r="BR35" s="351"/>
      <c r="BS35" s="351"/>
      <c r="BT35" s="351"/>
      <c r="BU35" s="351"/>
      <c r="BV35" s="351"/>
      <c r="BW35" s="351"/>
      <c r="BX35" s="351"/>
      <c r="BY35" s="351"/>
      <c r="BZ35" s="351"/>
      <c r="CA35" s="351"/>
      <c r="CB35" s="351"/>
      <c r="CC35" s="351"/>
      <c r="CD35" s="351"/>
      <c r="CE35" s="351"/>
      <c r="CF35" s="351"/>
      <c r="CG35" s="351"/>
      <c r="CH35" s="351"/>
      <c r="CI35" s="351"/>
      <c r="CJ35" s="351"/>
    </row>
    <row r="36" spans="2:88" x14ac:dyDescent="0.25">
      <c r="B36" s="477" t="s">
        <v>248</v>
      </c>
      <c r="C36" s="478" t="s">
        <v>249</v>
      </c>
      <c r="D36" s="479" t="s">
        <v>79</v>
      </c>
      <c r="E36" s="479" t="s">
        <v>149</v>
      </c>
      <c r="F36" s="480">
        <v>1</v>
      </c>
      <c r="G36" s="349"/>
      <c r="H36" s="350"/>
      <c r="I36" s="350"/>
      <c r="J36" s="350"/>
      <c r="K36" s="350"/>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c r="BS36" s="351"/>
      <c r="BT36" s="351"/>
      <c r="BU36" s="351"/>
      <c r="BV36" s="351"/>
      <c r="BW36" s="351"/>
      <c r="BX36" s="351"/>
      <c r="BY36" s="351"/>
      <c r="BZ36" s="351"/>
      <c r="CA36" s="351"/>
      <c r="CB36" s="351"/>
      <c r="CC36" s="351"/>
      <c r="CD36" s="351"/>
      <c r="CE36" s="351"/>
      <c r="CF36" s="351"/>
      <c r="CG36" s="351"/>
      <c r="CH36" s="351"/>
      <c r="CI36" s="351"/>
      <c r="CJ36" s="351"/>
    </row>
    <row r="37" spans="2:88" x14ac:dyDescent="0.25">
      <c r="B37" s="477" t="s">
        <v>250</v>
      </c>
      <c r="C37" s="478" t="s">
        <v>249</v>
      </c>
      <c r="D37" s="479" t="s">
        <v>79</v>
      </c>
      <c r="E37" s="479" t="s">
        <v>149</v>
      </c>
      <c r="F37" s="480">
        <v>1</v>
      </c>
      <c r="G37" s="349"/>
      <c r="H37" s="350"/>
      <c r="I37" s="350"/>
      <c r="J37" s="350"/>
      <c r="K37" s="350"/>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row>
    <row r="38" spans="2:88" ht="14.4" thickBot="1" x14ac:dyDescent="0.3">
      <c r="B38" s="481" t="s">
        <v>251</v>
      </c>
      <c r="C38" s="482" t="s">
        <v>249</v>
      </c>
      <c r="D38" s="483" t="s">
        <v>79</v>
      </c>
      <c r="E38" s="483" t="s">
        <v>149</v>
      </c>
      <c r="F38" s="484">
        <v>1</v>
      </c>
      <c r="G38" s="355"/>
      <c r="H38" s="356"/>
      <c r="I38" s="356"/>
      <c r="J38" s="356"/>
      <c r="K38" s="356"/>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c r="BM38" s="357"/>
      <c r="BN38" s="357"/>
      <c r="BO38" s="357"/>
      <c r="BP38" s="357"/>
      <c r="BQ38" s="357"/>
      <c r="BR38" s="357"/>
      <c r="BS38" s="357"/>
      <c r="BT38" s="357"/>
      <c r="BU38" s="357"/>
      <c r="BV38" s="357"/>
      <c r="BW38" s="357"/>
      <c r="BX38" s="357"/>
      <c r="BY38" s="357"/>
      <c r="BZ38" s="357"/>
      <c r="CA38" s="357"/>
      <c r="CB38" s="357"/>
      <c r="CC38" s="357"/>
      <c r="CD38" s="357"/>
      <c r="CE38" s="357"/>
      <c r="CF38" s="357"/>
      <c r="CG38" s="357"/>
      <c r="CH38" s="357"/>
      <c r="CI38" s="357"/>
      <c r="CJ38" s="357"/>
    </row>
    <row r="39" spans="2:88" ht="14.4" thickBot="1" x14ac:dyDescent="0.3"/>
    <row r="40" spans="2:88" ht="87.75" customHeight="1" x14ac:dyDescent="0.25">
      <c r="B40" s="471" t="s">
        <v>113</v>
      </c>
      <c r="C40" s="1383" t="s">
        <v>115</v>
      </c>
    </row>
    <row r="41" spans="2:88" ht="13.5" customHeight="1" thickBot="1" x14ac:dyDescent="0.3">
      <c r="B41" s="485" t="s">
        <v>63</v>
      </c>
      <c r="C41" s="486" t="s">
        <v>116</v>
      </c>
      <c r="D41" s="486" t="s">
        <v>64</v>
      </c>
      <c r="E41" s="486" t="s">
        <v>117</v>
      </c>
      <c r="F41" s="487" t="s">
        <v>118</v>
      </c>
      <c r="G41" s="488" t="s">
        <v>119</v>
      </c>
      <c r="H41" s="486" t="s">
        <v>120</v>
      </c>
      <c r="I41" s="486" t="s">
        <v>121</v>
      </c>
      <c r="J41" s="486" t="s">
        <v>122</v>
      </c>
      <c r="K41" s="486" t="s">
        <v>123</v>
      </c>
      <c r="L41" s="486" t="s">
        <v>124</v>
      </c>
      <c r="M41" s="486" t="s">
        <v>125</v>
      </c>
      <c r="N41" s="486" t="s">
        <v>126</v>
      </c>
      <c r="O41" s="486" t="s">
        <v>127</v>
      </c>
      <c r="P41" s="486" t="s">
        <v>128</v>
      </c>
      <c r="Q41" s="486" t="s">
        <v>129</v>
      </c>
      <c r="R41" s="486" t="s">
        <v>130</v>
      </c>
      <c r="S41" s="486" t="s">
        <v>157</v>
      </c>
      <c r="T41" s="486" t="s">
        <v>158</v>
      </c>
      <c r="U41" s="486" t="s">
        <v>159</v>
      </c>
      <c r="V41" s="486" t="s">
        <v>160</v>
      </c>
      <c r="W41" s="486" t="s">
        <v>131</v>
      </c>
      <c r="X41" s="486" t="s">
        <v>161</v>
      </c>
      <c r="Y41" s="486" t="s">
        <v>162</v>
      </c>
      <c r="Z41" s="486" t="s">
        <v>163</v>
      </c>
      <c r="AA41" s="486" t="s">
        <v>164</v>
      </c>
      <c r="AB41" s="486" t="s">
        <v>132</v>
      </c>
      <c r="AC41" s="486" t="s">
        <v>165</v>
      </c>
      <c r="AD41" s="486" t="s">
        <v>166</v>
      </c>
      <c r="AE41" s="486" t="s">
        <v>167</v>
      </c>
      <c r="AF41" s="486" t="s">
        <v>168</v>
      </c>
      <c r="AG41" s="486" t="s">
        <v>133</v>
      </c>
      <c r="AH41" s="486" t="s">
        <v>169</v>
      </c>
      <c r="AI41" s="486" t="s">
        <v>170</v>
      </c>
      <c r="AJ41" s="486" t="s">
        <v>171</v>
      </c>
      <c r="AK41" s="486" t="s">
        <v>172</v>
      </c>
      <c r="AL41" s="486" t="s">
        <v>134</v>
      </c>
      <c r="AM41" s="486" t="s">
        <v>173</v>
      </c>
      <c r="AN41" s="486" t="s">
        <v>174</v>
      </c>
      <c r="AO41" s="486" t="s">
        <v>175</v>
      </c>
      <c r="AP41" s="486" t="s">
        <v>176</v>
      </c>
      <c r="AQ41" s="486" t="s">
        <v>135</v>
      </c>
      <c r="AR41" s="486" t="s">
        <v>177</v>
      </c>
      <c r="AS41" s="486" t="s">
        <v>178</v>
      </c>
      <c r="AT41" s="486" t="s">
        <v>179</v>
      </c>
      <c r="AU41" s="486" t="s">
        <v>180</v>
      </c>
      <c r="AV41" s="486" t="s">
        <v>136</v>
      </c>
      <c r="AW41" s="486" t="s">
        <v>181</v>
      </c>
      <c r="AX41" s="486" t="s">
        <v>182</v>
      </c>
      <c r="AY41" s="486" t="s">
        <v>183</v>
      </c>
      <c r="AZ41" s="486" t="s">
        <v>184</v>
      </c>
      <c r="BA41" s="486" t="s">
        <v>137</v>
      </c>
      <c r="BB41" s="486" t="s">
        <v>185</v>
      </c>
      <c r="BC41" s="486" t="s">
        <v>186</v>
      </c>
      <c r="BD41" s="486" t="s">
        <v>187</v>
      </c>
      <c r="BE41" s="486" t="s">
        <v>188</v>
      </c>
      <c r="BF41" s="486" t="s">
        <v>138</v>
      </c>
      <c r="BG41" s="486" t="s">
        <v>189</v>
      </c>
      <c r="BH41" s="486" t="s">
        <v>190</v>
      </c>
      <c r="BI41" s="486" t="s">
        <v>191</v>
      </c>
      <c r="BJ41" s="486" t="s">
        <v>192</v>
      </c>
      <c r="BK41" s="486" t="s">
        <v>139</v>
      </c>
      <c r="BL41" s="486" t="s">
        <v>193</v>
      </c>
      <c r="BM41" s="486" t="s">
        <v>194</v>
      </c>
      <c r="BN41" s="486" t="s">
        <v>195</v>
      </c>
      <c r="BO41" s="486" t="s">
        <v>196</v>
      </c>
      <c r="BP41" s="486" t="s">
        <v>140</v>
      </c>
      <c r="BQ41" s="486" t="s">
        <v>197</v>
      </c>
      <c r="BR41" s="486" t="s">
        <v>198</v>
      </c>
      <c r="BS41" s="486" t="s">
        <v>199</v>
      </c>
      <c r="BT41" s="486" t="s">
        <v>200</v>
      </c>
      <c r="BU41" s="486" t="s">
        <v>141</v>
      </c>
      <c r="BV41" s="486" t="s">
        <v>201</v>
      </c>
      <c r="BW41" s="486" t="s">
        <v>202</v>
      </c>
      <c r="BX41" s="486" t="s">
        <v>203</v>
      </c>
      <c r="BY41" s="486" t="s">
        <v>204</v>
      </c>
      <c r="BZ41" s="486" t="s">
        <v>142</v>
      </c>
      <c r="CA41" s="486" t="s">
        <v>205</v>
      </c>
      <c r="CB41" s="486" t="s">
        <v>206</v>
      </c>
      <c r="CC41" s="486" t="s">
        <v>207</v>
      </c>
      <c r="CD41" s="486" t="s">
        <v>208</v>
      </c>
      <c r="CE41" s="486" t="s">
        <v>143</v>
      </c>
      <c r="CF41" s="486" t="s">
        <v>209</v>
      </c>
      <c r="CG41" s="486" t="s">
        <v>210</v>
      </c>
      <c r="CH41" s="486" t="s">
        <v>211</v>
      </c>
      <c r="CI41" s="486" t="s">
        <v>212</v>
      </c>
      <c r="CJ41" s="486" t="s">
        <v>213</v>
      </c>
    </row>
    <row r="42" spans="2:88" ht="28.5" customHeight="1" x14ac:dyDescent="0.25">
      <c r="B42" s="1327" t="s">
        <v>252</v>
      </c>
      <c r="C42" s="1328" t="s">
        <v>253</v>
      </c>
      <c r="D42" s="1329" t="s">
        <v>79</v>
      </c>
      <c r="E42" s="1329" t="s">
        <v>254</v>
      </c>
      <c r="F42" s="1330">
        <v>0</v>
      </c>
      <c r="G42" s="1331"/>
      <c r="H42" s="1332"/>
      <c r="I42" s="1332">
        <v>30.031414356673615</v>
      </c>
      <c r="J42" s="1332">
        <v>54.455296085492904</v>
      </c>
      <c r="K42" s="1332">
        <v>76.291798457167928</v>
      </c>
      <c r="L42" s="1332">
        <v>96.205682973079064</v>
      </c>
      <c r="M42" s="1332">
        <v>134.15846235306702</v>
      </c>
      <c r="N42" s="1332">
        <v>171.63471919556486</v>
      </c>
      <c r="O42" s="1332">
        <v>208.84662452362039</v>
      </c>
      <c r="P42" s="1332">
        <v>245.70581365782724</v>
      </c>
      <c r="Q42" s="1332">
        <v>282.42340979504252</v>
      </c>
      <c r="R42" s="1332">
        <v>318.61004654929741</v>
      </c>
      <c r="S42" s="1332">
        <v>354.57588950057931</v>
      </c>
      <c r="T42" s="1332">
        <v>390.33065679515289</v>
      </c>
      <c r="U42" s="1332">
        <v>425.88363883916725</v>
      </c>
      <c r="V42" s="1332">
        <v>461.14371712545699</v>
      </c>
      <c r="W42" s="1332">
        <v>496.21938223168922</v>
      </c>
      <c r="X42" s="1332">
        <v>530.91875102633048</v>
      </c>
      <c r="Y42" s="1332">
        <v>565.44958311729965</v>
      </c>
      <c r="Z42" s="1332">
        <v>599.81929657664034</v>
      </c>
      <c r="AA42" s="1332">
        <v>633.93498297307906</v>
      </c>
      <c r="AB42" s="1332">
        <v>83.089979327659478</v>
      </c>
      <c r="AC42" s="1332">
        <v>102.963097259264</v>
      </c>
      <c r="AD42" s="1332">
        <v>140.88130583687897</v>
      </c>
      <c r="AE42" s="1332">
        <v>178.2289149542041</v>
      </c>
      <c r="AF42" s="1332">
        <v>215.41783493253894</v>
      </c>
      <c r="AG42" s="1332">
        <v>251.85945186540556</v>
      </c>
      <c r="AH42" s="1332">
        <v>288.36465069221464</v>
      </c>
      <c r="AI42" s="1332">
        <v>324.54383725635216</v>
      </c>
      <c r="AJ42" s="1332">
        <v>360.40695939238867</v>
      </c>
      <c r="AK42" s="1332">
        <v>395.96352708514587</v>
      </c>
      <c r="AL42" s="1332">
        <v>431.52263174146719</v>
      </c>
      <c r="AM42" s="1332">
        <v>466.69296461375302</v>
      </c>
      <c r="AN42" s="1332">
        <v>501.58283441258783</v>
      </c>
      <c r="AO42" s="1332">
        <v>536.30018414415997</v>
      </c>
      <c r="AP42" s="1332">
        <v>570.75260720658378</v>
      </c>
      <c r="AQ42" s="1332">
        <v>604.9473627777536</v>
      </c>
      <c r="AR42" s="1332">
        <v>639.09139052590558</v>
      </c>
      <c r="AS42" s="1332">
        <v>101.19358590284889</v>
      </c>
      <c r="AT42" s="1332">
        <v>137.75846235306702</v>
      </c>
      <c r="AU42" s="1332">
        <v>175.23471919556485</v>
      </c>
      <c r="AV42" s="1332">
        <v>212.34662452362039</v>
      </c>
      <c r="AW42" s="1332">
        <v>249.30581365782723</v>
      </c>
      <c r="AX42" s="1332">
        <v>286.02340979504254</v>
      </c>
      <c r="AY42" s="1332">
        <v>322.11004654929741</v>
      </c>
      <c r="AZ42" s="1332">
        <v>358.17588950057933</v>
      </c>
      <c r="BA42" s="1332">
        <v>393.83065679515289</v>
      </c>
      <c r="BB42" s="1332">
        <v>429.48363883916727</v>
      </c>
      <c r="BC42" s="1332">
        <v>464.74371712545701</v>
      </c>
      <c r="BD42" s="1332">
        <v>499.71938223168922</v>
      </c>
      <c r="BE42" s="1332">
        <v>534.51875102633051</v>
      </c>
      <c r="BF42" s="1332">
        <v>569.04958311729968</v>
      </c>
      <c r="BG42" s="1332">
        <v>603.31929657664034</v>
      </c>
      <c r="BH42" s="1332">
        <v>637.53498297307908</v>
      </c>
      <c r="BI42" s="1332">
        <v>86.689979327659472</v>
      </c>
      <c r="BJ42" s="1332">
        <v>137.65846235306702</v>
      </c>
      <c r="BK42" s="1332">
        <v>175.23471919556485</v>
      </c>
      <c r="BL42" s="1332">
        <v>212.34662452362039</v>
      </c>
      <c r="BM42" s="1332">
        <v>249.30581365782723</v>
      </c>
      <c r="BN42" s="1332">
        <v>286.02340979504254</v>
      </c>
      <c r="BO42" s="1332">
        <v>322.11004654929741</v>
      </c>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row>
    <row r="43" spans="2:88" ht="13.5" customHeight="1" x14ac:dyDescent="0.25">
      <c r="B43" s="529" t="s">
        <v>255</v>
      </c>
      <c r="C43" s="530" t="s">
        <v>256</v>
      </c>
      <c r="D43" s="531" t="s">
        <v>257</v>
      </c>
      <c r="E43" s="531" t="s">
        <v>254</v>
      </c>
      <c r="F43" s="532">
        <v>0</v>
      </c>
      <c r="G43" s="1338"/>
      <c r="H43" s="1338"/>
      <c r="I43" s="1338">
        <f t="shared" ref="I43:BT43" si="4">SUM(I44:I48)</f>
        <v>0</v>
      </c>
      <c r="J43" s="1338">
        <f t="shared" si="4"/>
        <v>24.423881728819286</v>
      </c>
      <c r="K43" s="1338">
        <f t="shared" si="4"/>
        <v>21.836502371675021</v>
      </c>
      <c r="L43" s="1338">
        <f t="shared" si="4"/>
        <v>19.913884515911132</v>
      </c>
      <c r="M43" s="1338">
        <f t="shared" si="4"/>
        <v>37.952779379987959</v>
      </c>
      <c r="N43" s="1338">
        <f t="shared" si="4"/>
        <v>37.47625684249784</v>
      </c>
      <c r="O43" s="1338">
        <f t="shared" si="4"/>
        <v>37.211905328055536</v>
      </c>
      <c r="P43" s="1338">
        <f t="shared" si="4"/>
        <v>36.859189134206844</v>
      </c>
      <c r="Q43" s="1338">
        <f t="shared" si="4"/>
        <v>36.71759613721531</v>
      </c>
      <c r="R43" s="1338">
        <f t="shared" si="4"/>
        <v>36.186636754254913</v>
      </c>
      <c r="S43" s="1338">
        <f t="shared" si="4"/>
        <v>35.965842951281914</v>
      </c>
      <c r="T43" s="1338">
        <f t="shared" si="4"/>
        <v>35.754767294573583</v>
      </c>
      <c r="U43" s="1338">
        <f t="shared" si="4"/>
        <v>35.552982044014364</v>
      </c>
      <c r="V43" s="1338">
        <f t="shared" si="4"/>
        <v>35.260078286289747</v>
      </c>
      <c r="W43" s="1338">
        <f t="shared" si="4"/>
        <v>35.075665106232208</v>
      </c>
      <c r="X43" s="1338">
        <f t="shared" si="4"/>
        <v>34.699368794641266</v>
      </c>
      <c r="Y43" s="1338">
        <f>SUM(Y44:Y48)</f>
        <v>34.530832090969128</v>
      </c>
      <c r="Z43" s="1338">
        <f t="shared" ref="Z43:AW43" si="5">SUM(Z44:Z48)</f>
        <v>34.369713459340723</v>
      </c>
      <c r="AA43" s="1338">
        <f t="shared" si="5"/>
        <v>34.115686396438733</v>
      </c>
      <c r="AB43" s="1338">
        <f t="shared" si="5"/>
        <v>6.7981808704915458</v>
      </c>
      <c r="AC43" s="1338">
        <f t="shared" si="5"/>
        <v>6.7574142861849396</v>
      </c>
      <c r="AD43" s="1338">
        <f t="shared" si="5"/>
        <v>6.7228434838119426</v>
      </c>
      <c r="AE43" s="1338">
        <f t="shared" si="5"/>
        <v>6.5941957586392528</v>
      </c>
      <c r="AF43" s="1338">
        <f t="shared" si="5"/>
        <v>6.5712104089185601</v>
      </c>
      <c r="AG43" s="1338">
        <f t="shared" si="5"/>
        <v>6.1536382075783331</v>
      </c>
      <c r="AH43" s="1338">
        <f t="shared" si="5"/>
        <v>5.9412408971721309</v>
      </c>
      <c r="AI43" s="1338">
        <f t="shared" si="5"/>
        <v>5.9337907070547811</v>
      </c>
      <c r="AJ43" s="1338">
        <f t="shared" si="5"/>
        <v>5.8310698918093697</v>
      </c>
      <c r="AK43" s="1338">
        <f t="shared" si="5"/>
        <v>5.6328702899930061</v>
      </c>
      <c r="AL43" s="1338">
        <f t="shared" si="5"/>
        <v>5.6389929022999716</v>
      </c>
      <c r="AM43" s="1338">
        <f t="shared" si="5"/>
        <v>5.5492474882960092</v>
      </c>
      <c r="AN43" s="1338">
        <f t="shared" si="5"/>
        <v>5.3634521808986317</v>
      </c>
      <c r="AO43" s="1338">
        <f t="shared" si="5"/>
        <v>5.3814331178294958</v>
      </c>
      <c r="AP43" s="1338">
        <f t="shared" si="5"/>
        <v>5.3030240892841247</v>
      </c>
      <c r="AQ43" s="1338">
        <f t="shared" si="5"/>
        <v>5.1280662011132812</v>
      </c>
      <c r="AR43" s="1338">
        <f t="shared" si="5"/>
        <v>5.1564075528265674</v>
      </c>
      <c r="AS43" s="1338">
        <f t="shared" si="5"/>
        <v>4.9879029297698292</v>
      </c>
      <c r="AT43" s="1338">
        <f t="shared" si="5"/>
        <v>3.6</v>
      </c>
      <c r="AU43" s="1338">
        <f t="shared" si="5"/>
        <v>3.6</v>
      </c>
      <c r="AV43" s="1338">
        <f t="shared" si="5"/>
        <v>3.5</v>
      </c>
      <c r="AW43" s="1338">
        <f t="shared" si="5"/>
        <v>3.6</v>
      </c>
      <c r="AX43" s="1338">
        <f t="shared" si="4"/>
        <v>3.6</v>
      </c>
      <c r="AY43" s="1338">
        <f t="shared" si="4"/>
        <v>3.5</v>
      </c>
      <c r="AZ43" s="1338">
        <f t="shared" si="4"/>
        <v>3.6</v>
      </c>
      <c r="BA43" s="1338">
        <f t="shared" si="4"/>
        <v>3.5</v>
      </c>
      <c r="BB43" s="1338">
        <f t="shared" si="4"/>
        <v>3.6</v>
      </c>
      <c r="BC43" s="1338">
        <f t="shared" si="4"/>
        <v>3.6</v>
      </c>
      <c r="BD43" s="1338">
        <f t="shared" si="4"/>
        <v>3.5</v>
      </c>
      <c r="BE43" s="1338">
        <f t="shared" si="4"/>
        <v>3.6</v>
      </c>
      <c r="BF43" s="1338">
        <f t="shared" si="4"/>
        <v>3.6</v>
      </c>
      <c r="BG43" s="1338">
        <f t="shared" si="4"/>
        <v>3.5</v>
      </c>
      <c r="BH43" s="1338">
        <f t="shared" si="4"/>
        <v>3.6</v>
      </c>
      <c r="BI43" s="1338">
        <f t="shared" si="4"/>
        <v>3.6</v>
      </c>
      <c r="BJ43" s="1338">
        <f t="shared" si="4"/>
        <v>3.5</v>
      </c>
      <c r="BK43" s="1338">
        <f t="shared" si="4"/>
        <v>3.6</v>
      </c>
      <c r="BL43" s="1338">
        <f t="shared" si="4"/>
        <v>3.5</v>
      </c>
      <c r="BM43" s="1338">
        <f t="shared" si="4"/>
        <v>3.6</v>
      </c>
      <c r="BN43" s="1338">
        <f t="shared" si="4"/>
        <v>3.6</v>
      </c>
      <c r="BO43" s="1338">
        <f t="shared" si="4"/>
        <v>3.5</v>
      </c>
      <c r="BP43" s="1338">
        <f t="shared" si="4"/>
        <v>0</v>
      </c>
      <c r="BQ43" s="1338">
        <f t="shared" si="4"/>
        <v>0</v>
      </c>
      <c r="BR43" s="1338">
        <f t="shared" si="4"/>
        <v>0</v>
      </c>
      <c r="BS43" s="1338">
        <f t="shared" si="4"/>
        <v>0</v>
      </c>
      <c r="BT43" s="1338">
        <f t="shared" si="4"/>
        <v>0</v>
      </c>
      <c r="BU43" s="1338">
        <f t="shared" ref="BU43:CJ43" si="6">SUM(BU44:BU48)</f>
        <v>0</v>
      </c>
      <c r="BV43" s="1338">
        <f t="shared" si="6"/>
        <v>0</v>
      </c>
      <c r="BW43" s="1338">
        <f t="shared" si="6"/>
        <v>0</v>
      </c>
      <c r="BX43" s="1338">
        <f t="shared" si="6"/>
        <v>0</v>
      </c>
      <c r="BY43" s="1338">
        <f t="shared" si="6"/>
        <v>0</v>
      </c>
      <c r="BZ43" s="1338">
        <f t="shared" si="6"/>
        <v>0</v>
      </c>
      <c r="CA43" s="1338">
        <f t="shared" si="6"/>
        <v>0</v>
      </c>
      <c r="CB43" s="1338">
        <f t="shared" si="6"/>
        <v>0</v>
      </c>
      <c r="CC43" s="1338">
        <f t="shared" si="6"/>
        <v>0</v>
      </c>
      <c r="CD43" s="1338">
        <f t="shared" si="6"/>
        <v>0</v>
      </c>
      <c r="CE43" s="1338">
        <f t="shared" si="6"/>
        <v>0</v>
      </c>
      <c r="CF43" s="1338">
        <f t="shared" si="6"/>
        <v>0</v>
      </c>
      <c r="CG43" s="1338">
        <f t="shared" si="6"/>
        <v>0</v>
      </c>
      <c r="CH43" s="1338">
        <f t="shared" si="6"/>
        <v>0</v>
      </c>
      <c r="CI43" s="1338">
        <f t="shared" si="6"/>
        <v>0</v>
      </c>
      <c r="CJ43" s="1338">
        <f t="shared" si="6"/>
        <v>0</v>
      </c>
    </row>
    <row r="44" spans="2:88" ht="32.25" customHeight="1" x14ac:dyDescent="0.25">
      <c r="B44" s="533" t="s">
        <v>258</v>
      </c>
      <c r="C44" s="534" t="s">
        <v>259</v>
      </c>
      <c r="D44" s="535" t="s">
        <v>79</v>
      </c>
      <c r="E44" s="535" t="s">
        <v>254</v>
      </c>
      <c r="F44" s="536">
        <v>0</v>
      </c>
      <c r="G44" s="1188"/>
      <c r="H44" s="1189"/>
      <c r="I44" s="1189">
        <v>0</v>
      </c>
      <c r="J44" s="1189">
        <v>24.423881728819286</v>
      </c>
      <c r="K44" s="1189">
        <v>21.836502371675021</v>
      </c>
      <c r="L44" s="1189">
        <v>19.913884515911132</v>
      </c>
      <c r="M44" s="1189">
        <v>0</v>
      </c>
      <c r="N44" s="1189">
        <v>0</v>
      </c>
      <c r="O44" s="1189">
        <v>0</v>
      </c>
      <c r="P44" s="1189">
        <v>0</v>
      </c>
      <c r="Q44" s="1189">
        <v>0</v>
      </c>
      <c r="R44" s="1189">
        <v>0</v>
      </c>
      <c r="S44" s="1189">
        <v>0</v>
      </c>
      <c r="T44" s="1189">
        <v>0</v>
      </c>
      <c r="U44" s="1189">
        <v>0</v>
      </c>
      <c r="V44" s="1189">
        <v>0</v>
      </c>
      <c r="W44" s="1189">
        <v>0</v>
      </c>
      <c r="X44" s="1189">
        <v>0</v>
      </c>
      <c r="Y44" s="1189">
        <v>0</v>
      </c>
      <c r="Z44" s="1189">
        <v>0</v>
      </c>
      <c r="AA44" s="1189">
        <v>0</v>
      </c>
      <c r="AB44" s="1189">
        <v>0</v>
      </c>
      <c r="AC44" s="1189">
        <v>0</v>
      </c>
      <c r="AD44" s="1189">
        <v>0</v>
      </c>
      <c r="AE44" s="1189">
        <v>0</v>
      </c>
      <c r="AF44" s="1189">
        <v>0</v>
      </c>
      <c r="AG44" s="1189">
        <v>0</v>
      </c>
      <c r="AH44" s="1189">
        <v>0</v>
      </c>
      <c r="AI44" s="1189">
        <v>0</v>
      </c>
      <c r="AJ44" s="1189">
        <v>0</v>
      </c>
      <c r="AK44" s="1189">
        <v>0</v>
      </c>
      <c r="AL44" s="1189">
        <v>0</v>
      </c>
      <c r="AM44" s="1189">
        <v>0</v>
      </c>
      <c r="AN44" s="1189">
        <v>0</v>
      </c>
      <c r="AO44" s="1189">
        <v>0</v>
      </c>
      <c r="AP44" s="1189">
        <v>0</v>
      </c>
      <c r="AQ44" s="1189">
        <v>0</v>
      </c>
      <c r="AR44" s="1189">
        <v>0</v>
      </c>
      <c r="AS44" s="1189">
        <v>0</v>
      </c>
      <c r="AT44" s="1189">
        <v>0</v>
      </c>
      <c r="AU44" s="1189">
        <v>0</v>
      </c>
      <c r="AV44" s="1189">
        <v>0</v>
      </c>
      <c r="AW44" s="1189">
        <v>0</v>
      </c>
      <c r="AX44" s="1189">
        <v>0</v>
      </c>
      <c r="AY44" s="1189">
        <v>0</v>
      </c>
      <c r="AZ44" s="1189">
        <v>0</v>
      </c>
      <c r="BA44" s="1189">
        <v>0</v>
      </c>
      <c r="BB44" s="1189">
        <v>0</v>
      </c>
      <c r="BC44" s="1189">
        <v>0</v>
      </c>
      <c r="BD44" s="1189">
        <v>0</v>
      </c>
      <c r="BE44" s="1189">
        <v>0</v>
      </c>
      <c r="BF44" s="1189">
        <v>0</v>
      </c>
      <c r="BG44" s="1189">
        <v>0</v>
      </c>
      <c r="BH44" s="1189">
        <v>0</v>
      </c>
      <c r="BI44" s="1189">
        <v>0</v>
      </c>
      <c r="BJ44" s="1189">
        <v>0</v>
      </c>
      <c r="BK44" s="1189">
        <v>0</v>
      </c>
      <c r="BL44" s="1189">
        <v>0</v>
      </c>
      <c r="BM44" s="1189">
        <v>0</v>
      </c>
      <c r="BN44" s="1189">
        <v>0</v>
      </c>
      <c r="BO44" s="1189">
        <v>0</v>
      </c>
      <c r="BP44" s="1189"/>
      <c r="BQ44" s="1189"/>
      <c r="BR44" s="1189"/>
      <c r="BS44" s="1189"/>
      <c r="BT44" s="1189"/>
      <c r="BU44" s="1189"/>
      <c r="BV44" s="1189"/>
      <c r="BW44" s="1189"/>
      <c r="BX44" s="1189"/>
      <c r="BY44" s="1189"/>
      <c r="BZ44" s="1189"/>
      <c r="CA44" s="1189"/>
      <c r="CB44" s="1189"/>
      <c r="CC44" s="1189"/>
      <c r="CD44" s="1189"/>
      <c r="CE44" s="1189"/>
      <c r="CF44" s="1189"/>
      <c r="CG44" s="1189"/>
      <c r="CH44" s="1189"/>
      <c r="CI44" s="1189"/>
      <c r="CJ44" s="1189"/>
    </row>
    <row r="45" spans="2:88" ht="27" customHeight="1" x14ac:dyDescent="0.25">
      <c r="B45" s="533" t="s">
        <v>260</v>
      </c>
      <c r="C45" s="534" t="s">
        <v>261</v>
      </c>
      <c r="D45" s="535" t="s">
        <v>79</v>
      </c>
      <c r="E45" s="535" t="s">
        <v>254</v>
      </c>
      <c r="F45" s="536">
        <v>0</v>
      </c>
      <c r="G45" s="1188"/>
      <c r="H45" s="1189"/>
      <c r="I45" s="1189">
        <v>0</v>
      </c>
      <c r="J45" s="1189">
        <v>0</v>
      </c>
      <c r="K45" s="1189">
        <v>0</v>
      </c>
      <c r="L45" s="1189">
        <v>0</v>
      </c>
      <c r="M45" s="1189">
        <v>0</v>
      </c>
      <c r="N45" s="1189">
        <v>0</v>
      </c>
      <c r="O45" s="1189">
        <v>0</v>
      </c>
      <c r="P45" s="1189">
        <v>0</v>
      </c>
      <c r="Q45" s="1189">
        <v>0</v>
      </c>
      <c r="R45" s="1189">
        <v>0</v>
      </c>
      <c r="S45" s="1189">
        <v>0</v>
      </c>
      <c r="T45" s="1189">
        <v>0</v>
      </c>
      <c r="U45" s="1189">
        <v>0</v>
      </c>
      <c r="V45" s="1189">
        <v>0</v>
      </c>
      <c r="W45" s="1189">
        <v>0</v>
      </c>
      <c r="X45" s="1189">
        <v>0</v>
      </c>
      <c r="Y45" s="1189">
        <v>0</v>
      </c>
      <c r="Z45" s="1189">
        <v>0</v>
      </c>
      <c r="AA45" s="1189">
        <v>0</v>
      </c>
      <c r="AB45" s="1189">
        <v>0</v>
      </c>
      <c r="AC45" s="1189">
        <v>0</v>
      </c>
      <c r="AD45" s="1189">
        <v>0</v>
      </c>
      <c r="AE45" s="1189">
        <v>0</v>
      </c>
      <c r="AF45" s="1189">
        <v>0</v>
      </c>
      <c r="AG45" s="1189">
        <v>0</v>
      </c>
      <c r="AH45" s="1189">
        <v>0</v>
      </c>
      <c r="AI45" s="1189">
        <v>0</v>
      </c>
      <c r="AJ45" s="1189">
        <v>0</v>
      </c>
      <c r="AK45" s="1189">
        <v>0</v>
      </c>
      <c r="AL45" s="1189">
        <v>0</v>
      </c>
      <c r="AM45" s="1189">
        <v>0</v>
      </c>
      <c r="AN45" s="1189">
        <v>0</v>
      </c>
      <c r="AO45" s="1189">
        <v>0</v>
      </c>
      <c r="AP45" s="1189">
        <v>0</v>
      </c>
      <c r="AQ45" s="1189">
        <v>0</v>
      </c>
      <c r="AR45" s="1189">
        <v>0</v>
      </c>
      <c r="AS45" s="1189">
        <v>0</v>
      </c>
      <c r="AT45" s="1189">
        <v>0</v>
      </c>
      <c r="AU45" s="1189">
        <v>0</v>
      </c>
      <c r="AV45" s="1189">
        <v>0</v>
      </c>
      <c r="AW45" s="1189">
        <v>0</v>
      </c>
      <c r="AX45" s="1189">
        <v>0</v>
      </c>
      <c r="AY45" s="1189">
        <v>0</v>
      </c>
      <c r="AZ45" s="1189">
        <v>0</v>
      </c>
      <c r="BA45" s="1189">
        <v>0</v>
      </c>
      <c r="BB45" s="1189">
        <v>0</v>
      </c>
      <c r="BC45" s="1189">
        <v>0</v>
      </c>
      <c r="BD45" s="1189">
        <v>0</v>
      </c>
      <c r="BE45" s="1189">
        <v>0</v>
      </c>
      <c r="BF45" s="1189">
        <v>0</v>
      </c>
      <c r="BG45" s="1189">
        <v>0</v>
      </c>
      <c r="BH45" s="1189">
        <v>0</v>
      </c>
      <c r="BI45" s="1189">
        <v>0</v>
      </c>
      <c r="BJ45" s="1189">
        <v>0</v>
      </c>
      <c r="BK45" s="1189">
        <v>0</v>
      </c>
      <c r="BL45" s="1189">
        <v>0</v>
      </c>
      <c r="BM45" s="1189">
        <v>0</v>
      </c>
      <c r="BN45" s="1189">
        <v>0</v>
      </c>
      <c r="BO45" s="1189">
        <v>0</v>
      </c>
      <c r="BP45" s="1189"/>
      <c r="BQ45" s="1189"/>
      <c r="BR45" s="1189"/>
      <c r="BS45" s="1189"/>
      <c r="BT45" s="1189"/>
      <c r="BU45" s="1189"/>
      <c r="BV45" s="1189"/>
      <c r="BW45" s="1189"/>
      <c r="BX45" s="1189"/>
      <c r="BY45" s="1189"/>
      <c r="BZ45" s="1189"/>
      <c r="CA45" s="1189"/>
      <c r="CB45" s="1189"/>
      <c r="CC45" s="1189"/>
      <c r="CD45" s="1189"/>
      <c r="CE45" s="1189"/>
      <c r="CF45" s="1189"/>
      <c r="CG45" s="1189"/>
      <c r="CH45" s="1189"/>
      <c r="CI45" s="1189"/>
      <c r="CJ45" s="1189"/>
    </row>
    <row r="46" spans="2:88" ht="27" customHeight="1" x14ac:dyDescent="0.25">
      <c r="B46" s="533" t="s">
        <v>262</v>
      </c>
      <c r="C46" s="534" t="s">
        <v>263</v>
      </c>
      <c r="D46" s="535" t="s">
        <v>79</v>
      </c>
      <c r="E46" s="539" t="s">
        <v>254</v>
      </c>
      <c r="F46" s="540">
        <v>0</v>
      </c>
      <c r="G46" s="1188"/>
      <c r="H46" s="1189"/>
      <c r="I46" s="1189">
        <v>0</v>
      </c>
      <c r="J46" s="1189">
        <v>0</v>
      </c>
      <c r="K46" s="1189">
        <v>0</v>
      </c>
      <c r="L46" s="1189">
        <v>0</v>
      </c>
      <c r="M46" s="1189">
        <v>0</v>
      </c>
      <c r="N46" s="1189">
        <v>0</v>
      </c>
      <c r="O46" s="1189">
        <v>0</v>
      </c>
      <c r="P46" s="1189">
        <v>0</v>
      </c>
      <c r="Q46" s="1189">
        <v>0</v>
      </c>
      <c r="R46" s="1189">
        <v>0</v>
      </c>
      <c r="S46" s="1189">
        <v>0</v>
      </c>
      <c r="T46" s="1189">
        <v>0</v>
      </c>
      <c r="U46" s="1189">
        <v>0</v>
      </c>
      <c r="V46" s="1189">
        <v>0</v>
      </c>
      <c r="W46" s="1189">
        <v>0</v>
      </c>
      <c r="X46" s="1189">
        <v>0</v>
      </c>
      <c r="Y46" s="1189">
        <v>0</v>
      </c>
      <c r="Z46" s="1189">
        <v>0</v>
      </c>
      <c r="AA46" s="1189">
        <v>0</v>
      </c>
      <c r="AB46" s="1189">
        <v>0</v>
      </c>
      <c r="AC46" s="1189">
        <v>0</v>
      </c>
      <c r="AD46" s="1189">
        <v>0</v>
      </c>
      <c r="AE46" s="1189">
        <v>0</v>
      </c>
      <c r="AF46" s="1189">
        <v>0</v>
      </c>
      <c r="AG46" s="1189">
        <v>0</v>
      </c>
      <c r="AH46" s="1189">
        <v>0</v>
      </c>
      <c r="AI46" s="1189">
        <v>0</v>
      </c>
      <c r="AJ46" s="1189">
        <v>0</v>
      </c>
      <c r="AK46" s="1189">
        <v>0</v>
      </c>
      <c r="AL46" s="1189">
        <v>0</v>
      </c>
      <c r="AM46" s="1189">
        <v>0</v>
      </c>
      <c r="AN46" s="1189">
        <v>0</v>
      </c>
      <c r="AO46" s="1189">
        <v>0</v>
      </c>
      <c r="AP46" s="1189">
        <v>0</v>
      </c>
      <c r="AQ46" s="1189">
        <v>0</v>
      </c>
      <c r="AR46" s="1189">
        <v>0</v>
      </c>
      <c r="AS46" s="1189">
        <v>0</v>
      </c>
      <c r="AT46" s="1189">
        <v>0</v>
      </c>
      <c r="AU46" s="1189">
        <v>0</v>
      </c>
      <c r="AV46" s="1189">
        <v>0</v>
      </c>
      <c r="AW46" s="1189">
        <v>0</v>
      </c>
      <c r="AX46" s="1189">
        <v>0</v>
      </c>
      <c r="AY46" s="1189">
        <v>0</v>
      </c>
      <c r="AZ46" s="1189">
        <v>0</v>
      </c>
      <c r="BA46" s="1189">
        <v>0</v>
      </c>
      <c r="BB46" s="1189">
        <v>0</v>
      </c>
      <c r="BC46" s="1189">
        <v>0</v>
      </c>
      <c r="BD46" s="1189">
        <v>0</v>
      </c>
      <c r="BE46" s="1189">
        <v>0</v>
      </c>
      <c r="BF46" s="1189">
        <v>0</v>
      </c>
      <c r="BG46" s="1189">
        <v>0</v>
      </c>
      <c r="BH46" s="1189">
        <v>0</v>
      </c>
      <c r="BI46" s="1189">
        <v>0</v>
      </c>
      <c r="BJ46" s="1189">
        <v>0</v>
      </c>
      <c r="BK46" s="1189">
        <v>0</v>
      </c>
      <c r="BL46" s="1189">
        <v>0</v>
      </c>
      <c r="BM46" s="1189">
        <v>0</v>
      </c>
      <c r="BN46" s="1189">
        <v>0</v>
      </c>
      <c r="BO46" s="1189">
        <v>0</v>
      </c>
      <c r="BP46" s="1189"/>
      <c r="BQ46" s="1189"/>
      <c r="BR46" s="1189"/>
      <c r="BS46" s="1189"/>
      <c r="BT46" s="1189"/>
      <c r="BU46" s="1189"/>
      <c r="BV46" s="1189"/>
      <c r="BW46" s="1189"/>
      <c r="BX46" s="1189"/>
      <c r="BY46" s="1189"/>
      <c r="BZ46" s="1189"/>
      <c r="CA46" s="1189"/>
      <c r="CB46" s="1189"/>
      <c r="CC46" s="1189"/>
      <c r="CD46" s="1189"/>
      <c r="CE46" s="1189"/>
      <c r="CF46" s="1189"/>
      <c r="CG46" s="1189"/>
      <c r="CH46" s="1189"/>
      <c r="CI46" s="1189"/>
      <c r="CJ46" s="1189"/>
    </row>
    <row r="47" spans="2:88" ht="27.6" x14ac:dyDescent="0.25">
      <c r="B47" s="537" t="s">
        <v>264</v>
      </c>
      <c r="C47" s="538" t="s">
        <v>265</v>
      </c>
      <c r="D47" s="539" t="s">
        <v>79</v>
      </c>
      <c r="E47" s="539" t="s">
        <v>254</v>
      </c>
      <c r="F47" s="540">
        <v>0</v>
      </c>
      <c r="G47" s="1190"/>
      <c r="H47" s="1191"/>
      <c r="I47" s="1189">
        <v>0</v>
      </c>
      <c r="J47" s="1189">
        <v>0</v>
      </c>
      <c r="K47" s="1189">
        <v>0</v>
      </c>
      <c r="L47" s="1189">
        <v>0</v>
      </c>
      <c r="M47" s="1189">
        <v>29.226557011995332</v>
      </c>
      <c r="N47" s="1189">
        <v>28.950034474505213</v>
      </c>
      <c r="O47" s="1189">
        <v>28.685682960062913</v>
      </c>
      <c r="P47" s="1189">
        <v>28.432966766214218</v>
      </c>
      <c r="Q47" s="1189">
        <v>28.191373769222686</v>
      </c>
      <c r="R47" s="1189">
        <v>27.960414386262286</v>
      </c>
      <c r="S47" s="1189">
        <v>27.739620583289287</v>
      </c>
      <c r="T47" s="1189">
        <v>27.52854492658096</v>
      </c>
      <c r="U47" s="1189">
        <v>27.326759676021741</v>
      </c>
      <c r="V47" s="1189">
        <v>27.133855918297122</v>
      </c>
      <c r="W47" s="1189">
        <v>26.949442738239579</v>
      </c>
      <c r="X47" s="1189">
        <v>26.773146426648644</v>
      </c>
      <c r="Y47" s="1189">
        <v>26.604609722976502</v>
      </c>
      <c r="Z47" s="1189">
        <v>26.4434910913481</v>
      </c>
      <c r="AA47" s="1189">
        <v>26.289464028446105</v>
      </c>
      <c r="AB47" s="1189">
        <v>3.1981808704915458</v>
      </c>
      <c r="AC47" s="1189">
        <v>3.0574142861849394</v>
      </c>
      <c r="AD47" s="1189">
        <v>2.9228434838119428</v>
      </c>
      <c r="AE47" s="1189">
        <v>2.794195758639253</v>
      </c>
      <c r="AF47" s="1189">
        <v>2.6712104089185598</v>
      </c>
      <c r="AG47" s="1189">
        <v>2.553638207578333</v>
      </c>
      <c r="AH47" s="1189">
        <v>2.4412408971721304</v>
      </c>
      <c r="AI47" s="1189">
        <v>2.333790707054781</v>
      </c>
      <c r="AJ47" s="1189">
        <v>2.2310698918093697</v>
      </c>
      <c r="AK47" s="1189">
        <v>2.1328702899930065</v>
      </c>
      <c r="AL47" s="1189">
        <v>2.0389929022999711</v>
      </c>
      <c r="AM47" s="1189">
        <v>1.9492474882960087</v>
      </c>
      <c r="AN47" s="1189">
        <v>1.863452180898632</v>
      </c>
      <c r="AO47" s="1189">
        <v>1.781433117829496</v>
      </c>
      <c r="AP47" s="1189">
        <v>1.7030240892841249</v>
      </c>
      <c r="AQ47" s="1189">
        <v>1.6280662011132809</v>
      </c>
      <c r="AR47" s="1189">
        <v>1.5564075528265675</v>
      </c>
      <c r="AS47" s="1189">
        <v>1.487902929769829</v>
      </c>
      <c r="AT47" s="1189">
        <v>0</v>
      </c>
      <c r="AU47" s="1189">
        <v>0</v>
      </c>
      <c r="AV47" s="1189">
        <v>0</v>
      </c>
      <c r="AW47" s="1189">
        <v>0</v>
      </c>
      <c r="AX47" s="1189">
        <v>0</v>
      </c>
      <c r="AY47" s="1189">
        <v>0</v>
      </c>
      <c r="AZ47" s="1189">
        <v>0</v>
      </c>
      <c r="BA47" s="1189">
        <v>0</v>
      </c>
      <c r="BB47" s="1189">
        <v>0</v>
      </c>
      <c r="BC47" s="1189">
        <v>0</v>
      </c>
      <c r="BD47" s="1189">
        <v>0</v>
      </c>
      <c r="BE47" s="1189">
        <v>0</v>
      </c>
      <c r="BF47" s="1189">
        <v>0</v>
      </c>
      <c r="BG47" s="1189">
        <v>0</v>
      </c>
      <c r="BH47" s="1189">
        <v>0</v>
      </c>
      <c r="BI47" s="1189">
        <v>0</v>
      </c>
      <c r="BJ47" s="1189">
        <v>0</v>
      </c>
      <c r="BK47" s="1189">
        <v>0</v>
      </c>
      <c r="BL47" s="1189">
        <v>0</v>
      </c>
      <c r="BM47" s="1189">
        <v>0</v>
      </c>
      <c r="BN47" s="1189">
        <v>0</v>
      </c>
      <c r="BO47" s="1189">
        <v>0</v>
      </c>
      <c r="BP47" s="1189"/>
      <c r="BQ47" s="1191"/>
      <c r="BR47" s="1191"/>
      <c r="BS47" s="1191"/>
      <c r="BT47" s="1191"/>
      <c r="BU47" s="1191"/>
      <c r="BV47" s="1191"/>
      <c r="BW47" s="1191"/>
      <c r="BX47" s="1191"/>
      <c r="BY47" s="1191"/>
      <c r="BZ47" s="1191"/>
      <c r="CA47" s="1191"/>
      <c r="CB47" s="1191"/>
      <c r="CC47" s="1191"/>
      <c r="CD47" s="1191"/>
      <c r="CE47" s="1191"/>
      <c r="CF47" s="1191"/>
      <c r="CG47" s="1191"/>
      <c r="CH47" s="1191"/>
      <c r="CI47" s="1191"/>
      <c r="CJ47" s="1191"/>
    </row>
    <row r="48" spans="2:88" ht="41.4" x14ac:dyDescent="0.25">
      <c r="B48" s="533" t="s">
        <v>266</v>
      </c>
      <c r="C48" s="534" t="s">
        <v>267</v>
      </c>
      <c r="D48" s="535" t="s">
        <v>79</v>
      </c>
      <c r="E48" s="539" t="s">
        <v>254</v>
      </c>
      <c r="F48" s="540">
        <v>0</v>
      </c>
      <c r="G48" s="1188"/>
      <c r="H48" s="1189"/>
      <c r="I48" s="1189">
        <v>0</v>
      </c>
      <c r="J48" s="1189">
        <v>0</v>
      </c>
      <c r="K48" s="1189">
        <v>0</v>
      </c>
      <c r="L48" s="1189">
        <v>0</v>
      </c>
      <c r="M48" s="1189">
        <v>8.7262223679926247</v>
      </c>
      <c r="N48" s="1189">
        <v>8.5262223679926255</v>
      </c>
      <c r="O48" s="1189">
        <v>8.5262223679926255</v>
      </c>
      <c r="P48" s="1189">
        <v>8.426222367992624</v>
      </c>
      <c r="Q48" s="1189">
        <v>8.5262223679926255</v>
      </c>
      <c r="R48" s="1189">
        <v>8.2262223679926247</v>
      </c>
      <c r="S48" s="1189">
        <v>8.2262223679926247</v>
      </c>
      <c r="T48" s="1189">
        <v>8.2262223679926247</v>
      </c>
      <c r="U48" s="1189">
        <v>8.2262223679926247</v>
      </c>
      <c r="V48" s="1189">
        <v>8.1262223679926251</v>
      </c>
      <c r="W48" s="1189">
        <v>8.1262223679926251</v>
      </c>
      <c r="X48" s="1189">
        <v>7.9262223679926249</v>
      </c>
      <c r="Y48" s="1189">
        <v>7.9262223679926249</v>
      </c>
      <c r="Z48" s="1189">
        <v>7.9262223679926249</v>
      </c>
      <c r="AA48" s="1189">
        <v>7.8262223679926244</v>
      </c>
      <c r="AB48" s="1189">
        <v>3.6</v>
      </c>
      <c r="AC48" s="1189">
        <v>3.7</v>
      </c>
      <c r="AD48" s="1189">
        <v>3.8</v>
      </c>
      <c r="AE48" s="1189">
        <v>3.8</v>
      </c>
      <c r="AF48" s="1189">
        <v>3.9</v>
      </c>
      <c r="AG48" s="1189">
        <v>3.6</v>
      </c>
      <c r="AH48" s="1189">
        <v>3.5</v>
      </c>
      <c r="AI48" s="1189">
        <v>3.6</v>
      </c>
      <c r="AJ48" s="1189">
        <v>3.6</v>
      </c>
      <c r="AK48" s="1189">
        <v>3.5</v>
      </c>
      <c r="AL48" s="1189">
        <v>3.6</v>
      </c>
      <c r="AM48" s="1189">
        <v>3.6</v>
      </c>
      <c r="AN48" s="1189">
        <v>3.5</v>
      </c>
      <c r="AO48" s="1189">
        <v>3.6</v>
      </c>
      <c r="AP48" s="1189">
        <v>3.6</v>
      </c>
      <c r="AQ48" s="1189">
        <v>3.5</v>
      </c>
      <c r="AR48" s="1189">
        <v>3.6</v>
      </c>
      <c r="AS48" s="1189">
        <v>3.5</v>
      </c>
      <c r="AT48" s="1189">
        <v>3.6</v>
      </c>
      <c r="AU48" s="1189">
        <v>3.6</v>
      </c>
      <c r="AV48" s="1189">
        <v>3.5</v>
      </c>
      <c r="AW48" s="1189">
        <v>3.6</v>
      </c>
      <c r="AX48" s="1189">
        <v>3.6</v>
      </c>
      <c r="AY48" s="1189">
        <v>3.5</v>
      </c>
      <c r="AZ48" s="1189">
        <v>3.6</v>
      </c>
      <c r="BA48" s="1189">
        <v>3.5</v>
      </c>
      <c r="BB48" s="1189">
        <v>3.6</v>
      </c>
      <c r="BC48" s="1189">
        <v>3.6</v>
      </c>
      <c r="BD48" s="1189">
        <v>3.5</v>
      </c>
      <c r="BE48" s="1189">
        <v>3.6</v>
      </c>
      <c r="BF48" s="1189">
        <v>3.6</v>
      </c>
      <c r="BG48" s="1189">
        <v>3.5</v>
      </c>
      <c r="BH48" s="1189">
        <v>3.6</v>
      </c>
      <c r="BI48" s="1189">
        <v>3.6</v>
      </c>
      <c r="BJ48" s="1189">
        <v>3.5</v>
      </c>
      <c r="BK48" s="1189">
        <v>3.6</v>
      </c>
      <c r="BL48" s="1189">
        <v>3.5</v>
      </c>
      <c r="BM48" s="1189">
        <v>3.6</v>
      </c>
      <c r="BN48" s="1189">
        <v>3.6</v>
      </c>
      <c r="BO48" s="1189">
        <v>3.5</v>
      </c>
      <c r="BP48" s="1189"/>
      <c r="BQ48" s="1189"/>
      <c r="BR48" s="1189"/>
      <c r="BS48" s="1189"/>
      <c r="BT48" s="1189"/>
      <c r="BU48" s="1189"/>
      <c r="BV48" s="1189"/>
      <c r="BW48" s="1189"/>
      <c r="BX48" s="1189"/>
      <c r="BY48" s="1189"/>
      <c r="BZ48" s="1189"/>
      <c r="CA48" s="1189"/>
      <c r="CB48" s="1189"/>
      <c r="CC48" s="1189"/>
      <c r="CD48" s="1189"/>
      <c r="CE48" s="1189"/>
      <c r="CF48" s="1189"/>
      <c r="CG48" s="1189"/>
      <c r="CH48" s="1189"/>
      <c r="CI48" s="1189"/>
      <c r="CJ48" s="1189"/>
    </row>
    <row r="49" spans="2:92" x14ac:dyDescent="0.25">
      <c r="B49" s="533" t="s">
        <v>268</v>
      </c>
      <c r="C49" s="534" t="s">
        <v>269</v>
      </c>
      <c r="D49" s="535" t="s">
        <v>79</v>
      </c>
      <c r="E49" s="539" t="s">
        <v>254</v>
      </c>
      <c r="F49" s="540">
        <v>0</v>
      </c>
      <c r="G49" s="1338"/>
      <c r="H49" s="1338"/>
      <c r="I49" s="1338">
        <f>SUM(I50:I52)</f>
        <v>0</v>
      </c>
      <c r="J49" s="1338">
        <f>SUM(J50:J52)</f>
        <v>0</v>
      </c>
      <c r="K49" s="1338">
        <f t="shared" ref="K49:BO49" si="7">SUM(K50:K52)</f>
        <v>0</v>
      </c>
      <c r="L49" s="1338">
        <f t="shared" si="7"/>
        <v>0</v>
      </c>
      <c r="M49" s="1338">
        <f t="shared" si="7"/>
        <v>1.9339999999999999</v>
      </c>
      <c r="N49" s="1338">
        <f t="shared" si="7"/>
        <v>1.9339999999999999</v>
      </c>
      <c r="O49" s="1338">
        <f t="shared" si="7"/>
        <v>1.9339999999999999</v>
      </c>
      <c r="P49" s="1338">
        <f t="shared" si="7"/>
        <v>1.9339999999999999</v>
      </c>
      <c r="Q49" s="1338">
        <f t="shared" si="7"/>
        <v>1.9339999999999999</v>
      </c>
      <c r="R49" s="1338">
        <f t="shared" si="7"/>
        <v>1.9339999999999999</v>
      </c>
      <c r="S49" s="1338">
        <f t="shared" si="7"/>
        <v>1.9339999999999999</v>
      </c>
      <c r="T49" s="1338">
        <f t="shared" si="7"/>
        <v>1.9339999999999999</v>
      </c>
      <c r="U49" s="1338">
        <f t="shared" si="7"/>
        <v>1.9339999999999999</v>
      </c>
      <c r="V49" s="1338">
        <f t="shared" si="7"/>
        <v>1.9339999999999999</v>
      </c>
      <c r="W49" s="1338">
        <f t="shared" si="7"/>
        <v>1.9339999999999999</v>
      </c>
      <c r="X49" s="1338">
        <f t="shared" si="7"/>
        <v>1.9339999999999999</v>
      </c>
      <c r="Y49" s="1338">
        <f t="shared" si="7"/>
        <v>1.9339999999999999</v>
      </c>
      <c r="Z49" s="1338">
        <f t="shared" si="7"/>
        <v>1.9339999999999999</v>
      </c>
      <c r="AA49" s="1338">
        <f t="shared" si="7"/>
        <v>1.9339999999999999</v>
      </c>
      <c r="AB49" s="1338">
        <f t="shared" si="7"/>
        <v>0</v>
      </c>
      <c r="AC49" s="1338">
        <f t="shared" si="7"/>
        <v>0</v>
      </c>
      <c r="AD49" s="1338">
        <f t="shared" si="7"/>
        <v>0</v>
      </c>
      <c r="AE49" s="1338">
        <f t="shared" si="7"/>
        <v>0</v>
      </c>
      <c r="AF49" s="1338">
        <f t="shared" si="7"/>
        <v>0</v>
      </c>
      <c r="AG49" s="1338">
        <f t="shared" si="7"/>
        <v>0</v>
      </c>
      <c r="AH49" s="1338">
        <f t="shared" si="7"/>
        <v>0</v>
      </c>
      <c r="AI49" s="1338">
        <f t="shared" si="7"/>
        <v>0</v>
      </c>
      <c r="AJ49" s="1338">
        <f t="shared" si="7"/>
        <v>0</v>
      </c>
      <c r="AK49" s="1338">
        <f t="shared" si="7"/>
        <v>0</v>
      </c>
      <c r="AL49" s="1338">
        <f t="shared" si="7"/>
        <v>0</v>
      </c>
      <c r="AM49" s="1338">
        <f t="shared" si="7"/>
        <v>0</v>
      </c>
      <c r="AN49" s="1338">
        <f t="shared" si="7"/>
        <v>0</v>
      </c>
      <c r="AO49" s="1338">
        <f t="shared" si="7"/>
        <v>0</v>
      </c>
      <c r="AP49" s="1338">
        <f t="shared" si="7"/>
        <v>0</v>
      </c>
      <c r="AQ49" s="1338">
        <f t="shared" si="7"/>
        <v>0</v>
      </c>
      <c r="AR49" s="1338">
        <f t="shared" si="7"/>
        <v>0</v>
      </c>
      <c r="AS49" s="1338">
        <f t="shared" si="7"/>
        <v>0</v>
      </c>
      <c r="AT49" s="1338">
        <f t="shared" si="7"/>
        <v>0</v>
      </c>
      <c r="AU49" s="1338">
        <f t="shared" si="7"/>
        <v>0</v>
      </c>
      <c r="AV49" s="1338">
        <f t="shared" si="7"/>
        <v>0</v>
      </c>
      <c r="AW49" s="1338">
        <f t="shared" si="7"/>
        <v>0</v>
      </c>
      <c r="AX49" s="1338">
        <f t="shared" si="7"/>
        <v>0</v>
      </c>
      <c r="AY49" s="1338">
        <f t="shared" si="7"/>
        <v>0</v>
      </c>
      <c r="AZ49" s="1338">
        <f t="shared" si="7"/>
        <v>0</v>
      </c>
      <c r="BA49" s="1338">
        <f t="shared" si="7"/>
        <v>0</v>
      </c>
      <c r="BB49" s="1338">
        <f t="shared" si="7"/>
        <v>0</v>
      </c>
      <c r="BC49" s="1338">
        <f t="shared" si="7"/>
        <v>0</v>
      </c>
      <c r="BD49" s="1338">
        <f t="shared" si="7"/>
        <v>0</v>
      </c>
      <c r="BE49" s="1338">
        <f t="shared" si="7"/>
        <v>0</v>
      </c>
      <c r="BF49" s="1338">
        <f t="shared" si="7"/>
        <v>0</v>
      </c>
      <c r="BG49" s="1338">
        <f t="shared" si="7"/>
        <v>0</v>
      </c>
      <c r="BH49" s="1338">
        <f t="shared" si="7"/>
        <v>0</v>
      </c>
      <c r="BI49" s="1338">
        <f t="shared" si="7"/>
        <v>0</v>
      </c>
      <c r="BJ49" s="1338">
        <f t="shared" si="7"/>
        <v>0</v>
      </c>
      <c r="BK49" s="1338">
        <f t="shared" si="7"/>
        <v>0</v>
      </c>
      <c r="BL49" s="1338">
        <f t="shared" si="7"/>
        <v>0</v>
      </c>
      <c r="BM49" s="1338">
        <f t="shared" si="7"/>
        <v>0</v>
      </c>
      <c r="BN49" s="1338">
        <f t="shared" si="7"/>
        <v>0</v>
      </c>
      <c r="BO49" s="1338">
        <f t="shared" si="7"/>
        <v>0</v>
      </c>
      <c r="BP49" s="1338"/>
      <c r="BQ49" s="1338"/>
      <c r="BR49" s="1338"/>
      <c r="BS49" s="1338"/>
      <c r="BT49" s="1338"/>
      <c r="BU49" s="1338"/>
      <c r="BV49" s="1338"/>
      <c r="BW49" s="1338"/>
      <c r="BX49" s="1338"/>
      <c r="BY49" s="1338"/>
      <c r="BZ49" s="1338"/>
      <c r="CA49" s="1338"/>
      <c r="CB49" s="1338"/>
      <c r="CC49" s="1338"/>
      <c r="CD49" s="1338"/>
      <c r="CE49" s="1338"/>
      <c r="CF49" s="1338"/>
      <c r="CG49" s="1338"/>
      <c r="CH49" s="1338"/>
      <c r="CI49" s="1338"/>
      <c r="CJ49" s="1338"/>
      <c r="CK49" s="1198"/>
    </row>
    <row r="50" spans="2:92" ht="27.6" x14ac:dyDescent="0.25">
      <c r="B50" s="533" t="s">
        <v>270</v>
      </c>
      <c r="C50" s="534" t="s">
        <v>271</v>
      </c>
      <c r="D50" s="535" t="s">
        <v>79</v>
      </c>
      <c r="E50" s="539" t="s">
        <v>254</v>
      </c>
      <c r="F50" s="540">
        <v>0</v>
      </c>
      <c r="G50" s="1188"/>
      <c r="H50" s="1189"/>
      <c r="I50" s="1189">
        <v>0</v>
      </c>
      <c r="J50" s="1189">
        <v>0</v>
      </c>
      <c r="K50" s="1189">
        <v>0</v>
      </c>
      <c r="L50" s="1189">
        <v>0</v>
      </c>
      <c r="M50" s="1189">
        <v>0</v>
      </c>
      <c r="N50" s="1189">
        <v>0</v>
      </c>
      <c r="O50" s="1189">
        <v>0</v>
      </c>
      <c r="P50" s="1189">
        <v>0</v>
      </c>
      <c r="Q50" s="1189">
        <v>0</v>
      </c>
      <c r="R50" s="1189">
        <v>0</v>
      </c>
      <c r="S50" s="1189">
        <v>0</v>
      </c>
      <c r="T50" s="1189">
        <v>0</v>
      </c>
      <c r="U50" s="1189">
        <v>0</v>
      </c>
      <c r="V50" s="1189">
        <v>0</v>
      </c>
      <c r="W50" s="1189">
        <v>0</v>
      </c>
      <c r="X50" s="1189">
        <v>0</v>
      </c>
      <c r="Y50" s="1189">
        <v>0</v>
      </c>
      <c r="Z50" s="1189">
        <v>0</v>
      </c>
      <c r="AA50" s="1189">
        <v>0</v>
      </c>
      <c r="AB50" s="1189">
        <v>0</v>
      </c>
      <c r="AC50" s="1189">
        <v>0</v>
      </c>
      <c r="AD50" s="1189">
        <v>0</v>
      </c>
      <c r="AE50" s="1189">
        <v>0</v>
      </c>
      <c r="AF50" s="1189">
        <v>0</v>
      </c>
      <c r="AG50" s="1189">
        <v>0</v>
      </c>
      <c r="AH50" s="1189">
        <v>0</v>
      </c>
      <c r="AI50" s="1189">
        <v>0</v>
      </c>
      <c r="AJ50" s="1189">
        <v>0</v>
      </c>
      <c r="AK50" s="1189">
        <v>0</v>
      </c>
      <c r="AL50" s="1189">
        <v>0</v>
      </c>
      <c r="AM50" s="1189">
        <v>0</v>
      </c>
      <c r="AN50" s="1189">
        <v>0</v>
      </c>
      <c r="AO50" s="1189">
        <v>0</v>
      </c>
      <c r="AP50" s="1189">
        <v>0</v>
      </c>
      <c r="AQ50" s="1189">
        <v>0</v>
      </c>
      <c r="AR50" s="1189">
        <v>0</v>
      </c>
      <c r="AS50" s="1189">
        <v>0</v>
      </c>
      <c r="AT50" s="1189">
        <v>0</v>
      </c>
      <c r="AU50" s="1189">
        <v>0</v>
      </c>
      <c r="AV50" s="1189">
        <v>0</v>
      </c>
      <c r="AW50" s="1189">
        <v>0</v>
      </c>
      <c r="AX50" s="1189">
        <v>0</v>
      </c>
      <c r="AY50" s="1189">
        <v>0</v>
      </c>
      <c r="AZ50" s="1189">
        <v>0</v>
      </c>
      <c r="BA50" s="1189">
        <v>0</v>
      </c>
      <c r="BB50" s="1189">
        <v>0</v>
      </c>
      <c r="BC50" s="1189">
        <v>0</v>
      </c>
      <c r="BD50" s="1189">
        <v>0</v>
      </c>
      <c r="BE50" s="1189">
        <v>0</v>
      </c>
      <c r="BF50" s="1189">
        <v>0</v>
      </c>
      <c r="BG50" s="1189">
        <v>0</v>
      </c>
      <c r="BH50" s="1189">
        <v>0</v>
      </c>
      <c r="BI50" s="1189">
        <v>0</v>
      </c>
      <c r="BJ50" s="1189">
        <v>0</v>
      </c>
      <c r="BK50" s="1189">
        <v>0</v>
      </c>
      <c r="BL50" s="1189">
        <v>0</v>
      </c>
      <c r="BM50" s="1189">
        <v>0</v>
      </c>
      <c r="BN50" s="1189">
        <v>0</v>
      </c>
      <c r="BO50" s="1189">
        <v>0</v>
      </c>
      <c r="BP50" s="1189"/>
      <c r="BQ50" s="1189"/>
      <c r="BR50" s="1189"/>
      <c r="BS50" s="1189"/>
      <c r="BT50" s="1189"/>
      <c r="BU50" s="1189"/>
      <c r="BV50" s="1189"/>
      <c r="BW50" s="1189"/>
      <c r="BX50" s="1189"/>
      <c r="BY50" s="1189"/>
      <c r="BZ50" s="1189"/>
      <c r="CA50" s="1189"/>
      <c r="CB50" s="1189"/>
      <c r="CC50" s="1189"/>
      <c r="CD50" s="1189"/>
      <c r="CE50" s="1189"/>
      <c r="CF50" s="1189"/>
      <c r="CG50" s="1189"/>
      <c r="CH50" s="1189"/>
      <c r="CI50" s="1189"/>
      <c r="CJ50" s="1189"/>
    </row>
    <row r="51" spans="2:92" ht="27.6" x14ac:dyDescent="0.25">
      <c r="B51" s="533" t="s">
        <v>272</v>
      </c>
      <c r="C51" s="534" t="s">
        <v>273</v>
      </c>
      <c r="D51" s="535" t="s">
        <v>79</v>
      </c>
      <c r="E51" s="539" t="s">
        <v>254</v>
      </c>
      <c r="F51" s="540">
        <v>0</v>
      </c>
      <c r="G51" s="1188"/>
      <c r="H51" s="1189"/>
      <c r="I51" s="1189">
        <v>0</v>
      </c>
      <c r="J51" s="1189">
        <v>0</v>
      </c>
      <c r="K51" s="1189">
        <v>0</v>
      </c>
      <c r="L51" s="1189">
        <v>0</v>
      </c>
      <c r="M51" s="1189">
        <v>0</v>
      </c>
      <c r="N51" s="1189">
        <v>0</v>
      </c>
      <c r="O51" s="1189">
        <v>0</v>
      </c>
      <c r="P51" s="1189">
        <v>0</v>
      </c>
      <c r="Q51" s="1189">
        <v>0</v>
      </c>
      <c r="R51" s="1189">
        <v>0</v>
      </c>
      <c r="S51" s="1189">
        <v>0</v>
      </c>
      <c r="T51" s="1189">
        <v>0</v>
      </c>
      <c r="U51" s="1189">
        <v>0</v>
      </c>
      <c r="V51" s="1189">
        <v>0</v>
      </c>
      <c r="W51" s="1189">
        <v>0</v>
      </c>
      <c r="X51" s="1189">
        <v>0</v>
      </c>
      <c r="Y51" s="1189">
        <v>0</v>
      </c>
      <c r="Z51" s="1189">
        <v>0</v>
      </c>
      <c r="AA51" s="1189">
        <v>0</v>
      </c>
      <c r="AB51" s="1189">
        <v>0</v>
      </c>
      <c r="AC51" s="1189">
        <v>0</v>
      </c>
      <c r="AD51" s="1189">
        <v>0</v>
      </c>
      <c r="AE51" s="1189">
        <v>0</v>
      </c>
      <c r="AF51" s="1189">
        <v>0</v>
      </c>
      <c r="AG51" s="1189">
        <v>0</v>
      </c>
      <c r="AH51" s="1189">
        <v>0</v>
      </c>
      <c r="AI51" s="1189">
        <v>0</v>
      </c>
      <c r="AJ51" s="1189">
        <v>0</v>
      </c>
      <c r="AK51" s="1189">
        <v>0</v>
      </c>
      <c r="AL51" s="1189">
        <v>0</v>
      </c>
      <c r="AM51" s="1189">
        <v>0</v>
      </c>
      <c r="AN51" s="1189">
        <v>0</v>
      </c>
      <c r="AO51" s="1189">
        <v>0</v>
      </c>
      <c r="AP51" s="1189">
        <v>0</v>
      </c>
      <c r="AQ51" s="1189">
        <v>0</v>
      </c>
      <c r="AR51" s="1189">
        <v>0</v>
      </c>
      <c r="AS51" s="1189">
        <v>0</v>
      </c>
      <c r="AT51" s="1189">
        <v>0</v>
      </c>
      <c r="AU51" s="1189">
        <v>0</v>
      </c>
      <c r="AV51" s="1189">
        <v>0</v>
      </c>
      <c r="AW51" s="1189">
        <v>0</v>
      </c>
      <c r="AX51" s="1189">
        <v>0</v>
      </c>
      <c r="AY51" s="1189">
        <v>0</v>
      </c>
      <c r="AZ51" s="1189">
        <v>0</v>
      </c>
      <c r="BA51" s="1189">
        <v>0</v>
      </c>
      <c r="BB51" s="1189">
        <v>0</v>
      </c>
      <c r="BC51" s="1189">
        <v>0</v>
      </c>
      <c r="BD51" s="1189">
        <v>0</v>
      </c>
      <c r="BE51" s="1189">
        <v>0</v>
      </c>
      <c r="BF51" s="1189">
        <v>0</v>
      </c>
      <c r="BG51" s="1189">
        <v>0</v>
      </c>
      <c r="BH51" s="1189">
        <v>0</v>
      </c>
      <c r="BI51" s="1189">
        <v>0</v>
      </c>
      <c r="BJ51" s="1189">
        <v>0</v>
      </c>
      <c r="BK51" s="1189">
        <v>0</v>
      </c>
      <c r="BL51" s="1189">
        <v>0</v>
      </c>
      <c r="BM51" s="1189">
        <v>0</v>
      </c>
      <c r="BN51" s="1189">
        <v>0</v>
      </c>
      <c r="BO51" s="1189">
        <v>0</v>
      </c>
      <c r="BP51" s="1189"/>
      <c r="BQ51" s="1189"/>
      <c r="BR51" s="1189"/>
      <c r="BS51" s="1189"/>
      <c r="BT51" s="1189"/>
      <c r="BU51" s="1189"/>
      <c r="BV51" s="1189"/>
      <c r="BW51" s="1189"/>
      <c r="BX51" s="1189"/>
      <c r="BY51" s="1189"/>
      <c r="BZ51" s="1189"/>
      <c r="CA51" s="1189"/>
      <c r="CB51" s="1189"/>
      <c r="CC51" s="1189"/>
      <c r="CD51" s="1189"/>
      <c r="CE51" s="1189"/>
      <c r="CF51" s="1189"/>
      <c r="CG51" s="1189"/>
      <c r="CH51" s="1189"/>
      <c r="CI51" s="1189"/>
      <c r="CJ51" s="1189"/>
    </row>
    <row r="52" spans="2:92" ht="27.6" x14ac:dyDescent="0.25">
      <c r="B52" s="533" t="s">
        <v>274</v>
      </c>
      <c r="C52" s="534" t="s">
        <v>275</v>
      </c>
      <c r="D52" s="535" t="s">
        <v>79</v>
      </c>
      <c r="E52" s="539" t="s">
        <v>254</v>
      </c>
      <c r="F52" s="540">
        <v>0</v>
      </c>
      <c r="G52" s="1188"/>
      <c r="H52" s="1189"/>
      <c r="I52" s="1189">
        <v>0</v>
      </c>
      <c r="J52" s="1189">
        <v>0</v>
      </c>
      <c r="K52" s="1189">
        <v>0</v>
      </c>
      <c r="L52" s="1189">
        <v>0</v>
      </c>
      <c r="M52" s="1189">
        <v>1.9339999999999999</v>
      </c>
      <c r="N52" s="1189">
        <v>1.9339999999999999</v>
      </c>
      <c r="O52" s="1189">
        <v>1.9339999999999999</v>
      </c>
      <c r="P52" s="1189">
        <v>1.9339999999999999</v>
      </c>
      <c r="Q52" s="1189">
        <v>1.9339999999999999</v>
      </c>
      <c r="R52" s="1189">
        <v>1.9339999999999999</v>
      </c>
      <c r="S52" s="1189">
        <v>1.9339999999999999</v>
      </c>
      <c r="T52" s="1189">
        <v>1.9339999999999999</v>
      </c>
      <c r="U52" s="1189">
        <v>1.9339999999999999</v>
      </c>
      <c r="V52" s="1189">
        <v>1.9339999999999999</v>
      </c>
      <c r="W52" s="1189">
        <v>1.9339999999999999</v>
      </c>
      <c r="X52" s="1189">
        <v>1.9339999999999999</v>
      </c>
      <c r="Y52" s="1189">
        <v>1.9339999999999999</v>
      </c>
      <c r="Z52" s="1189">
        <v>1.9339999999999999</v>
      </c>
      <c r="AA52" s="1189">
        <v>1.9339999999999999</v>
      </c>
      <c r="AB52" s="1189">
        <v>0</v>
      </c>
      <c r="AC52" s="1189">
        <v>0</v>
      </c>
      <c r="AD52" s="1189">
        <v>0</v>
      </c>
      <c r="AE52" s="1189">
        <v>0</v>
      </c>
      <c r="AF52" s="1189">
        <v>0</v>
      </c>
      <c r="AG52" s="1189">
        <v>0</v>
      </c>
      <c r="AH52" s="1189">
        <v>0</v>
      </c>
      <c r="AI52" s="1189">
        <v>0</v>
      </c>
      <c r="AJ52" s="1189">
        <v>0</v>
      </c>
      <c r="AK52" s="1189">
        <v>0</v>
      </c>
      <c r="AL52" s="1189">
        <v>0</v>
      </c>
      <c r="AM52" s="1189">
        <v>0</v>
      </c>
      <c r="AN52" s="1189">
        <v>0</v>
      </c>
      <c r="AO52" s="1189">
        <v>0</v>
      </c>
      <c r="AP52" s="1189">
        <v>0</v>
      </c>
      <c r="AQ52" s="1189">
        <v>0</v>
      </c>
      <c r="AR52" s="1189">
        <v>0</v>
      </c>
      <c r="AS52" s="1189">
        <v>0</v>
      </c>
      <c r="AT52" s="1189">
        <v>0</v>
      </c>
      <c r="AU52" s="1189">
        <v>0</v>
      </c>
      <c r="AV52" s="1189">
        <v>0</v>
      </c>
      <c r="AW52" s="1189">
        <v>0</v>
      </c>
      <c r="AX52" s="1189">
        <v>0</v>
      </c>
      <c r="AY52" s="1189">
        <v>0</v>
      </c>
      <c r="AZ52" s="1189">
        <v>0</v>
      </c>
      <c r="BA52" s="1189">
        <v>0</v>
      </c>
      <c r="BB52" s="1189">
        <v>0</v>
      </c>
      <c r="BC52" s="1189">
        <v>0</v>
      </c>
      <c r="BD52" s="1189">
        <v>0</v>
      </c>
      <c r="BE52" s="1189">
        <v>0</v>
      </c>
      <c r="BF52" s="1189">
        <v>0</v>
      </c>
      <c r="BG52" s="1189">
        <v>0</v>
      </c>
      <c r="BH52" s="1189">
        <v>0</v>
      </c>
      <c r="BI52" s="1189">
        <v>0</v>
      </c>
      <c r="BJ52" s="1189">
        <v>0</v>
      </c>
      <c r="BK52" s="1189">
        <v>0</v>
      </c>
      <c r="BL52" s="1189">
        <v>0</v>
      </c>
      <c r="BM52" s="1189">
        <v>0</v>
      </c>
      <c r="BN52" s="1189">
        <v>0</v>
      </c>
      <c r="BO52" s="1189">
        <v>0</v>
      </c>
      <c r="BP52" s="1189"/>
      <c r="BQ52" s="1189"/>
      <c r="BR52" s="1189"/>
      <c r="BS52" s="1189"/>
      <c r="BT52" s="1189"/>
      <c r="BU52" s="1189"/>
      <c r="BV52" s="1189"/>
      <c r="BW52" s="1189"/>
      <c r="BX52" s="1189"/>
      <c r="BY52" s="1189"/>
      <c r="BZ52" s="1189"/>
      <c r="CA52" s="1189"/>
      <c r="CB52" s="1189"/>
      <c r="CC52" s="1189"/>
      <c r="CD52" s="1189"/>
      <c r="CE52" s="1189"/>
      <c r="CF52" s="1189"/>
      <c r="CG52" s="1189"/>
      <c r="CH52" s="1189"/>
      <c r="CI52" s="1189"/>
      <c r="CJ52" s="1189"/>
    </row>
    <row r="53" spans="2:92" ht="14.4" thickBot="1" x14ac:dyDescent="0.3">
      <c r="C53" s="1383" t="s">
        <v>115</v>
      </c>
    </row>
    <row r="54" spans="2:92" ht="44.7" customHeight="1" thickBot="1" x14ac:dyDescent="0.3">
      <c r="B54" s="434" t="s">
        <v>276</v>
      </c>
      <c r="C54" s="45"/>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1198"/>
      <c r="CL54" s="1198"/>
      <c r="CM54" s="1198"/>
      <c r="CN54" s="1198"/>
    </row>
    <row r="55" spans="2:92" ht="14.4" thickBot="1" x14ac:dyDescent="0.3">
      <c r="B55" s="1164" t="s">
        <v>63</v>
      </c>
      <c r="C55" s="1165" t="s">
        <v>116</v>
      </c>
      <c r="D55" s="1165" t="s">
        <v>64</v>
      </c>
      <c r="E55" s="1165" t="s">
        <v>117</v>
      </c>
      <c r="F55" s="1165" t="s">
        <v>118</v>
      </c>
      <c r="G55" s="1164" t="s">
        <v>119</v>
      </c>
      <c r="H55" s="1165" t="s">
        <v>120</v>
      </c>
      <c r="I55" s="1165" t="s">
        <v>121</v>
      </c>
      <c r="J55" s="1165" t="s">
        <v>122</v>
      </c>
      <c r="K55" s="1165" t="s">
        <v>123</v>
      </c>
      <c r="L55" s="1165" t="s">
        <v>124</v>
      </c>
      <c r="M55" s="1165" t="s">
        <v>125</v>
      </c>
      <c r="N55" s="1165" t="s">
        <v>126</v>
      </c>
      <c r="O55" s="1165" t="s">
        <v>127</v>
      </c>
      <c r="P55" s="1165" t="s">
        <v>128</v>
      </c>
      <c r="Q55" s="1165" t="s">
        <v>129</v>
      </c>
      <c r="R55" s="1165" t="s">
        <v>130</v>
      </c>
      <c r="S55" s="1165" t="s">
        <v>157</v>
      </c>
      <c r="T55" s="1165" t="s">
        <v>158</v>
      </c>
      <c r="U55" s="1165" t="s">
        <v>159</v>
      </c>
      <c r="V55" s="1165" t="s">
        <v>160</v>
      </c>
      <c r="W55" s="1165" t="s">
        <v>131</v>
      </c>
      <c r="X55" s="1165" t="s">
        <v>161</v>
      </c>
      <c r="Y55" s="1165" t="s">
        <v>162</v>
      </c>
      <c r="Z55" s="1165" t="s">
        <v>163</v>
      </c>
      <c r="AA55" s="1165" t="s">
        <v>164</v>
      </c>
      <c r="AB55" s="1165" t="s">
        <v>132</v>
      </c>
      <c r="AC55" s="1165" t="s">
        <v>165</v>
      </c>
      <c r="AD55" s="1165" t="s">
        <v>166</v>
      </c>
      <c r="AE55" s="1165" t="s">
        <v>167</v>
      </c>
      <c r="AF55" s="1165" t="s">
        <v>168</v>
      </c>
      <c r="AG55" s="1165" t="s">
        <v>133</v>
      </c>
      <c r="AH55" s="1165" t="s">
        <v>169</v>
      </c>
      <c r="AI55" s="1165" t="s">
        <v>170</v>
      </c>
      <c r="AJ55" s="1165" t="s">
        <v>171</v>
      </c>
      <c r="AK55" s="1165" t="s">
        <v>172</v>
      </c>
      <c r="AL55" s="1165" t="s">
        <v>134</v>
      </c>
      <c r="AM55" s="1165" t="s">
        <v>173</v>
      </c>
      <c r="AN55" s="1165" t="s">
        <v>174</v>
      </c>
      <c r="AO55" s="1165" t="s">
        <v>175</v>
      </c>
      <c r="AP55" s="1165" t="s">
        <v>176</v>
      </c>
      <c r="AQ55" s="1165" t="s">
        <v>135</v>
      </c>
      <c r="AR55" s="1165" t="s">
        <v>177</v>
      </c>
      <c r="AS55" s="1165" t="s">
        <v>178</v>
      </c>
      <c r="AT55" s="1165" t="s">
        <v>179</v>
      </c>
      <c r="AU55" s="1165" t="s">
        <v>180</v>
      </c>
      <c r="AV55" s="1165" t="s">
        <v>136</v>
      </c>
      <c r="AW55" s="1165" t="s">
        <v>181</v>
      </c>
      <c r="AX55" s="1165" t="s">
        <v>182</v>
      </c>
      <c r="AY55" s="1165" t="s">
        <v>183</v>
      </c>
      <c r="AZ55" s="1165" t="s">
        <v>184</v>
      </c>
      <c r="BA55" s="1165" t="s">
        <v>137</v>
      </c>
      <c r="BB55" s="1165" t="s">
        <v>185</v>
      </c>
      <c r="BC55" s="1165" t="s">
        <v>186</v>
      </c>
      <c r="BD55" s="1165" t="s">
        <v>187</v>
      </c>
      <c r="BE55" s="1165" t="s">
        <v>188</v>
      </c>
      <c r="BF55" s="1165" t="s">
        <v>138</v>
      </c>
      <c r="BG55" s="1165" t="s">
        <v>189</v>
      </c>
      <c r="BH55" s="1165" t="s">
        <v>190</v>
      </c>
      <c r="BI55" s="1165" t="s">
        <v>191</v>
      </c>
      <c r="BJ55" s="1165" t="s">
        <v>192</v>
      </c>
      <c r="BK55" s="1165" t="s">
        <v>139</v>
      </c>
      <c r="BL55" s="1165" t="s">
        <v>193</v>
      </c>
      <c r="BM55" s="1165" t="s">
        <v>194</v>
      </c>
      <c r="BN55" s="1165" t="s">
        <v>195</v>
      </c>
      <c r="BO55" s="1165" t="s">
        <v>196</v>
      </c>
      <c r="BP55" s="1165" t="s">
        <v>140</v>
      </c>
      <c r="BQ55" s="1165" t="s">
        <v>197</v>
      </c>
      <c r="BR55" s="1165" t="s">
        <v>198</v>
      </c>
      <c r="BS55" s="1165" t="s">
        <v>199</v>
      </c>
      <c r="BT55" s="1165" t="s">
        <v>200</v>
      </c>
      <c r="BU55" s="1165" t="s">
        <v>141</v>
      </c>
      <c r="BV55" s="1165" t="s">
        <v>201</v>
      </c>
      <c r="BW55" s="1165" t="s">
        <v>202</v>
      </c>
      <c r="BX55" s="1165" t="s">
        <v>203</v>
      </c>
      <c r="BY55" s="1165" t="s">
        <v>204</v>
      </c>
      <c r="BZ55" s="1165" t="s">
        <v>142</v>
      </c>
      <c r="CA55" s="1165" t="s">
        <v>205</v>
      </c>
      <c r="CB55" s="1165" t="s">
        <v>206</v>
      </c>
      <c r="CC55" s="1165" t="s">
        <v>207</v>
      </c>
      <c r="CD55" s="1165" t="s">
        <v>208</v>
      </c>
      <c r="CE55" s="1165" t="s">
        <v>143</v>
      </c>
      <c r="CF55" s="1165" t="s">
        <v>209</v>
      </c>
      <c r="CG55" s="1165" t="s">
        <v>210</v>
      </c>
      <c r="CH55" s="1165" t="s">
        <v>211</v>
      </c>
      <c r="CI55" s="1165" t="s">
        <v>212</v>
      </c>
      <c r="CJ55" s="1207" t="s">
        <v>213</v>
      </c>
    </row>
    <row r="56" spans="2:92" ht="14.4" thickBot="1" x14ac:dyDescent="0.3">
      <c r="B56" s="1166" t="s">
        <v>277</v>
      </c>
      <c r="C56" s="541" t="s">
        <v>278</v>
      </c>
      <c r="D56" s="542" t="s">
        <v>279</v>
      </c>
      <c r="E56" s="541" t="s">
        <v>146</v>
      </c>
      <c r="F56" s="543">
        <v>2</v>
      </c>
      <c r="G56" s="399"/>
      <c r="H56" s="399"/>
      <c r="I56" s="399">
        <f>SUM(BWXBRS!I$40)</f>
        <v>4.2699999999999996</v>
      </c>
      <c r="J56" s="399">
        <f>SUM(BWXBRS!J$40)</f>
        <v>4.2699999999999996</v>
      </c>
      <c r="K56" s="399">
        <f>SUM(BWXBRS!K$40)</f>
        <v>4.2699999999999996</v>
      </c>
      <c r="L56" s="399">
        <f>SUM(BWXBRS!L$40)</f>
        <v>4.2699999999999996</v>
      </c>
      <c r="M56" s="399">
        <f>SUM(BWXBRS!M$40)</f>
        <v>4.2699999999999996</v>
      </c>
      <c r="N56" s="399">
        <f>SUM(BWXBRS!N$40)</f>
        <v>4.2699999999999996</v>
      </c>
      <c r="O56" s="399">
        <f>SUM(BWXBRS!O$40)</f>
        <v>4.2699999999999996</v>
      </c>
      <c r="P56" s="399">
        <f>SUM(BWXBRS!P$40)</f>
        <v>4.2699999999999996</v>
      </c>
      <c r="Q56" s="399">
        <f>SUM(BWXBRS!Q$40)</f>
        <v>4.2699999999999996</v>
      </c>
      <c r="R56" s="399">
        <f>SUM(BWXBRS!R$40)</f>
        <v>4.2699999999999996</v>
      </c>
      <c r="S56" s="399">
        <f>SUM(BWXBRS!S$40)</f>
        <v>4.2699999999999996</v>
      </c>
      <c r="T56" s="399">
        <f>SUM(BWXBRS!T$40)</f>
        <v>4.2699999999999996</v>
      </c>
      <c r="U56" s="399">
        <f>SUM(BWXBRS!U$40)</f>
        <v>4.2699999999999996</v>
      </c>
      <c r="V56" s="399">
        <f>SUM(BWXBRS!V$40)</f>
        <v>4.2699999999999996</v>
      </c>
      <c r="W56" s="399">
        <f>SUM(BWXBRS!W$40)</f>
        <v>4.2699999999999996</v>
      </c>
      <c r="X56" s="399">
        <f>SUM(BWXBRS!X$40)</f>
        <v>4.2699999999999996</v>
      </c>
      <c r="Y56" s="399">
        <f>SUM(BWXBRS!Y$40)</f>
        <v>4.2699999999999996</v>
      </c>
      <c r="Z56" s="399">
        <f>SUM(BWXBRS!Z$40)</f>
        <v>4.2699999999999996</v>
      </c>
      <c r="AA56" s="399">
        <f>SUM(BWXBRS!AA$40)</f>
        <v>4.2699999999999996</v>
      </c>
      <c r="AB56" s="399">
        <f>SUM(BWXBRS!AB$40)</f>
        <v>4.22</v>
      </c>
      <c r="AC56" s="399">
        <f>SUM(BWXBRS!AC$40)</f>
        <v>4.22</v>
      </c>
      <c r="AD56" s="399">
        <f>SUM(BWXBRS!AD$40)</f>
        <v>4.22</v>
      </c>
      <c r="AE56" s="399">
        <v>0</v>
      </c>
      <c r="AF56" s="399">
        <v>0</v>
      </c>
      <c r="AG56" s="399">
        <v>0</v>
      </c>
      <c r="AH56" s="399">
        <v>4.22</v>
      </c>
      <c r="AI56" s="399">
        <v>4.22</v>
      </c>
      <c r="AJ56" s="399">
        <v>4.22</v>
      </c>
      <c r="AK56" s="399">
        <v>4.22</v>
      </c>
      <c r="AL56" s="399">
        <v>4.22</v>
      </c>
      <c r="AM56" s="399">
        <v>4.22</v>
      </c>
      <c r="AN56" s="399">
        <v>4.22</v>
      </c>
      <c r="AO56" s="399">
        <v>4.22</v>
      </c>
      <c r="AP56" s="399">
        <v>4.22</v>
      </c>
      <c r="AQ56" s="399">
        <v>4.22</v>
      </c>
      <c r="AR56" s="399">
        <v>4.22</v>
      </c>
      <c r="AS56" s="399">
        <v>4.22</v>
      </c>
      <c r="AT56" s="399">
        <v>4.22</v>
      </c>
      <c r="AU56" s="399">
        <v>4.22</v>
      </c>
      <c r="AV56" s="399">
        <v>4.22</v>
      </c>
      <c r="AW56" s="399">
        <v>4.22</v>
      </c>
      <c r="AX56" s="399">
        <v>4.22</v>
      </c>
      <c r="AY56" s="399">
        <v>4.22</v>
      </c>
      <c r="AZ56" s="399">
        <v>4.22</v>
      </c>
      <c r="BA56" s="399">
        <v>4.22</v>
      </c>
      <c r="BB56" s="399">
        <v>4.22</v>
      </c>
      <c r="BC56" s="399">
        <v>4.22</v>
      </c>
      <c r="BD56" s="399">
        <v>4.22</v>
      </c>
      <c r="BE56" s="399">
        <v>4.22</v>
      </c>
      <c r="BF56" s="399">
        <v>4.22</v>
      </c>
      <c r="BG56" s="399">
        <v>4.22</v>
      </c>
      <c r="BH56" s="399">
        <v>4.22</v>
      </c>
      <c r="BI56" s="399">
        <v>4.22</v>
      </c>
      <c r="BJ56" s="399">
        <v>4.22</v>
      </c>
      <c r="BK56" s="399">
        <v>4.22</v>
      </c>
      <c r="BL56" s="399">
        <v>4.22</v>
      </c>
      <c r="BM56" s="399">
        <v>4.22</v>
      </c>
      <c r="BN56" s="399">
        <v>4.22</v>
      </c>
      <c r="BO56" s="399">
        <v>4.22</v>
      </c>
      <c r="BP56" s="399">
        <v>0</v>
      </c>
      <c r="BQ56" s="399">
        <v>0</v>
      </c>
      <c r="BR56" s="399">
        <v>0</v>
      </c>
      <c r="BS56" s="399">
        <v>0</v>
      </c>
      <c r="BT56" s="399">
        <v>0</v>
      </c>
      <c r="BU56" s="399">
        <v>0</v>
      </c>
      <c r="BV56" s="399">
        <v>0</v>
      </c>
      <c r="BW56" s="399">
        <v>0</v>
      </c>
      <c r="BX56" s="399">
        <v>0</v>
      </c>
      <c r="BY56" s="399">
        <v>0</v>
      </c>
      <c r="BZ56" s="399">
        <v>0</v>
      </c>
      <c r="CA56" s="399">
        <v>0</v>
      </c>
      <c r="CB56" s="399">
        <v>0</v>
      </c>
      <c r="CC56" s="399">
        <v>0</v>
      </c>
      <c r="CD56" s="399">
        <v>0</v>
      </c>
      <c r="CE56" s="399">
        <v>0</v>
      </c>
      <c r="CF56" s="399">
        <v>0</v>
      </c>
      <c r="CG56" s="399">
        <v>0</v>
      </c>
      <c r="CH56" s="399">
        <v>0</v>
      </c>
      <c r="CI56" s="399">
        <v>0</v>
      </c>
      <c r="CJ56" s="1200">
        <v>0</v>
      </c>
    </row>
    <row r="57" spans="2:92" ht="41.4" x14ac:dyDescent="0.25">
      <c r="B57" s="1167" t="s">
        <v>280</v>
      </c>
      <c r="C57" s="1168" t="s">
        <v>148</v>
      </c>
      <c r="D57" s="489" t="s">
        <v>281</v>
      </c>
      <c r="E57" s="1168" t="s">
        <v>149</v>
      </c>
      <c r="F57" s="490">
        <v>1</v>
      </c>
      <c r="G57" s="400"/>
      <c r="H57" s="400"/>
      <c r="I57" s="400">
        <f xml:space="preserve"> ( ( SUM(BWXBRS!I$46) + SUM(BWXBRS!I$47)  -  SUM(BWXBRS!I$57) - SUM(BWXBRS!I$58) ) * 1000000 )/ ( ( SUM(BWXBRS!I$79) + SUM(BWXBRS!I$80) ) * 1000 )</f>
        <v>158.04658923764734</v>
      </c>
      <c r="J57" s="400">
        <f xml:space="preserve"> ( ( SUM(BWXBRS!J$46) + SUM(BWXBRS!J$47)  -  SUM(BWXBRS!J$57) - SUM(BWXBRS!J$58) ) * 1000000 )/ ( ( SUM(BWXBRS!J$79) + SUM(BWXBRS!J$80) ) * 1000 )</f>
        <v>156.09367342324163</v>
      </c>
      <c r="K57" s="400">
        <f xml:space="preserve"> ( ( SUM(BWXBRS!K$46) + SUM(BWXBRS!K$47)  -  SUM(BWXBRS!K$57) - SUM(BWXBRS!K$58) ) * 1000000 )/ ( ( SUM(BWXBRS!K$79) + SUM(BWXBRS!K$80) ) * 1000 )</f>
        <v>154.35265818006147</v>
      </c>
      <c r="L57" s="400">
        <f xml:space="preserve"> ( ( SUM(BWXBRS!L$46) + SUM(BWXBRS!L$47)  -  SUM(BWXBRS!L$57) - SUM(BWXBRS!L$58) ) * 1000000 )/ ( ( SUM(BWXBRS!L$79) + SUM(BWXBRS!L$80) ) * 1000 )</f>
        <v>152.78751573204212</v>
      </c>
      <c r="M57" s="400">
        <f xml:space="preserve"> ( ( SUM(BWXBRS!M$46) + SUM(BWXBRS!M$47)  -  SUM(BWXBRS!M$57) - SUM(BWXBRS!M$58) ) * 1000000 )/ ( ( SUM(BWXBRS!M$79) + SUM(BWXBRS!M$80) ) * 1000 )</f>
        <v>151.94753294938482</v>
      </c>
      <c r="N57" s="400">
        <f xml:space="preserve"> ( ( SUM(BWXBRS!N$46) + SUM(BWXBRS!N$47)  -  SUM(BWXBRS!N$57) - SUM(BWXBRS!N$58) ) * 1000000 )/ ( ( SUM(BWXBRS!N$79) + SUM(BWXBRS!N$80) ) * 1000 )</f>
        <v>151.10277172891665</v>
      </c>
      <c r="O57" s="400">
        <f xml:space="preserve"> ( ( SUM(BWXBRS!O$46) + SUM(BWXBRS!O$47)  -  SUM(BWXBRS!O$57) - SUM(BWXBRS!O$58) ) * 1000000 )/ ( ( SUM(BWXBRS!O$79) + SUM(BWXBRS!O$80) ) * 1000 )</f>
        <v>150.07655224060167</v>
      </c>
      <c r="P57" s="400">
        <f xml:space="preserve"> ( ( SUM(BWXBRS!P$46) + SUM(BWXBRS!P$47)  -  SUM(BWXBRS!P$57) - SUM(BWXBRS!P$58) ) * 1000000 )/ ( ( SUM(BWXBRS!P$79) + SUM(BWXBRS!P$80) ) * 1000 )</f>
        <v>149.10110879884789</v>
      </c>
      <c r="Q57" s="400">
        <f xml:space="preserve"> ( ( SUM(BWXBRS!Q$46) + SUM(BWXBRS!Q$47)  -  SUM(BWXBRS!Q$57) - SUM(BWXBRS!Q$58) ) * 1000000 )/ ( ( SUM(BWXBRS!Q$79) + SUM(BWXBRS!Q$80) ) * 1000 )</f>
        <v>148.14371092363371</v>
      </c>
      <c r="R57" s="400">
        <f xml:space="preserve"> ( ( SUM(BWXBRS!R$46) + SUM(BWXBRS!R$47)  -  SUM(BWXBRS!R$57) - SUM(BWXBRS!R$58) ) * 1000000 )/ ( ( SUM(BWXBRS!R$79) + SUM(BWXBRS!R$80) ) * 1000 )</f>
        <v>147.15971026001674</v>
      </c>
      <c r="S57" s="400">
        <f xml:space="preserve"> ( ( SUM(BWXBRS!S$46) + SUM(BWXBRS!S$47)  -  SUM(BWXBRS!S$57) - SUM(BWXBRS!S$58) ) * 1000000 )/ ( ( SUM(BWXBRS!S$79) + SUM(BWXBRS!S$80) ) * 1000 )</f>
        <v>146.19117303218752</v>
      </c>
      <c r="T57" s="400">
        <f xml:space="preserve"> ( ( SUM(BWXBRS!T$46) + SUM(BWXBRS!T$47)  -  SUM(BWXBRS!T$57) - SUM(BWXBRS!T$58) ) * 1000000 )/ ( ( SUM(BWXBRS!T$79) + SUM(BWXBRS!T$80) ) * 1000 )</f>
        <v>145.31897596506818</v>
      </c>
      <c r="U57" s="400">
        <f xml:space="preserve"> ( ( SUM(BWXBRS!U$46) + SUM(BWXBRS!U$47)  -  SUM(BWXBRS!U$57) - SUM(BWXBRS!U$58) ) * 1000000 )/ ( ( SUM(BWXBRS!U$79) + SUM(BWXBRS!U$80) ) * 1000 )</f>
        <v>144.45629316283851</v>
      </c>
      <c r="V57" s="400">
        <f xml:space="preserve"> ( ( SUM(BWXBRS!V$46) + SUM(BWXBRS!V$47)  -  SUM(BWXBRS!V$57) - SUM(BWXBRS!V$58) ) * 1000000 )/ ( ( SUM(BWXBRS!V$79) + SUM(BWXBRS!V$80) ) * 1000 )</f>
        <v>143.60116992791836</v>
      </c>
      <c r="W57" s="400">
        <f xml:space="preserve"> ( ( SUM(BWXBRS!W$46) + SUM(BWXBRS!W$47)  -  SUM(BWXBRS!W$57) - SUM(BWXBRS!W$58) ) * 1000000 )/ ( ( SUM(BWXBRS!W$79) + SUM(BWXBRS!W$80) ) * 1000 )</f>
        <v>143.22113767372986</v>
      </c>
      <c r="X57" s="400">
        <f xml:space="preserve"> ( ( SUM(BWXBRS!X$46) + SUM(BWXBRS!X$47)  -  SUM(BWXBRS!X$57) - SUM(BWXBRS!X$58) ) * 1000000 )/ ( ( SUM(BWXBRS!X$79) + SUM(BWXBRS!X$80) ) * 1000 )</f>
        <v>142.84695323136845</v>
      </c>
      <c r="Y57" s="400">
        <f xml:space="preserve"> ( ( SUM(BWXBRS!Y$46) + SUM(BWXBRS!Y$47)  -  SUM(BWXBRS!Y$57) - SUM(BWXBRS!Y$58) ) * 1000000 )/ ( ( SUM(BWXBRS!Y$79) + SUM(BWXBRS!Y$80) ) * 1000 )</f>
        <v>142.51552094024882</v>
      </c>
      <c r="Z57" s="400">
        <f xml:space="preserve"> ( ( SUM(BWXBRS!Z$46) + SUM(BWXBRS!Z$47)  -  SUM(BWXBRS!Z$57) - SUM(BWXBRS!Z$58) ) * 1000000 )/ ( ( SUM(BWXBRS!Z$79) + SUM(BWXBRS!Z$80) ) * 1000 )</f>
        <v>142.18650783847406</v>
      </c>
      <c r="AA57" s="400">
        <f xml:space="preserve"> ( ( SUM(BWXBRS!AA$46) + SUM(BWXBRS!AA$47)  -  SUM(BWXBRS!AA$57) - SUM(BWXBRS!AA$58) ) * 1000000 )/ ( ( SUM(BWXBRS!AA$79) + SUM(BWXBRS!AA$80) ) * 1000 )</f>
        <v>141.89783401335922</v>
      </c>
      <c r="AB57" s="400">
        <f xml:space="preserve"> ( ( SUM(BWXBRS!AB$46) + SUM(BWXBRS!AB$47)  -  SUM(BWXBRS!AB$57) - SUM(BWXBRS!AB$58) ) * 1000000 )/ ( ( SUM(BWXBRS!AB$79) + SUM(BWXBRS!AB$80) ) * 1000 )</f>
        <v>141.64364532733637</v>
      </c>
      <c r="AC57" s="400">
        <f xml:space="preserve"> ( ( SUM(BWXBRS!AC$46) + SUM(BWXBRS!AC$47)  -  SUM(BWXBRS!AC$57) - SUM(BWXBRS!AC$58) ) * 1000000 )/ ( ( SUM(BWXBRS!AC$79) + SUM(BWXBRS!AC$80) ) * 1000 )</f>
        <v>141.42598723105345</v>
      </c>
      <c r="AD57" s="400">
        <f xml:space="preserve"> ( ( SUM(BWXBRS!AD$46) + SUM(BWXBRS!AD$47)  -  SUM(BWXBRS!AD$57) - SUM(BWXBRS!AD$58) ) * 1000000 )/ ( ( SUM(BWXBRS!AD$79) + SUM(BWXBRS!AD$80) ) * 1000 )</f>
        <v>141.21859052196666</v>
      </c>
      <c r="AE57" s="400" t="e">
        <v>#DIV/0!</v>
      </c>
      <c r="AF57" s="400" t="e">
        <v>#DIV/0!</v>
      </c>
      <c r="AG57" s="400" t="e">
        <v>#DIV/0!</v>
      </c>
      <c r="AH57" s="400">
        <v>139.8530582314506</v>
      </c>
      <c r="AI57" s="400">
        <v>139.51004449365016</v>
      </c>
      <c r="AJ57" s="400">
        <v>139.17700081276718</v>
      </c>
      <c r="AK57" s="400">
        <v>138.84057604802987</v>
      </c>
      <c r="AL57" s="400">
        <v>138.52626899998054</v>
      </c>
      <c r="AM57" s="400">
        <v>138.23228201017938</v>
      </c>
      <c r="AN57" s="400">
        <v>137.91050282429873</v>
      </c>
      <c r="AO57" s="400">
        <v>137.62121862335033</v>
      </c>
      <c r="AP57" s="400">
        <v>137.33951142739568</v>
      </c>
      <c r="AQ57" s="400">
        <v>137.02989041442814</v>
      </c>
      <c r="AR57" s="400">
        <v>136.76276930490593</v>
      </c>
      <c r="AS57" s="400">
        <v>136.47868594454263</v>
      </c>
      <c r="AT57" s="400">
        <v>136.28203155429148</v>
      </c>
      <c r="AU57" s="400">
        <v>136.09863423641329</v>
      </c>
      <c r="AV57" s="400">
        <v>135.88320623175525</v>
      </c>
      <c r="AW57" s="400">
        <v>135.69346695293575</v>
      </c>
      <c r="AX57" s="400">
        <v>135.51665781163931</v>
      </c>
      <c r="AY57" s="400">
        <v>135.30832919495563</v>
      </c>
      <c r="AZ57" s="400">
        <v>135.12520133001669</v>
      </c>
      <c r="BA57" s="400">
        <v>134.92159029449633</v>
      </c>
      <c r="BB57" s="400">
        <v>134.74286359317884</v>
      </c>
      <c r="BC57" s="400">
        <v>134.55579314246901</v>
      </c>
      <c r="BD57" s="400">
        <v>134.35899809324533</v>
      </c>
      <c r="BE57" s="400">
        <v>134.18662602426159</v>
      </c>
      <c r="BF57" s="400">
        <v>134.00602675352795</v>
      </c>
      <c r="BG57" s="400">
        <v>133.81575773613787</v>
      </c>
      <c r="BH57" s="400">
        <v>133.63942849149061</v>
      </c>
      <c r="BI57" s="400">
        <v>133.46512914099094</v>
      </c>
      <c r="BJ57" s="400">
        <v>133.28121484354375</v>
      </c>
      <c r="BK57" s="400">
        <v>133.11100493766713</v>
      </c>
      <c r="BL57" s="400">
        <v>132.92143549389846</v>
      </c>
      <c r="BM57" s="400">
        <v>132.75529882661797</v>
      </c>
      <c r="BN57" s="400">
        <v>132.59104983794057</v>
      </c>
      <c r="BO57" s="400">
        <v>132.40768392062779</v>
      </c>
      <c r="BP57" s="400" t="e">
        <v>#DIV/0!</v>
      </c>
      <c r="BQ57" s="400" t="e">
        <v>#DIV/0!</v>
      </c>
      <c r="BR57" s="400" t="e">
        <v>#DIV/0!</v>
      </c>
      <c r="BS57" s="400" t="e">
        <v>#DIV/0!</v>
      </c>
      <c r="BT57" s="400" t="e">
        <v>#DIV/0!</v>
      </c>
      <c r="BU57" s="400" t="e">
        <v>#DIV/0!</v>
      </c>
      <c r="BV57" s="400" t="e">
        <v>#DIV/0!</v>
      </c>
      <c r="BW57" s="400" t="e">
        <v>#DIV/0!</v>
      </c>
      <c r="BX57" s="400" t="e">
        <v>#DIV/0!</v>
      </c>
      <c r="BY57" s="400" t="e">
        <v>#DIV/0!</v>
      </c>
      <c r="BZ57" s="400" t="e">
        <v>#DIV/0!</v>
      </c>
      <c r="CA57" s="400" t="e">
        <v>#DIV/0!</v>
      </c>
      <c r="CB57" s="400" t="e">
        <v>#DIV/0!</v>
      </c>
      <c r="CC57" s="400" t="e">
        <v>#DIV/0!</v>
      </c>
      <c r="CD57" s="400" t="e">
        <v>#DIV/0!</v>
      </c>
      <c r="CE57" s="400" t="e">
        <v>#DIV/0!</v>
      </c>
      <c r="CF57" s="400" t="e">
        <v>#DIV/0!</v>
      </c>
      <c r="CG57" s="400" t="e">
        <v>#DIV/0!</v>
      </c>
      <c r="CH57" s="400" t="e">
        <v>#DIV/0!</v>
      </c>
      <c r="CI57" s="400" t="e">
        <v>#DIV/0!</v>
      </c>
      <c r="CJ57" s="1201" t="e">
        <v>#DIV/0!</v>
      </c>
    </row>
    <row r="58" spans="2:92" ht="27.6" x14ac:dyDescent="0.25">
      <c r="B58" s="1169" t="s">
        <v>282</v>
      </c>
      <c r="C58" s="1170" t="s">
        <v>283</v>
      </c>
      <c r="D58" s="491" t="s">
        <v>284</v>
      </c>
      <c r="E58" s="1170" t="s">
        <v>285</v>
      </c>
      <c r="F58" s="492">
        <v>1</v>
      </c>
      <c r="G58" s="401"/>
      <c r="H58" s="401"/>
      <c r="I58" s="401">
        <f>( SUM(BWXBRS!I$66) ) / ( SUM(BWXBRS!I$66) + SUM(BWXBRS!I$73) + SUM(BWXBRS!I$74) + SUM(BWXBRS!I$75) )</f>
        <v>0.60241617842786144</v>
      </c>
      <c r="J58" s="401">
        <f>( SUM(BWXBRS!J$66) ) / ( SUM(BWXBRS!J$66) + SUM(BWXBRS!J$73) + SUM(BWXBRS!J$74) + SUM(BWXBRS!J$75) )</f>
        <v>0.64712312645887271</v>
      </c>
      <c r="K58" s="401">
        <f>( SUM(BWXBRS!K$66) ) / ( SUM(BWXBRS!K$66) + SUM(BWXBRS!K$73) + SUM(BWXBRS!K$74) + SUM(BWXBRS!K$75) )</f>
        <v>0.68618916292667442</v>
      </c>
      <c r="L58" s="401">
        <f>( SUM(BWXBRS!L$66) ) / ( SUM(BWXBRS!L$66) + SUM(BWXBRS!L$73) + SUM(BWXBRS!L$74) + SUM(BWXBRS!L$75) )</f>
        <v>0.7206201192285816</v>
      </c>
      <c r="M58" s="401">
        <f>( SUM(BWXBRS!M$66) ) / ( SUM(BWXBRS!M$66) + SUM(BWXBRS!M$73) + SUM(BWXBRS!M$74) + SUM(BWXBRS!M$75) )</f>
        <v>0.73429695854211852</v>
      </c>
      <c r="N58" s="401">
        <f>( SUM(BWXBRS!N$66) ) / ( SUM(BWXBRS!N$66) + SUM(BWXBRS!N$73) + SUM(BWXBRS!N$74) + SUM(BWXBRS!N$75) )</f>
        <v>0.74715365493658581</v>
      </c>
      <c r="O58" s="401">
        <f>( SUM(BWXBRS!O$66) ) / ( SUM(BWXBRS!O$66) + SUM(BWXBRS!O$73) + SUM(BWXBRS!O$74) + SUM(BWXBRS!O$75) )</f>
        <v>0.75932746745268065</v>
      </c>
      <c r="P58" s="401">
        <f>( SUM(BWXBRS!P$66) ) / ( SUM(BWXBRS!P$66) + SUM(BWXBRS!P$73) + SUM(BWXBRS!P$74) + SUM(BWXBRS!P$75) )</f>
        <v>0.77081747883971952</v>
      </c>
      <c r="Q58" s="401">
        <f>( SUM(BWXBRS!Q$66) ) / ( SUM(BWXBRS!Q$66) + SUM(BWXBRS!Q$73) + SUM(BWXBRS!Q$74) + SUM(BWXBRS!Q$75) )</f>
        <v>0.78173752535584551</v>
      </c>
      <c r="R58" s="401">
        <f>( SUM(BWXBRS!R$66) ) / ( SUM(BWXBRS!R$66) + SUM(BWXBRS!R$73) + SUM(BWXBRS!R$74) + SUM(BWXBRS!R$75) )</f>
        <v>0.7919787323923978</v>
      </c>
      <c r="S58" s="401">
        <f>( SUM(BWXBRS!S$66) ) / ( SUM(BWXBRS!S$66) + SUM(BWXBRS!S$73) + SUM(BWXBRS!S$74) + SUM(BWXBRS!S$75) )</f>
        <v>0.80168580920258681</v>
      </c>
      <c r="T58" s="401">
        <f>( SUM(BWXBRS!T$66) ) / ( SUM(BWXBRS!T$66) + SUM(BWXBRS!T$73) + SUM(BWXBRS!T$74) + SUM(BWXBRS!T$75) )</f>
        <v>0.81088726005669776</v>
      </c>
      <c r="U58" s="401">
        <f>( SUM(BWXBRS!U$66) ) / ( SUM(BWXBRS!U$66) + SUM(BWXBRS!U$73) + SUM(BWXBRS!U$74) + SUM(BWXBRS!U$75) )</f>
        <v>0.81961002547272432</v>
      </c>
      <c r="V58" s="401">
        <f>( SUM(BWXBRS!V$66) ) / ( SUM(BWXBRS!V$66) + SUM(BWXBRS!V$73) + SUM(BWXBRS!V$74) + SUM(BWXBRS!V$75) )</f>
        <v>0.82785292144685907</v>
      </c>
      <c r="W58" s="401">
        <f>( SUM(BWXBRS!W$66) ) / ( SUM(BWXBRS!W$66) + SUM(BWXBRS!W$73) + SUM(BWXBRS!W$74) + SUM(BWXBRS!W$75) )</f>
        <v>0.83566974112966508</v>
      </c>
      <c r="X58" s="401">
        <f>( SUM(BWXBRS!X$66) ) / ( SUM(BWXBRS!X$66) + SUM(BWXBRS!X$73) + SUM(BWXBRS!X$74) + SUM(BWXBRS!X$75) )</f>
        <v>0.84303559165091391</v>
      </c>
      <c r="Y58" s="401">
        <f>( SUM(BWXBRS!Y$66) ) / ( SUM(BWXBRS!Y$66) + SUM(BWXBRS!Y$73) + SUM(BWXBRS!Y$74) + SUM(BWXBRS!Y$75) )</f>
        <v>0.85002452059081557</v>
      </c>
      <c r="Z58" s="401">
        <f>( SUM(BWXBRS!Z$66) ) / ( SUM(BWXBRS!Z$66) + SUM(BWXBRS!Z$73) + SUM(BWXBRS!Z$74) + SUM(BWXBRS!Z$75) )</f>
        <v>0.85665617771140634</v>
      </c>
      <c r="AA58" s="401">
        <f>( SUM(BWXBRS!AA$66) ) / ( SUM(BWXBRS!AA$66) + SUM(BWXBRS!AA$73) + SUM(BWXBRS!AA$74) + SUM(BWXBRS!AA$75) )</f>
        <v>0.86292925978769996</v>
      </c>
      <c r="AB58" s="401">
        <f>( SUM(BWXBRS!AB$66) ) / ( SUM(BWXBRS!AB$66) + SUM(BWXBRS!AB$73) + SUM(BWXBRS!AB$74) + SUM(BWXBRS!AB$75) )</f>
        <v>0.86884592457320986</v>
      </c>
      <c r="AC58" s="401">
        <f>( SUM(BWXBRS!AC$66) ) / ( SUM(BWXBRS!AC$66) + SUM(BWXBRS!AC$73) + SUM(BWXBRS!AC$74) + SUM(BWXBRS!AC$75) )</f>
        <v>0.874482201333038</v>
      </c>
      <c r="AD58" s="401">
        <f>( SUM(BWXBRS!AD$66) ) / ( SUM(BWXBRS!AD$66) + SUM(BWXBRS!AD$73) + SUM(BWXBRS!AD$74) + SUM(BWXBRS!AD$75) )</f>
        <v>0.87985038354727263</v>
      </c>
      <c r="AE58" s="401" t="e">
        <v>#DIV/0!</v>
      </c>
      <c r="AF58" s="401" t="e">
        <v>#DIV/0!</v>
      </c>
      <c r="AG58" s="401" t="e">
        <v>#DIV/0!</v>
      </c>
      <c r="AH58" s="401">
        <v>0.89868532688944025</v>
      </c>
      <c r="AI58" s="401">
        <v>0.90280379972499269</v>
      </c>
      <c r="AJ58" s="401">
        <v>0.90671591486918668</v>
      </c>
      <c r="AK58" s="401">
        <v>0.91042089162461848</v>
      </c>
      <c r="AL58" s="401">
        <v>0.91395182885485615</v>
      </c>
      <c r="AM58" s="401">
        <v>0.91730623878896878</v>
      </c>
      <c r="AN58" s="401">
        <v>0.92048354828894141</v>
      </c>
      <c r="AO58" s="401">
        <v>0.92351180533586619</v>
      </c>
      <c r="AP58" s="401">
        <v>0.92638899039856382</v>
      </c>
      <c r="AQ58" s="401">
        <v>0.92911469247082135</v>
      </c>
      <c r="AR58" s="401">
        <v>0.93171269270526014</v>
      </c>
      <c r="AS58" s="401">
        <v>0.93417415472045984</v>
      </c>
      <c r="AT58" s="401">
        <v>0.93443195884698671</v>
      </c>
      <c r="AU58" s="401">
        <v>0.93468699161870294</v>
      </c>
      <c r="AV58" s="401">
        <v>0.93493232542124738</v>
      </c>
      <c r="AW58" s="401">
        <v>0.93518202184330712</v>
      </c>
      <c r="AX58" s="401">
        <v>0.93542907627417704</v>
      </c>
      <c r="AY58" s="401">
        <v>0.93566677477907045</v>
      </c>
      <c r="AZ58" s="401">
        <v>0.93590874003879609</v>
      </c>
      <c r="BA58" s="401">
        <v>0.93614156718700881</v>
      </c>
      <c r="BB58" s="401">
        <v>0.93637859892221487</v>
      </c>
      <c r="BC58" s="401">
        <v>0.93661318660084525</v>
      </c>
      <c r="BD58" s="401">
        <v>0.9368389505175001</v>
      </c>
      <c r="BE58" s="401">
        <v>0.9370688274694392</v>
      </c>
      <c r="BF58" s="401">
        <v>0.93729636991115584</v>
      </c>
      <c r="BG58" s="401">
        <v>0.93751538720231364</v>
      </c>
      <c r="BH58" s="401">
        <v>0.93773842849907729</v>
      </c>
      <c r="BI58" s="401">
        <v>0.93795923838183615</v>
      </c>
      <c r="BJ58" s="401">
        <v>0.93817180701013159</v>
      </c>
      <c r="BK58" s="401">
        <v>0.93838831307919335</v>
      </c>
      <c r="BL58" s="401">
        <v>0.93859675861624847</v>
      </c>
      <c r="BM58" s="401">
        <v>0.93880908548515507</v>
      </c>
      <c r="BN58" s="401">
        <v>0.93901933940337134</v>
      </c>
      <c r="BO58" s="401">
        <v>0.93922179425599073</v>
      </c>
      <c r="BP58" s="401">
        <v>1</v>
      </c>
      <c r="BQ58" s="401">
        <v>1</v>
      </c>
      <c r="BR58" s="401">
        <v>1</v>
      </c>
      <c r="BS58" s="401">
        <v>1</v>
      </c>
      <c r="BT58" s="401">
        <v>1</v>
      </c>
      <c r="BU58" s="401">
        <v>1</v>
      </c>
      <c r="BV58" s="401">
        <v>1</v>
      </c>
      <c r="BW58" s="401">
        <v>1</v>
      </c>
      <c r="BX58" s="401">
        <v>1</v>
      </c>
      <c r="BY58" s="401">
        <v>1</v>
      </c>
      <c r="BZ58" s="401">
        <v>1</v>
      </c>
      <c r="CA58" s="401">
        <v>1</v>
      </c>
      <c r="CB58" s="401">
        <v>1</v>
      </c>
      <c r="CC58" s="401">
        <v>1</v>
      </c>
      <c r="CD58" s="401">
        <v>1</v>
      </c>
      <c r="CE58" s="401">
        <v>1</v>
      </c>
      <c r="CF58" s="401">
        <v>1</v>
      </c>
      <c r="CG58" s="401">
        <v>1</v>
      </c>
      <c r="CH58" s="401" t="e">
        <v>#DIV/0!</v>
      </c>
      <c r="CI58" s="401" t="e">
        <v>#DIV/0!</v>
      </c>
      <c r="CJ58" s="1202" t="e">
        <v>#DIV/0!</v>
      </c>
    </row>
    <row r="59" spans="2:92" ht="28.2" thickBot="1" x14ac:dyDescent="0.3">
      <c r="B59" s="1169" t="s">
        <v>286</v>
      </c>
      <c r="C59" s="1170" t="s">
        <v>287</v>
      </c>
      <c r="D59" s="491" t="s">
        <v>288</v>
      </c>
      <c r="E59" s="1170" t="s">
        <v>146</v>
      </c>
      <c r="F59" s="492">
        <v>2</v>
      </c>
      <c r="G59" s="402"/>
      <c r="H59" s="402"/>
      <c r="I59" s="402">
        <f>SUM(BWXBRS!I$43) + SUM(BWXBRS!I$45) - SUM(BWXBRS!I$55) - SUM(BWXBRS!I$56)</f>
        <v>57.508380664160839</v>
      </c>
      <c r="J59" s="402">
        <f>SUM(BWXBRS!J$43) + SUM(BWXBRS!J$45) - SUM(BWXBRS!J$55) - SUM(BWXBRS!J$56)</f>
        <v>57.679339247338142</v>
      </c>
      <c r="K59" s="402">
        <f>SUM(BWXBRS!K$43) + SUM(BWXBRS!K$45) - SUM(BWXBRS!K$55) - SUM(BWXBRS!K$56)</f>
        <v>57.962641199667033</v>
      </c>
      <c r="L59" s="402">
        <f>SUM(BWXBRS!L$43) + SUM(BWXBRS!L$45) - SUM(BWXBRS!L$55) - SUM(BWXBRS!L$56)</f>
        <v>58.135175213317723</v>
      </c>
      <c r="M59" s="402">
        <f>SUM(BWXBRS!M$43) + SUM(BWXBRS!M$45) - SUM(BWXBRS!M$55) - SUM(BWXBRS!M$56)</f>
        <v>58.286301901197511</v>
      </c>
      <c r="N59" s="402">
        <f>SUM(BWXBRS!N$43) + SUM(BWXBRS!N$45) - SUM(BWXBRS!N$55) - SUM(BWXBRS!N$56)</f>
        <v>58.390349726119958</v>
      </c>
      <c r="O59" s="402">
        <f>SUM(BWXBRS!O$43) + SUM(BWXBRS!O$45) - SUM(BWXBRS!O$55) - SUM(BWXBRS!O$56)</f>
        <v>58.489107916530799</v>
      </c>
      <c r="P59" s="402">
        <f>SUM(BWXBRS!P$43) + SUM(BWXBRS!P$45) - SUM(BWXBRS!P$55) - SUM(BWXBRS!P$56)</f>
        <v>58.605854470103409</v>
      </c>
      <c r="Q59" s="402">
        <f>SUM(BWXBRS!Q$43) + SUM(BWXBRS!Q$45) - SUM(BWXBRS!Q$55) - SUM(BWXBRS!Q$56)</f>
        <v>58.735262721583574</v>
      </c>
      <c r="R59" s="402">
        <f>SUM(BWXBRS!R$43) + SUM(BWXBRS!R$45) - SUM(BWXBRS!R$55) - SUM(BWXBRS!R$56)</f>
        <v>58.841987106109826</v>
      </c>
      <c r="S59" s="402">
        <f>SUM(BWXBRS!S$43) + SUM(BWXBRS!S$45) - SUM(BWXBRS!S$55) - SUM(BWXBRS!S$56)</f>
        <v>58.952974103760802</v>
      </c>
      <c r="T59" s="402">
        <f>SUM(BWXBRS!T$43) + SUM(BWXBRS!T$45) - SUM(BWXBRS!T$55) - SUM(BWXBRS!T$56)</f>
        <v>59.059648937660896</v>
      </c>
      <c r="U59" s="402">
        <f>SUM(BWXBRS!U$43) + SUM(BWXBRS!U$45) - SUM(BWXBRS!U$55) - SUM(BWXBRS!U$56)</f>
        <v>59.173565047318668</v>
      </c>
      <c r="V59" s="402">
        <f>SUM(BWXBRS!V$43) + SUM(BWXBRS!V$45) - SUM(BWXBRS!V$55) - SUM(BWXBRS!V$56)</f>
        <v>59.2610996261784</v>
      </c>
      <c r="W59" s="402">
        <f>SUM(BWXBRS!W$43) + SUM(BWXBRS!W$45) - SUM(BWXBRS!W$55) - SUM(BWXBRS!W$56)</f>
        <v>59.35525816123512</v>
      </c>
      <c r="X59" s="402">
        <f>SUM(BWXBRS!X$43) + SUM(BWXBRS!X$45) - SUM(BWXBRS!X$55) - SUM(BWXBRS!X$56)</f>
        <v>59.438940639774465</v>
      </c>
      <c r="Y59" s="402">
        <f>SUM(BWXBRS!Y$43) + SUM(BWXBRS!Y$45) - SUM(BWXBRS!Y$55) - SUM(BWXBRS!Y$56)</f>
        <v>59.629245946681891</v>
      </c>
      <c r="Z59" s="402">
        <f>SUM(BWXBRS!Z$43) + SUM(BWXBRS!Z$45) - SUM(BWXBRS!Z$55) - SUM(BWXBRS!Z$56)</f>
        <v>59.854612872276192</v>
      </c>
      <c r="AA59" s="402">
        <f>SUM(BWXBRS!AA$43) + SUM(BWXBRS!AA$45) - SUM(BWXBRS!AA$55) - SUM(BWXBRS!AA$56)</f>
        <v>60.033321240295706</v>
      </c>
      <c r="AB59" s="402">
        <f>SUM(BWXBRS!AB$43) + SUM(BWXBRS!AB$45) - SUM(BWXBRS!AB$55) - SUM(BWXBRS!AB$56)</f>
        <v>60.268377618562162</v>
      </c>
      <c r="AC59" s="402">
        <f>SUM(BWXBRS!AC$43) + SUM(BWXBRS!AC$45) - SUM(BWXBRS!AC$55) - SUM(BWXBRS!AC$56)</f>
        <v>60.434559922054113</v>
      </c>
      <c r="AD59" s="402">
        <f>SUM(BWXBRS!AD$43) + SUM(BWXBRS!AD$45) - SUM(BWXBRS!AD$55) - SUM(BWXBRS!AD$56)</f>
        <v>60.604412188038992</v>
      </c>
      <c r="AE59" s="402">
        <v>0</v>
      </c>
      <c r="AF59" s="402">
        <v>0</v>
      </c>
      <c r="AG59" s="402">
        <v>0</v>
      </c>
      <c r="AH59" s="402">
        <v>61.318283619180605</v>
      </c>
      <c r="AI59" s="402">
        <v>61.504871153980829</v>
      </c>
      <c r="AJ59" s="402">
        <v>61.694530940009741</v>
      </c>
      <c r="AK59" s="402">
        <v>61.887184238111239</v>
      </c>
      <c r="AL59" s="402">
        <v>62.082759210659532</v>
      </c>
      <c r="AM59" s="402">
        <v>62.281186696776246</v>
      </c>
      <c r="AN59" s="402">
        <v>62.482402589219504</v>
      </c>
      <c r="AO59" s="402">
        <v>62.686347130143503</v>
      </c>
      <c r="AP59" s="402">
        <v>62.892963489198202</v>
      </c>
      <c r="AQ59" s="402">
        <v>63.102198658166003</v>
      </c>
      <c r="AR59" s="402">
        <v>63.314003221597815</v>
      </c>
      <c r="AS59" s="402">
        <v>63.528330367078617</v>
      </c>
      <c r="AT59" s="402">
        <v>63.74513570171576</v>
      </c>
      <c r="AU59" s="402">
        <v>63.964377830824624</v>
      </c>
      <c r="AV59" s="402">
        <v>64.186018192223983</v>
      </c>
      <c r="AW59" s="402">
        <v>64.410019755426035</v>
      </c>
      <c r="AX59" s="402">
        <v>64.636348410926388</v>
      </c>
      <c r="AY59" s="402">
        <v>64.864971694931882</v>
      </c>
      <c r="AZ59" s="402">
        <v>65.095858659023008</v>
      </c>
      <c r="BA59" s="402">
        <v>65.32898091773616</v>
      </c>
      <c r="BB59" s="402">
        <v>65.564311005036885</v>
      </c>
      <c r="BC59" s="402">
        <v>65.801823813503347</v>
      </c>
      <c r="BD59" s="402">
        <v>66.041495354228857</v>
      </c>
      <c r="BE59" s="402">
        <v>66.283302675671095</v>
      </c>
      <c r="BF59" s="402">
        <v>66.527225311250149</v>
      </c>
      <c r="BG59" s="402">
        <v>66.773242540792452</v>
      </c>
      <c r="BH59" s="402">
        <v>67.021336363959065</v>
      </c>
      <c r="BI59" s="402">
        <v>67.271488400397359</v>
      </c>
      <c r="BJ59" s="402">
        <v>67.5236828702335</v>
      </c>
      <c r="BK59" s="402">
        <v>67.77790387285927</v>
      </c>
      <c r="BL59" s="402">
        <v>68.03413686656701</v>
      </c>
      <c r="BM59" s="402">
        <v>68.292368230546927</v>
      </c>
      <c r="BN59" s="402">
        <v>68.552585605177356</v>
      </c>
      <c r="BO59" s="402">
        <v>68.814777083320621</v>
      </c>
      <c r="BP59" s="402">
        <v>0</v>
      </c>
      <c r="BQ59" s="402">
        <v>0</v>
      </c>
      <c r="BR59" s="402">
        <v>0</v>
      </c>
      <c r="BS59" s="402">
        <v>0</v>
      </c>
      <c r="BT59" s="402">
        <v>0</v>
      </c>
      <c r="BU59" s="402">
        <v>0</v>
      </c>
      <c r="BV59" s="402">
        <v>0</v>
      </c>
      <c r="BW59" s="402">
        <v>0</v>
      </c>
      <c r="BX59" s="402">
        <v>0</v>
      </c>
      <c r="BY59" s="402">
        <v>0</v>
      </c>
      <c r="BZ59" s="402">
        <v>0</v>
      </c>
      <c r="CA59" s="402">
        <v>0</v>
      </c>
      <c r="CB59" s="402">
        <v>0</v>
      </c>
      <c r="CC59" s="402">
        <v>0</v>
      </c>
      <c r="CD59" s="402">
        <v>0</v>
      </c>
      <c r="CE59" s="402">
        <v>0</v>
      </c>
      <c r="CF59" s="402">
        <v>0</v>
      </c>
      <c r="CG59" s="402">
        <v>0</v>
      </c>
      <c r="CH59" s="402">
        <v>0</v>
      </c>
      <c r="CI59" s="402">
        <v>0</v>
      </c>
      <c r="CJ59" s="1203">
        <v>0</v>
      </c>
    </row>
    <row r="60" spans="2:92" ht="14.4" thickBot="1" x14ac:dyDescent="0.3">
      <c r="B60" s="1166" t="s">
        <v>289</v>
      </c>
      <c r="C60" s="541" t="s">
        <v>153</v>
      </c>
      <c r="D60" s="542" t="s">
        <v>290</v>
      </c>
      <c r="E60" s="541" t="s">
        <v>146</v>
      </c>
      <c r="F60" s="543">
        <v>2</v>
      </c>
      <c r="G60" s="399"/>
      <c r="H60" s="399"/>
      <c r="I60" s="399">
        <f>SUM(BWXBRS!I$61)</f>
        <v>35.646000000000001</v>
      </c>
      <c r="J60" s="399">
        <f>SUM(BWXBRS!J$61)</f>
        <v>31.59713329947148</v>
      </c>
      <c r="K60" s="399">
        <f>SUM(BWXBRS!K$61)</f>
        <v>32.497133299471479</v>
      </c>
      <c r="L60" s="399">
        <f>SUM(BWXBRS!L$61)</f>
        <v>32.09713329947148</v>
      </c>
      <c r="M60" s="399">
        <f>SUM(BWXBRS!M$61)</f>
        <v>31.84713329947148</v>
      </c>
      <c r="N60" s="399">
        <f>SUM(BWXBRS!N$61)</f>
        <v>31.84713329947148</v>
      </c>
      <c r="O60" s="399">
        <f>SUM(BWXBRS!O$61)</f>
        <v>31.84713329947148</v>
      </c>
      <c r="P60" s="399">
        <f>SUM(BWXBRS!P$61)</f>
        <v>31.84713329947148</v>
      </c>
      <c r="Q60" s="399">
        <f>SUM(BWXBRS!Q$61)</f>
        <v>31.84713329947148</v>
      </c>
      <c r="R60" s="399">
        <f>SUM(BWXBRS!R$61)</f>
        <v>31.84713329947148</v>
      </c>
      <c r="S60" s="399">
        <f>SUM(BWXBRS!S$61)</f>
        <v>31.84713329947148</v>
      </c>
      <c r="T60" s="399">
        <f>SUM(BWXBRS!T$61)</f>
        <v>31.84713329947148</v>
      </c>
      <c r="U60" s="399">
        <f>SUM(BWXBRS!U$61)</f>
        <v>31.84713329947148</v>
      </c>
      <c r="V60" s="399">
        <f>SUM(BWXBRS!V$61)</f>
        <v>31.84713329947148</v>
      </c>
      <c r="W60" s="399">
        <f>SUM(BWXBRS!W$61)</f>
        <v>31.84713329947148</v>
      </c>
      <c r="X60" s="399">
        <f>SUM(BWXBRS!X$61)</f>
        <v>31.84713329947148</v>
      </c>
      <c r="Y60" s="399">
        <f>SUM(BWXBRS!Y$61)</f>
        <v>31.84713329947148</v>
      </c>
      <c r="Z60" s="399">
        <f>SUM(BWXBRS!Z$61)</f>
        <v>31.84713329947148</v>
      </c>
      <c r="AA60" s="399">
        <f>SUM(BWXBRS!AA$61)</f>
        <v>31.84713329947148</v>
      </c>
      <c r="AB60" s="399">
        <f>SUM(BWXBRS!AB$61)</f>
        <v>31.84713329947148</v>
      </c>
      <c r="AC60" s="399">
        <f>SUM(BWXBRS!AC$61)</f>
        <v>31.84713329947148</v>
      </c>
      <c r="AD60" s="399">
        <f>SUM(BWXBRS!AD$61)</f>
        <v>31.84713329947148</v>
      </c>
      <c r="AE60" s="399">
        <v>0</v>
      </c>
      <c r="AF60" s="399">
        <v>0</v>
      </c>
      <c r="AG60" s="399">
        <v>0</v>
      </c>
      <c r="AH60" s="399">
        <v>31.84713329947148</v>
      </c>
      <c r="AI60" s="399">
        <v>31.84713329947148</v>
      </c>
      <c r="AJ60" s="399">
        <v>31.84713329947148</v>
      </c>
      <c r="AK60" s="399">
        <v>31.84713329947148</v>
      </c>
      <c r="AL60" s="399">
        <v>31.84713329947148</v>
      </c>
      <c r="AM60" s="399">
        <v>31.84713329947148</v>
      </c>
      <c r="AN60" s="399">
        <v>31.84713329947148</v>
      </c>
      <c r="AO60" s="399">
        <v>31.84713329947148</v>
      </c>
      <c r="AP60" s="399">
        <v>31.84713329947148</v>
      </c>
      <c r="AQ60" s="399">
        <v>31.84713329947148</v>
      </c>
      <c r="AR60" s="399">
        <v>31.84713329947148</v>
      </c>
      <c r="AS60" s="399">
        <v>31.84713329947148</v>
      </c>
      <c r="AT60" s="399">
        <v>31.84713329947148</v>
      </c>
      <c r="AU60" s="399">
        <v>31.84713329947148</v>
      </c>
      <c r="AV60" s="399">
        <v>31.84713329947148</v>
      </c>
      <c r="AW60" s="399">
        <v>31.84713329947148</v>
      </c>
      <c r="AX60" s="399">
        <v>31.84713329947148</v>
      </c>
      <c r="AY60" s="399">
        <v>31.84713329947148</v>
      </c>
      <c r="AZ60" s="399">
        <v>31.84713329947148</v>
      </c>
      <c r="BA60" s="399">
        <v>31.84713329947148</v>
      </c>
      <c r="BB60" s="399">
        <v>31.84713329947148</v>
      </c>
      <c r="BC60" s="399">
        <v>31.84713329947148</v>
      </c>
      <c r="BD60" s="399">
        <v>31.84713329947148</v>
      </c>
      <c r="BE60" s="399">
        <v>31.84713329947148</v>
      </c>
      <c r="BF60" s="399">
        <v>31.84713329947148</v>
      </c>
      <c r="BG60" s="399">
        <v>31.84713329947148</v>
      </c>
      <c r="BH60" s="399">
        <v>31.84713329947148</v>
      </c>
      <c r="BI60" s="399">
        <v>31.84713329947148</v>
      </c>
      <c r="BJ60" s="399">
        <v>31.84713329947148</v>
      </c>
      <c r="BK60" s="399">
        <v>31.84713329947148</v>
      </c>
      <c r="BL60" s="399">
        <v>31.84713329947148</v>
      </c>
      <c r="BM60" s="399">
        <v>31.84713329947148</v>
      </c>
      <c r="BN60" s="399">
        <v>31.84713329947148</v>
      </c>
      <c r="BO60" s="399">
        <v>31.84713329947148</v>
      </c>
      <c r="BP60" s="399">
        <v>0</v>
      </c>
      <c r="BQ60" s="399">
        <v>0</v>
      </c>
      <c r="BR60" s="399">
        <v>0</v>
      </c>
      <c r="BS60" s="399">
        <v>0</v>
      </c>
      <c r="BT60" s="399">
        <v>0</v>
      </c>
      <c r="BU60" s="399">
        <v>0</v>
      </c>
      <c r="BV60" s="399">
        <v>0</v>
      </c>
      <c r="BW60" s="399">
        <v>0</v>
      </c>
      <c r="BX60" s="399">
        <v>0</v>
      </c>
      <c r="BY60" s="399">
        <v>0</v>
      </c>
      <c r="BZ60" s="399">
        <v>0</v>
      </c>
      <c r="CA60" s="399">
        <v>0</v>
      </c>
      <c r="CB60" s="399">
        <v>0</v>
      </c>
      <c r="CC60" s="399">
        <v>0</v>
      </c>
      <c r="CD60" s="399">
        <v>0</v>
      </c>
      <c r="CE60" s="399">
        <v>0</v>
      </c>
      <c r="CF60" s="399">
        <v>0</v>
      </c>
      <c r="CG60" s="399">
        <v>0</v>
      </c>
      <c r="CH60" s="399">
        <v>0</v>
      </c>
      <c r="CI60" s="399">
        <v>0</v>
      </c>
      <c r="CJ60" s="1200">
        <v>0</v>
      </c>
    </row>
    <row r="61" spans="2:92" ht="14.4" thickBot="1" x14ac:dyDescent="0.3">
      <c r="B61" s="1171" t="s">
        <v>291</v>
      </c>
      <c r="C61" s="493" t="s">
        <v>155</v>
      </c>
      <c r="D61" s="494" t="s">
        <v>292</v>
      </c>
      <c r="E61" s="493" t="s">
        <v>146</v>
      </c>
      <c r="F61" s="490">
        <v>2</v>
      </c>
      <c r="G61" s="399"/>
      <c r="H61" s="399"/>
      <c r="I61" s="399">
        <f>SUM(BWXBRS!I$85)</f>
        <v>283.43771864700085</v>
      </c>
      <c r="J61" s="399">
        <f>SUM(BWXBRS!J$85)</f>
        <v>278.92361535263348</v>
      </c>
      <c r="K61" s="399">
        <f>SUM(BWXBRS!K$85)</f>
        <v>279.54480200779875</v>
      </c>
      <c r="L61" s="399">
        <f>SUM(BWXBRS!L$85)</f>
        <v>278.93413189404333</v>
      </c>
      <c r="M61" s="399">
        <f>SUM(BWXBRS!M$85)</f>
        <v>279.21570306045902</v>
      </c>
      <c r="N61" s="399">
        <f>SUM(BWXBRS!N$85)</f>
        <v>279.64864307183785</v>
      </c>
      <c r="O61" s="399">
        <f>SUM(BWXBRS!O$85)</f>
        <v>279.80633600864383</v>
      </c>
      <c r="P61" s="399">
        <f>SUM(BWXBRS!P$85)</f>
        <v>279.96763831131614</v>
      </c>
      <c r="Q61" s="399">
        <f>SUM(BWXBRS!Q$85)</f>
        <v>280.17749263091429</v>
      </c>
      <c r="R61" s="399">
        <f>SUM(BWXBRS!R$85)</f>
        <v>280.27042460955892</v>
      </c>
      <c r="S61" s="399">
        <f>SUM(BWXBRS!S$85)</f>
        <v>280.37095276521768</v>
      </c>
      <c r="T61" s="399">
        <f>SUM(BWXBRS!T$85)</f>
        <v>280.48723451998552</v>
      </c>
      <c r="U61" s="399">
        <f>SUM(BWXBRS!U$85)</f>
        <v>280.60957344789847</v>
      </c>
      <c r="V61" s="399">
        <f>SUM(BWXBRS!V$85)</f>
        <v>280.67331495065844</v>
      </c>
      <c r="W61" s="399">
        <f>SUM(BWXBRS!W$85)</f>
        <v>281.34956549548036</v>
      </c>
      <c r="X61" s="399">
        <f>SUM(BWXBRS!X$85)</f>
        <v>281.97444488962935</v>
      </c>
      <c r="Y61" s="399">
        <f>SUM(BWXBRS!Y$85)</f>
        <v>282.7283475950328</v>
      </c>
      <c r="Z61" s="399">
        <f>SUM(BWXBRS!Z$85)</f>
        <v>283.53009231976756</v>
      </c>
      <c r="AA61" s="399">
        <f>SUM(BWXBRS!AA$85)</f>
        <v>284.33418605701229</v>
      </c>
      <c r="AB61" s="399">
        <f>SUM(BWXBRS!AB$85)</f>
        <v>285.19416983063667</v>
      </c>
      <c r="AC61" s="399">
        <f>SUM(BWXBRS!AC$85)</f>
        <v>286.03093070820518</v>
      </c>
      <c r="AD61" s="399">
        <f>SUM(BWXBRS!AD$85)</f>
        <v>286.9105092970251</v>
      </c>
      <c r="AE61" s="399">
        <v>0</v>
      </c>
      <c r="AF61" s="399">
        <v>0</v>
      </c>
      <c r="AG61" s="399">
        <v>0</v>
      </c>
      <c r="AH61" s="399">
        <v>290.29638799380359</v>
      </c>
      <c r="AI61" s="399">
        <v>291.13841239535418</v>
      </c>
      <c r="AJ61" s="399">
        <v>291.99190833119428</v>
      </c>
      <c r="AK61" s="399">
        <v>292.82435817915126</v>
      </c>
      <c r="AL61" s="399">
        <v>293.69951383974143</v>
      </c>
      <c r="AM61" s="399">
        <v>294.58754281510613</v>
      </c>
      <c r="AN61" s="399">
        <v>295.44765175409242</v>
      </c>
      <c r="AO61" s="399">
        <v>296.35207261153897</v>
      </c>
      <c r="AP61" s="399">
        <v>297.26545191684693</v>
      </c>
      <c r="AQ61" s="399">
        <v>298.1499384169914</v>
      </c>
      <c r="AR61" s="399">
        <v>299.08048569364257</v>
      </c>
      <c r="AS61" s="399">
        <v>299.98424954585539</v>
      </c>
      <c r="AT61" s="399">
        <v>301.02897389084512</v>
      </c>
      <c r="AU61" s="399">
        <v>302.07903984216028</v>
      </c>
      <c r="AV61" s="399">
        <v>303.09417130766866</v>
      </c>
      <c r="AW61" s="399">
        <v>304.1468002460856</v>
      </c>
      <c r="AX61" s="399">
        <v>305.20466267584834</v>
      </c>
      <c r="AY61" s="399">
        <v>306.22752931410616</v>
      </c>
      <c r="AZ61" s="399">
        <v>307.2877952035567</v>
      </c>
      <c r="BA61" s="399">
        <v>308.31578993332357</v>
      </c>
      <c r="BB61" s="399">
        <v>309.38112947800869</v>
      </c>
      <c r="BC61" s="399">
        <v>310.4462066645292</v>
      </c>
      <c r="BD61" s="399">
        <v>311.48170369201102</v>
      </c>
      <c r="BE61" s="399">
        <v>312.55447516990716</v>
      </c>
      <c r="BF61" s="399">
        <v>313.62694407194647</v>
      </c>
      <c r="BG61" s="399">
        <v>314.6697773021246</v>
      </c>
      <c r="BH61" s="399">
        <v>315.74717298615906</v>
      </c>
      <c r="BI61" s="399">
        <v>316.82695577227656</v>
      </c>
      <c r="BJ61" s="399">
        <v>317.87705730289588</v>
      </c>
      <c r="BK61" s="399">
        <v>318.96168689583016</v>
      </c>
      <c r="BL61" s="399">
        <v>320.01397014137126</v>
      </c>
      <c r="BM61" s="399">
        <v>321.10346674967229</v>
      </c>
      <c r="BN61" s="399">
        <v>322.19529749009587</v>
      </c>
      <c r="BO61" s="399">
        <v>323.2547620977021</v>
      </c>
      <c r="BP61" s="399">
        <v>0</v>
      </c>
      <c r="BQ61" s="399">
        <v>0</v>
      </c>
      <c r="BR61" s="399">
        <v>0</v>
      </c>
      <c r="BS61" s="399">
        <v>0</v>
      </c>
      <c r="BT61" s="399">
        <v>0</v>
      </c>
      <c r="BU61" s="399">
        <v>0</v>
      </c>
      <c r="BV61" s="399">
        <v>0</v>
      </c>
      <c r="BW61" s="399">
        <v>0</v>
      </c>
      <c r="BX61" s="399">
        <v>0</v>
      </c>
      <c r="BY61" s="399">
        <v>0</v>
      </c>
      <c r="BZ61" s="399">
        <v>0</v>
      </c>
      <c r="CA61" s="399">
        <v>0</v>
      </c>
      <c r="CB61" s="399">
        <v>0</v>
      </c>
      <c r="CC61" s="399">
        <v>0</v>
      </c>
      <c r="CD61" s="399">
        <v>0</v>
      </c>
      <c r="CE61" s="399">
        <v>0</v>
      </c>
      <c r="CF61" s="399">
        <v>0</v>
      </c>
      <c r="CG61" s="399">
        <v>0</v>
      </c>
      <c r="CH61" s="399">
        <v>0</v>
      </c>
      <c r="CI61" s="399">
        <v>0</v>
      </c>
      <c r="CJ61" s="1200">
        <v>0</v>
      </c>
    </row>
    <row r="62" spans="2:92" ht="54" customHeight="1" x14ac:dyDescent="0.25">
      <c r="B62" s="1172" t="s">
        <v>293</v>
      </c>
      <c r="C62" s="1173" t="s">
        <v>294</v>
      </c>
      <c r="D62" s="544" t="s">
        <v>295</v>
      </c>
      <c r="E62" s="1173" t="s">
        <v>146</v>
      </c>
      <c r="F62" s="545">
        <v>2</v>
      </c>
      <c r="G62" s="403"/>
      <c r="H62" s="403"/>
      <c r="I62" s="403">
        <f>SUM(BWXBRS!I$88)</f>
        <v>13.599979718894787</v>
      </c>
      <c r="J62" s="403">
        <f>SUM(BWXBRS!J$88)</f>
        <v>13.701028391849137</v>
      </c>
      <c r="K62" s="403">
        <f>SUM(BWXBRS!K$88)</f>
        <v>13.851767382856615</v>
      </c>
      <c r="L62" s="403">
        <f>SUM(BWXBRS!L$88)</f>
        <v>14.044624468896783</v>
      </c>
      <c r="M62" s="403">
        <f>SUM(BWXBRS!M$88)</f>
        <v>14.062496270910394</v>
      </c>
      <c r="N62" s="403">
        <f>SUM(BWXBRS!N$88)</f>
        <v>14.385475563742698</v>
      </c>
      <c r="O62" s="403">
        <f>SUM(BWXBRS!O$88)</f>
        <v>14.584143171743792</v>
      </c>
      <c r="P62" s="403">
        <f>SUM(BWXBRS!P$88)</f>
        <v>14.813651528764154</v>
      </c>
      <c r="Q62" s="403">
        <f>SUM(BWXBRS!Q$88)</f>
        <v>12.386436241809495</v>
      </c>
      <c r="R62" s="403">
        <f>SUM(BWXBRS!R$88)</f>
        <v>12.64584803243871</v>
      </c>
      <c r="S62" s="403">
        <f>SUM(BWXBRS!S$88)</f>
        <v>12.793979513577538</v>
      </c>
      <c r="T62" s="403">
        <f>SUM(BWXBRS!T$88)</f>
        <v>12.95592824664347</v>
      </c>
      <c r="U62" s="403">
        <f>SUM(BWXBRS!U$88)</f>
        <v>13.262905725656994</v>
      </c>
      <c r="V62" s="403">
        <f>SUM(BWXBRS!V$88)</f>
        <v>11.550265972794595</v>
      </c>
      <c r="W62" s="403">
        <f>SUM(BWXBRS!W$88)</f>
        <v>11.722612137216691</v>
      </c>
      <c r="X62" s="403">
        <f>SUM(BWXBRS!X$88)</f>
        <v>11.925470693882808</v>
      </c>
      <c r="Y62" s="403">
        <f>SUM(BWXBRS!Y$88)</f>
        <v>12.10506344995653</v>
      </c>
      <c r="Z62" s="403">
        <f>SUM(BWXBRS!Z$88)</f>
        <v>12.165506856851277</v>
      </c>
      <c r="AA62" s="403">
        <f>SUM(BWXBRS!AA$88)</f>
        <v>10.856340791949776</v>
      </c>
      <c r="AB62" s="403">
        <f>SUM(BWXBRS!AB$88)</f>
        <v>10.937595596269341</v>
      </c>
      <c r="AC62" s="403">
        <f>SUM(BWXBRS!AC$88)</f>
        <v>11.12317166948759</v>
      </c>
      <c r="AD62" s="403">
        <f>SUM(BWXBRS!AD$88)</f>
        <v>11.212506309917543</v>
      </c>
      <c r="AE62" s="403">
        <v>0</v>
      </c>
      <c r="AF62" s="403">
        <v>0</v>
      </c>
      <c r="AG62" s="403">
        <v>0</v>
      </c>
      <c r="AH62" s="403">
        <v>10.399323089753571</v>
      </c>
      <c r="AI62" s="403">
        <v>10.598229367572511</v>
      </c>
      <c r="AJ62" s="403">
        <v>10.584947198006381</v>
      </c>
      <c r="AK62" s="403">
        <v>9.4128046302053967</v>
      </c>
      <c r="AL62" s="403">
        <v>9.5376950064932728</v>
      </c>
      <c r="AM62" s="403">
        <v>9.7177121480058837</v>
      </c>
      <c r="AN62" s="403">
        <v>9.6929692488895256</v>
      </c>
      <c r="AO62" s="403">
        <v>9.8150332046017752</v>
      </c>
      <c r="AP62" s="403">
        <v>10.023035661591347</v>
      </c>
      <c r="AQ62" s="403">
        <v>10.121491880254069</v>
      </c>
      <c r="AR62" s="403">
        <v>10.313325350952647</v>
      </c>
      <c r="AS62" s="403">
        <v>10.56435072861815</v>
      </c>
      <c r="AT62" s="403">
        <v>10.720283954815072</v>
      </c>
      <c r="AU62" s="403">
        <v>10.871742695810651</v>
      </c>
      <c r="AV62" s="403">
        <v>10.958953899863101</v>
      </c>
      <c r="AW62" s="403">
        <v>11.136534903831858</v>
      </c>
      <c r="AX62" s="403">
        <v>11.371663145793732</v>
      </c>
      <c r="AY62" s="403">
        <v>11.35845761891461</v>
      </c>
      <c r="AZ62" s="403">
        <v>11.640082413157302</v>
      </c>
      <c r="BA62" s="403">
        <v>11.753245446305357</v>
      </c>
      <c r="BB62" s="403">
        <v>11.999348326270942</v>
      </c>
      <c r="BC62" s="403">
        <v>12.252291619593978</v>
      </c>
      <c r="BD62" s="403">
        <v>12.253848186629906</v>
      </c>
      <c r="BE62" s="403">
        <v>12.608677090312334</v>
      </c>
      <c r="BF62" s="403">
        <v>12.817172831991803</v>
      </c>
      <c r="BG62" s="403">
        <v>12.816654612185655</v>
      </c>
      <c r="BH62" s="403">
        <v>13.204906154202279</v>
      </c>
      <c r="BI62" s="403">
        <v>13.412680300957224</v>
      </c>
      <c r="BJ62" s="403">
        <v>13.619689575603328</v>
      </c>
      <c r="BK62" s="403">
        <v>13.860685912708789</v>
      </c>
      <c r="BL62" s="403">
        <v>14.120986640587185</v>
      </c>
      <c r="BM62" s="403">
        <v>14.225176646490741</v>
      </c>
      <c r="BN62" s="403">
        <v>14.535175877233875</v>
      </c>
      <c r="BO62" s="403">
        <v>14.733849660151209</v>
      </c>
      <c r="BP62" s="403">
        <v>0</v>
      </c>
      <c r="BQ62" s="403">
        <v>0</v>
      </c>
      <c r="BR62" s="403">
        <v>0</v>
      </c>
      <c r="BS62" s="403">
        <v>0</v>
      </c>
      <c r="BT62" s="403">
        <v>0</v>
      </c>
      <c r="BU62" s="403">
        <v>0</v>
      </c>
      <c r="BV62" s="403">
        <v>0</v>
      </c>
      <c r="BW62" s="403">
        <v>0</v>
      </c>
      <c r="BX62" s="403">
        <v>0</v>
      </c>
      <c r="BY62" s="403">
        <v>0</v>
      </c>
      <c r="BZ62" s="403">
        <v>0</v>
      </c>
      <c r="CA62" s="403">
        <v>0</v>
      </c>
      <c r="CB62" s="403">
        <v>0</v>
      </c>
      <c r="CC62" s="403">
        <v>0</v>
      </c>
      <c r="CD62" s="403">
        <v>0</v>
      </c>
      <c r="CE62" s="403">
        <v>0</v>
      </c>
      <c r="CF62" s="403">
        <v>0</v>
      </c>
      <c r="CG62" s="403">
        <v>0</v>
      </c>
      <c r="CH62" s="403">
        <v>0</v>
      </c>
      <c r="CI62" s="403">
        <v>0</v>
      </c>
      <c r="CJ62" s="1204">
        <v>0</v>
      </c>
    </row>
    <row r="63" spans="2:92" x14ac:dyDescent="0.25">
      <c r="B63" s="1174" t="s">
        <v>296</v>
      </c>
      <c r="C63" s="546" t="s">
        <v>297</v>
      </c>
      <c r="D63" s="547" t="s">
        <v>298</v>
      </c>
      <c r="E63" s="546" t="s">
        <v>146</v>
      </c>
      <c r="F63" s="548">
        <v>2</v>
      </c>
      <c r="G63" s="402"/>
      <c r="H63" s="402"/>
      <c r="I63" s="402">
        <f>SUM(BWXBRS!I$41)</f>
        <v>323.03625</v>
      </c>
      <c r="J63" s="402">
        <f>SUM(BWXBRS!J$41)</f>
        <v>318.17</v>
      </c>
      <c r="K63" s="402">
        <f>SUM(BWXBRS!K$41)</f>
        <v>317.76375000000002</v>
      </c>
      <c r="L63" s="402">
        <f>SUM(BWXBRS!L$41)</f>
        <v>317.35750000000002</v>
      </c>
      <c r="M63" s="402">
        <f>SUM(BWXBRS!M$41)</f>
        <v>315.95125000000002</v>
      </c>
      <c r="N63" s="402">
        <f>SUM(BWXBRS!N$41)</f>
        <v>315.54500000000002</v>
      </c>
      <c r="O63" s="402">
        <f>SUM(BWXBRS!O$41)</f>
        <v>315.13875000000002</v>
      </c>
      <c r="P63" s="402">
        <f>SUM(BWXBRS!P$41)</f>
        <v>314.73250000000002</v>
      </c>
      <c r="Q63" s="402">
        <f>SUM(BWXBRS!Q$41)</f>
        <v>314.32625000000002</v>
      </c>
      <c r="R63" s="402">
        <f>SUM(BWXBRS!R$41)</f>
        <v>312.3</v>
      </c>
      <c r="S63" s="402">
        <f>SUM(BWXBRS!S$41)</f>
        <v>311.89375000000001</v>
      </c>
      <c r="T63" s="402">
        <f>SUM(BWXBRS!T$41)</f>
        <v>311.48750000000001</v>
      </c>
      <c r="U63" s="402">
        <f>SUM(BWXBRS!U$41)</f>
        <v>311.08125000000001</v>
      </c>
      <c r="V63" s="402">
        <f>SUM(BWXBRS!V$41)</f>
        <v>310.67500000000001</v>
      </c>
      <c r="W63" s="402">
        <f>SUM(BWXBRS!W$41)</f>
        <v>310.26875000000001</v>
      </c>
      <c r="X63" s="402">
        <f>SUM(BWXBRS!X$41)</f>
        <v>309.86250000000001</v>
      </c>
      <c r="Y63" s="402">
        <f>SUM(BWXBRS!Y$41)</f>
        <v>309.45625000000001</v>
      </c>
      <c r="Z63" s="402">
        <f>SUM(BWXBRS!Z$41)</f>
        <v>309.05</v>
      </c>
      <c r="AA63" s="402">
        <f>SUM(BWXBRS!AA$41)</f>
        <v>308.64375000000001</v>
      </c>
      <c r="AB63" s="402">
        <f>SUM(BWXBRS!AB$41)</f>
        <v>308.28750000000002</v>
      </c>
      <c r="AC63" s="402">
        <f>SUM(BWXBRS!AC$41)</f>
        <v>307.88125000000002</v>
      </c>
      <c r="AD63" s="402">
        <f>SUM(BWXBRS!AD$41)</f>
        <v>307.47500000000002</v>
      </c>
      <c r="AE63" s="402">
        <v>0</v>
      </c>
      <c r="AF63" s="402">
        <v>0</v>
      </c>
      <c r="AG63" s="402">
        <v>0</v>
      </c>
      <c r="AH63" s="402">
        <v>305.85000000000002</v>
      </c>
      <c r="AI63" s="402">
        <v>305.44375000000002</v>
      </c>
      <c r="AJ63" s="402">
        <v>305.03750000000002</v>
      </c>
      <c r="AK63" s="402">
        <v>304.63125000000002</v>
      </c>
      <c r="AL63" s="402">
        <v>304.22500000000002</v>
      </c>
      <c r="AM63" s="402">
        <v>303.81875000000002</v>
      </c>
      <c r="AN63" s="402">
        <v>303.41250000000002</v>
      </c>
      <c r="AO63" s="402">
        <v>303.00625000000002</v>
      </c>
      <c r="AP63" s="402">
        <v>302.60000000000002</v>
      </c>
      <c r="AQ63" s="402">
        <v>302.19375000000002</v>
      </c>
      <c r="AR63" s="402">
        <v>301.78750000000002</v>
      </c>
      <c r="AS63" s="402">
        <v>301.38125000000002</v>
      </c>
      <c r="AT63" s="402">
        <v>300.97500000000002</v>
      </c>
      <c r="AU63" s="402">
        <v>300.56875000000002</v>
      </c>
      <c r="AV63" s="402">
        <v>300.16250000000002</v>
      </c>
      <c r="AW63" s="402">
        <v>299.75625000000002</v>
      </c>
      <c r="AX63" s="402">
        <v>299.35000000000002</v>
      </c>
      <c r="AY63" s="402">
        <v>298.94375000000002</v>
      </c>
      <c r="AZ63" s="402">
        <v>298.53750000000002</v>
      </c>
      <c r="BA63" s="402">
        <v>298.13125000000002</v>
      </c>
      <c r="BB63" s="402">
        <v>297.72500000000002</v>
      </c>
      <c r="BC63" s="402">
        <v>297.31875000000002</v>
      </c>
      <c r="BD63" s="402">
        <v>296.91250000000002</v>
      </c>
      <c r="BE63" s="402">
        <v>296.50625000000002</v>
      </c>
      <c r="BF63" s="402">
        <v>296.10000000000002</v>
      </c>
      <c r="BG63" s="402">
        <v>295.69375000000002</v>
      </c>
      <c r="BH63" s="402">
        <v>295.28750000000002</v>
      </c>
      <c r="BI63" s="402">
        <v>294.88125000000002</v>
      </c>
      <c r="BJ63" s="402">
        <v>294.47500000000002</v>
      </c>
      <c r="BK63" s="402">
        <v>294.06875000000002</v>
      </c>
      <c r="BL63" s="402">
        <v>293.66250000000002</v>
      </c>
      <c r="BM63" s="402">
        <v>293.25625000000002</v>
      </c>
      <c r="BN63" s="402">
        <v>292.85000000000002</v>
      </c>
      <c r="BO63" s="402">
        <v>292.44375000000002</v>
      </c>
      <c r="BP63" s="402">
        <v>0</v>
      </c>
      <c r="BQ63" s="402">
        <v>0</v>
      </c>
      <c r="BR63" s="402">
        <v>0</v>
      </c>
      <c r="BS63" s="402">
        <v>0</v>
      </c>
      <c r="BT63" s="402">
        <v>0</v>
      </c>
      <c r="BU63" s="402">
        <v>0</v>
      </c>
      <c r="BV63" s="402">
        <v>0</v>
      </c>
      <c r="BW63" s="402">
        <v>0</v>
      </c>
      <c r="BX63" s="402">
        <v>0</v>
      </c>
      <c r="BY63" s="402">
        <v>0</v>
      </c>
      <c r="BZ63" s="402">
        <v>0</v>
      </c>
      <c r="CA63" s="402">
        <v>0</v>
      </c>
      <c r="CB63" s="402">
        <v>0</v>
      </c>
      <c r="CC63" s="402">
        <v>0</v>
      </c>
      <c r="CD63" s="402">
        <v>0</v>
      </c>
      <c r="CE63" s="402">
        <v>0</v>
      </c>
      <c r="CF63" s="402">
        <v>0</v>
      </c>
      <c r="CG63" s="402">
        <v>0</v>
      </c>
      <c r="CH63" s="402">
        <v>0</v>
      </c>
      <c r="CI63" s="402">
        <v>0</v>
      </c>
      <c r="CJ63" s="1203">
        <v>0</v>
      </c>
    </row>
    <row r="64" spans="2:92" x14ac:dyDescent="0.25">
      <c r="B64" s="1174" t="s">
        <v>299</v>
      </c>
      <c r="C64" s="546" t="s">
        <v>300</v>
      </c>
      <c r="D64" s="547" t="s">
        <v>301</v>
      </c>
      <c r="E64" s="546" t="s">
        <v>146</v>
      </c>
      <c r="F64" s="548">
        <v>2</v>
      </c>
      <c r="G64" s="402"/>
      <c r="H64" s="402"/>
      <c r="I64" s="402">
        <f>SUM(BWXBRS!I$42)</f>
        <v>312.91624999999999</v>
      </c>
      <c r="J64" s="402">
        <f>SUM(BWXBRS!J$42)</f>
        <v>308.05</v>
      </c>
      <c r="K64" s="402">
        <f>SUM(BWXBRS!K$42)</f>
        <v>307.64375000000001</v>
      </c>
      <c r="L64" s="402">
        <f>SUM(BWXBRS!L$42)</f>
        <v>307.23750000000001</v>
      </c>
      <c r="M64" s="402">
        <f>SUM(BWXBRS!M$42)</f>
        <v>312.80125000000004</v>
      </c>
      <c r="N64" s="402">
        <f>SUM(BWXBRS!N$42)</f>
        <v>312.39500000000004</v>
      </c>
      <c r="O64" s="402">
        <f>SUM(BWXBRS!O$42)</f>
        <v>311.98875000000004</v>
      </c>
      <c r="P64" s="402">
        <f>SUM(BWXBRS!P$42)</f>
        <v>311.58250000000004</v>
      </c>
      <c r="Q64" s="402">
        <f>SUM(BWXBRS!Q$42)</f>
        <v>311.17625000000004</v>
      </c>
      <c r="R64" s="402">
        <f>SUM(BWXBRS!R$42)</f>
        <v>309.15000000000003</v>
      </c>
      <c r="S64" s="402">
        <f>SUM(BWXBRS!S$42)</f>
        <v>308.74375000000003</v>
      </c>
      <c r="T64" s="402">
        <f>SUM(BWXBRS!T$42)</f>
        <v>308.33750000000003</v>
      </c>
      <c r="U64" s="402">
        <f>SUM(BWXBRS!U$42)</f>
        <v>307.93125000000003</v>
      </c>
      <c r="V64" s="402">
        <f>SUM(BWXBRS!V$42)</f>
        <v>307.52500000000003</v>
      </c>
      <c r="W64" s="402">
        <f>SUM(BWXBRS!W$42)</f>
        <v>303.11875000000003</v>
      </c>
      <c r="X64" s="402">
        <f>SUM(BWXBRS!X$42)</f>
        <v>302.71250000000003</v>
      </c>
      <c r="Y64" s="402">
        <f>SUM(BWXBRS!Y$42)</f>
        <v>302.30625000000003</v>
      </c>
      <c r="Z64" s="402">
        <f>SUM(BWXBRS!Z$42)</f>
        <v>301.90000000000003</v>
      </c>
      <c r="AA64" s="402">
        <f>SUM(BWXBRS!AA$42)</f>
        <v>301.49375000000003</v>
      </c>
      <c r="AB64" s="402">
        <f>SUM(BWXBRS!AB$42)</f>
        <v>301.13750000000005</v>
      </c>
      <c r="AC64" s="402">
        <f>SUM(BWXBRS!AC$42)</f>
        <v>300.73125000000005</v>
      </c>
      <c r="AD64" s="402">
        <f>SUM(BWXBRS!AD$42)</f>
        <v>300.32500000000005</v>
      </c>
      <c r="AE64" s="402">
        <v>0</v>
      </c>
      <c r="AF64" s="402">
        <v>0</v>
      </c>
      <c r="AG64" s="402">
        <v>0</v>
      </c>
      <c r="AH64" s="402">
        <v>298.70000000000005</v>
      </c>
      <c r="AI64" s="402">
        <v>298.29375000000005</v>
      </c>
      <c r="AJ64" s="402">
        <v>297.88750000000005</v>
      </c>
      <c r="AK64" s="402">
        <v>297.48125000000005</v>
      </c>
      <c r="AL64" s="402">
        <v>297.07500000000005</v>
      </c>
      <c r="AM64" s="402">
        <v>296.66875000000005</v>
      </c>
      <c r="AN64" s="402">
        <v>296.26250000000005</v>
      </c>
      <c r="AO64" s="402">
        <v>295.85625000000005</v>
      </c>
      <c r="AP64" s="402">
        <v>295.45000000000005</v>
      </c>
      <c r="AQ64" s="402">
        <v>295.04375000000005</v>
      </c>
      <c r="AR64" s="402">
        <v>294.63750000000005</v>
      </c>
      <c r="AS64" s="402">
        <v>294.23125000000005</v>
      </c>
      <c r="AT64" s="402">
        <v>293.82500000000005</v>
      </c>
      <c r="AU64" s="402">
        <v>293.41875000000005</v>
      </c>
      <c r="AV64" s="402">
        <v>293.01250000000005</v>
      </c>
      <c r="AW64" s="402">
        <v>292.60625000000005</v>
      </c>
      <c r="AX64" s="402">
        <v>292.20000000000005</v>
      </c>
      <c r="AY64" s="402">
        <v>291.79375000000005</v>
      </c>
      <c r="AZ64" s="402">
        <v>291.38750000000005</v>
      </c>
      <c r="BA64" s="402">
        <v>290.98125000000005</v>
      </c>
      <c r="BB64" s="402">
        <v>290.57500000000005</v>
      </c>
      <c r="BC64" s="402">
        <v>290.16875000000005</v>
      </c>
      <c r="BD64" s="402">
        <v>289.76250000000005</v>
      </c>
      <c r="BE64" s="402">
        <v>289.35625000000005</v>
      </c>
      <c r="BF64" s="402">
        <v>288.95000000000005</v>
      </c>
      <c r="BG64" s="402">
        <v>288.54375000000005</v>
      </c>
      <c r="BH64" s="402">
        <v>288.13750000000005</v>
      </c>
      <c r="BI64" s="402">
        <v>287.73125000000005</v>
      </c>
      <c r="BJ64" s="402">
        <v>287.32500000000005</v>
      </c>
      <c r="BK64" s="402">
        <v>286.91875000000005</v>
      </c>
      <c r="BL64" s="402">
        <v>286.51250000000005</v>
      </c>
      <c r="BM64" s="402">
        <v>286.10625000000005</v>
      </c>
      <c r="BN64" s="402">
        <v>285.70000000000005</v>
      </c>
      <c r="BO64" s="402">
        <v>285.29375000000005</v>
      </c>
      <c r="BP64" s="402">
        <v>0</v>
      </c>
      <c r="BQ64" s="402">
        <v>0</v>
      </c>
      <c r="BR64" s="402">
        <v>0</v>
      </c>
      <c r="BS64" s="402">
        <v>0</v>
      </c>
      <c r="BT64" s="402">
        <v>0</v>
      </c>
      <c r="BU64" s="402">
        <v>0</v>
      </c>
      <c r="BV64" s="402">
        <v>0</v>
      </c>
      <c r="BW64" s="402">
        <v>0</v>
      </c>
      <c r="BX64" s="402">
        <v>0</v>
      </c>
      <c r="BY64" s="402">
        <v>0</v>
      </c>
      <c r="BZ64" s="402">
        <v>0</v>
      </c>
      <c r="CA64" s="402">
        <v>0</v>
      </c>
      <c r="CB64" s="402">
        <v>0</v>
      </c>
      <c r="CC64" s="402">
        <v>0</v>
      </c>
      <c r="CD64" s="402">
        <v>0</v>
      </c>
      <c r="CE64" s="402">
        <v>0</v>
      </c>
      <c r="CF64" s="402">
        <v>0</v>
      </c>
      <c r="CG64" s="402">
        <v>0</v>
      </c>
      <c r="CH64" s="402">
        <v>0</v>
      </c>
      <c r="CI64" s="402">
        <v>0</v>
      </c>
      <c r="CJ64" s="1203">
        <v>0</v>
      </c>
    </row>
    <row r="65" spans="2:88" ht="14.4" thickBot="1" x14ac:dyDescent="0.3">
      <c r="B65" s="1175" t="s">
        <v>302</v>
      </c>
      <c r="C65" s="1176" t="s">
        <v>303</v>
      </c>
      <c r="D65" s="1177" t="s">
        <v>304</v>
      </c>
      <c r="E65" s="1176" t="s">
        <v>146</v>
      </c>
      <c r="F65" s="1178">
        <v>2</v>
      </c>
      <c r="G65" s="1179"/>
      <c r="H65" s="1179"/>
      <c r="I65" s="1179">
        <f>SUM(BWXBRS!I$91)</f>
        <v>15.878551634104355</v>
      </c>
      <c r="J65" s="1179">
        <f>SUM(BWXBRS!J$91)</f>
        <v>15.425356255517398</v>
      </c>
      <c r="K65" s="1179">
        <f>SUM(BWXBRS!K$91)</f>
        <v>14.247180609344646</v>
      </c>
      <c r="L65" s="1179">
        <f>SUM(BWXBRS!L$91)</f>
        <v>14.258743637059895</v>
      </c>
      <c r="M65" s="1179">
        <f>SUM(BWXBRS!M$91)</f>
        <v>19.523050668630624</v>
      </c>
      <c r="N65" s="1179">
        <f>SUM(BWXBRS!N$91)</f>
        <v>18.360881364419487</v>
      </c>
      <c r="O65" s="1179">
        <f>SUM(BWXBRS!O$91)</f>
        <v>17.598270819612424</v>
      </c>
      <c r="P65" s="1179">
        <f>SUM(BWXBRS!P$91)</f>
        <v>16.801210159919748</v>
      </c>
      <c r="Q65" s="1179">
        <f>SUM(BWXBRS!Q$91)</f>
        <v>18.612321127276257</v>
      </c>
      <c r="R65" s="1179">
        <f>SUM(BWXBRS!R$91)</f>
        <v>16.233727358002408</v>
      </c>
      <c r="S65" s="1179">
        <f>SUM(BWXBRS!S$91)</f>
        <v>15.578817721204816</v>
      </c>
      <c r="T65" s="1179">
        <f>SUM(BWXBRS!T$91)</f>
        <v>14.894337233371044</v>
      </c>
      <c r="U65" s="1179">
        <f>SUM(BWXBRS!U$91)</f>
        <v>14.058770826444571</v>
      </c>
      <c r="V65" s="1179">
        <f>SUM(BWXBRS!V$91)</f>
        <v>15.301419076547003</v>
      </c>
      <c r="W65" s="1179">
        <f>SUM(BWXBRS!W$91)</f>
        <v>10.04657236730298</v>
      </c>
      <c r="X65" s="1179">
        <f>SUM(BWXBRS!X$91)</f>
        <v>8.8125844164878728</v>
      </c>
      <c r="Y65" s="1179">
        <f>SUM(BWXBRS!Y$91)</f>
        <v>7.4728389550107028</v>
      </c>
      <c r="Z65" s="1179">
        <f>SUM(BWXBRS!Z$91)</f>
        <v>6.2044008233811958</v>
      </c>
      <c r="AA65" s="1179">
        <f>SUM(BWXBRS!AA$91)</f>
        <v>6.3032231510379688</v>
      </c>
      <c r="AB65" s="1179">
        <f>SUM(BWXBRS!AB$91)</f>
        <v>5.0057345730940366</v>
      </c>
      <c r="AC65" s="1179">
        <f>SUM(BWXBRS!AC$91)</f>
        <v>3.5771476223072796</v>
      </c>
      <c r="AD65" s="1179">
        <f>SUM(BWXBRS!AD$91)</f>
        <v>2.2019843930574012</v>
      </c>
      <c r="AE65" s="1179">
        <v>0</v>
      </c>
      <c r="AF65" s="1179">
        <v>0</v>
      </c>
      <c r="AG65" s="1179">
        <v>0</v>
      </c>
      <c r="AH65" s="1179">
        <v>-1.9957110835571168</v>
      </c>
      <c r="AI65" s="1179">
        <v>-3.4428917629266458</v>
      </c>
      <c r="AJ65" s="1179">
        <v>-4.6893555292006166</v>
      </c>
      <c r="AK65" s="1179">
        <v>-4.7559128093566123</v>
      </c>
      <c r="AL65" s="1179">
        <v>-6.1622088462346554</v>
      </c>
      <c r="AM65" s="1179">
        <v>-7.636504963111971</v>
      </c>
      <c r="AN65" s="1179">
        <v>-8.8781210029818993</v>
      </c>
      <c r="AO65" s="1179">
        <v>-10.310855816140702</v>
      </c>
      <c r="AP65" s="1179">
        <v>-11.83848757843823</v>
      </c>
      <c r="AQ65" s="1179">
        <v>-13.227680297245428</v>
      </c>
      <c r="AR65" s="1179">
        <v>-14.756311044595174</v>
      </c>
      <c r="AS65" s="1179">
        <v>-16.317350274473498</v>
      </c>
      <c r="AT65" s="1179">
        <v>-17.924257845660151</v>
      </c>
      <c r="AU65" s="1179">
        <v>-19.532032537970892</v>
      </c>
      <c r="AV65" s="1179">
        <v>-21.040625207531715</v>
      </c>
      <c r="AW65" s="1179">
        <v>-22.677085149917417</v>
      </c>
      <c r="AX65" s="1179">
        <v>-24.376325821642027</v>
      </c>
      <c r="AY65" s="1179">
        <v>-25.792236933020728</v>
      </c>
      <c r="AZ65" s="1179">
        <v>-27.540377616713954</v>
      </c>
      <c r="BA65" s="1179">
        <v>-29.087785379628883</v>
      </c>
      <c r="BB65" s="1179">
        <v>-30.805477804279583</v>
      </c>
      <c r="BC65" s="1179">
        <v>-32.52974828412313</v>
      </c>
      <c r="BD65" s="1179">
        <v>-33.973051878640888</v>
      </c>
      <c r="BE65" s="1179">
        <v>-35.806902260219452</v>
      </c>
      <c r="BF65" s="1179">
        <v>-37.494116903938227</v>
      </c>
      <c r="BG65" s="1179">
        <v>-38.942681914310214</v>
      </c>
      <c r="BH65" s="1179">
        <v>-40.814579140361289</v>
      </c>
      <c r="BI65" s="1179">
        <v>-42.508386073233737</v>
      </c>
      <c r="BJ65" s="1179">
        <v>-44.171746878499164</v>
      </c>
      <c r="BK65" s="1179">
        <v>-45.903622808538898</v>
      </c>
      <c r="BL65" s="1179">
        <v>-47.622456781958398</v>
      </c>
      <c r="BM65" s="1179">
        <v>-49.222393396162985</v>
      </c>
      <c r="BN65" s="1179">
        <v>-51.030473367329698</v>
      </c>
      <c r="BO65" s="1179">
        <v>-52.694861757853261</v>
      </c>
      <c r="BP65" s="1179">
        <v>0</v>
      </c>
      <c r="BQ65" s="1179">
        <v>0</v>
      </c>
      <c r="BR65" s="1179">
        <v>0</v>
      </c>
      <c r="BS65" s="1179">
        <v>0</v>
      </c>
      <c r="BT65" s="1179">
        <v>0</v>
      </c>
      <c r="BU65" s="1179">
        <v>0</v>
      </c>
      <c r="BV65" s="1179">
        <v>0</v>
      </c>
      <c r="BW65" s="1179">
        <v>0</v>
      </c>
      <c r="BX65" s="1179">
        <v>0</v>
      </c>
      <c r="BY65" s="1179">
        <v>0</v>
      </c>
      <c r="BZ65" s="1179">
        <v>0</v>
      </c>
      <c r="CA65" s="1179">
        <v>0</v>
      </c>
      <c r="CB65" s="1179">
        <v>0</v>
      </c>
      <c r="CC65" s="1179">
        <v>0</v>
      </c>
      <c r="CD65" s="1179">
        <v>0</v>
      </c>
      <c r="CE65" s="1179">
        <v>0</v>
      </c>
      <c r="CF65" s="1179">
        <v>0</v>
      </c>
      <c r="CG65" s="1179">
        <v>0</v>
      </c>
      <c r="CH65" s="1179">
        <v>0</v>
      </c>
      <c r="CI65" s="1179">
        <v>0</v>
      </c>
      <c r="CJ65" s="1205">
        <v>0</v>
      </c>
    </row>
    <row r="66" spans="2:88" ht="14.4" thickBot="1" x14ac:dyDescent="0.3">
      <c r="C66" s="1383" t="s">
        <v>115</v>
      </c>
    </row>
    <row r="67" spans="2:88" ht="58.5" customHeight="1" thickBot="1" x14ac:dyDescent="0.3">
      <c r="B67" s="434" t="s">
        <v>305</v>
      </c>
      <c r="C67" s="45"/>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row>
    <row r="68" spans="2:88" ht="14.4" thickBot="1" x14ac:dyDescent="0.3">
      <c r="B68" s="1164" t="s">
        <v>63</v>
      </c>
      <c r="C68" s="1165" t="s">
        <v>116</v>
      </c>
      <c r="D68" s="1165" t="s">
        <v>64</v>
      </c>
      <c r="E68" s="1165" t="s">
        <v>117</v>
      </c>
      <c r="F68" s="1165" t="s">
        <v>118</v>
      </c>
      <c r="G68" s="1164" t="s">
        <v>119</v>
      </c>
      <c r="H68" s="1165" t="s">
        <v>120</v>
      </c>
      <c r="I68" s="1165" t="s">
        <v>121</v>
      </c>
      <c r="J68" s="1165" t="s">
        <v>122</v>
      </c>
      <c r="K68" s="1165" t="s">
        <v>123</v>
      </c>
      <c r="L68" s="1165" t="s">
        <v>124</v>
      </c>
      <c r="M68" s="1165" t="s">
        <v>125</v>
      </c>
      <c r="N68" s="1165" t="s">
        <v>126</v>
      </c>
      <c r="O68" s="1165" t="s">
        <v>127</v>
      </c>
      <c r="P68" s="1165" t="s">
        <v>128</v>
      </c>
      <c r="Q68" s="1165" t="s">
        <v>129</v>
      </c>
      <c r="R68" s="1165" t="s">
        <v>130</v>
      </c>
      <c r="S68" s="1165" t="s">
        <v>157</v>
      </c>
      <c r="T68" s="1165" t="s">
        <v>158</v>
      </c>
      <c r="U68" s="1165" t="s">
        <v>159</v>
      </c>
      <c r="V68" s="1165" t="s">
        <v>160</v>
      </c>
      <c r="W68" s="1165" t="s">
        <v>131</v>
      </c>
      <c r="X68" s="1165" t="s">
        <v>161</v>
      </c>
      <c r="Y68" s="1165" t="s">
        <v>162</v>
      </c>
      <c r="Z68" s="1165" t="s">
        <v>163</v>
      </c>
      <c r="AA68" s="1165" t="s">
        <v>164</v>
      </c>
      <c r="AB68" s="1165" t="s">
        <v>132</v>
      </c>
      <c r="AC68" s="1165" t="s">
        <v>165</v>
      </c>
      <c r="AD68" s="1165" t="s">
        <v>166</v>
      </c>
      <c r="AE68" s="1165" t="s">
        <v>167</v>
      </c>
      <c r="AF68" s="1165" t="s">
        <v>168</v>
      </c>
      <c r="AG68" s="1165" t="s">
        <v>133</v>
      </c>
      <c r="AH68" s="1165" t="s">
        <v>169</v>
      </c>
      <c r="AI68" s="1165" t="s">
        <v>170</v>
      </c>
      <c r="AJ68" s="1165" t="s">
        <v>171</v>
      </c>
      <c r="AK68" s="1165" t="s">
        <v>172</v>
      </c>
      <c r="AL68" s="1165" t="s">
        <v>134</v>
      </c>
      <c r="AM68" s="1165" t="s">
        <v>173</v>
      </c>
      <c r="AN68" s="1165" t="s">
        <v>174</v>
      </c>
      <c r="AO68" s="1165" t="s">
        <v>175</v>
      </c>
      <c r="AP68" s="1165" t="s">
        <v>176</v>
      </c>
      <c r="AQ68" s="1165" t="s">
        <v>135</v>
      </c>
      <c r="AR68" s="1165" t="s">
        <v>177</v>
      </c>
      <c r="AS68" s="1165" t="s">
        <v>178</v>
      </c>
      <c r="AT68" s="1165" t="s">
        <v>179</v>
      </c>
      <c r="AU68" s="1165" t="s">
        <v>180</v>
      </c>
      <c r="AV68" s="1165" t="s">
        <v>136</v>
      </c>
      <c r="AW68" s="1165" t="s">
        <v>181</v>
      </c>
      <c r="AX68" s="1165" t="s">
        <v>182</v>
      </c>
      <c r="AY68" s="1165" t="s">
        <v>183</v>
      </c>
      <c r="AZ68" s="1165" t="s">
        <v>184</v>
      </c>
      <c r="BA68" s="1165" t="s">
        <v>137</v>
      </c>
      <c r="BB68" s="1165" t="s">
        <v>185</v>
      </c>
      <c r="BC68" s="1165" t="s">
        <v>186</v>
      </c>
      <c r="BD68" s="1165" t="s">
        <v>187</v>
      </c>
      <c r="BE68" s="1165" t="s">
        <v>188</v>
      </c>
      <c r="BF68" s="1165" t="s">
        <v>138</v>
      </c>
      <c r="BG68" s="1165" t="s">
        <v>189</v>
      </c>
      <c r="BH68" s="1165" t="s">
        <v>190</v>
      </c>
      <c r="BI68" s="1165" t="s">
        <v>191</v>
      </c>
      <c r="BJ68" s="1165" t="s">
        <v>192</v>
      </c>
      <c r="BK68" s="1165" t="s">
        <v>139</v>
      </c>
      <c r="BL68" s="1165" t="s">
        <v>193</v>
      </c>
      <c r="BM68" s="1165" t="s">
        <v>194</v>
      </c>
      <c r="BN68" s="1165" t="s">
        <v>195</v>
      </c>
      <c r="BO68" s="1165" t="s">
        <v>196</v>
      </c>
      <c r="BP68" s="1165" t="s">
        <v>140</v>
      </c>
      <c r="BQ68" s="1165" t="s">
        <v>197</v>
      </c>
      <c r="BR68" s="1165" t="s">
        <v>198</v>
      </c>
      <c r="BS68" s="1165" t="s">
        <v>199</v>
      </c>
      <c r="BT68" s="1165" t="s">
        <v>200</v>
      </c>
      <c r="BU68" s="1165" t="s">
        <v>141</v>
      </c>
      <c r="BV68" s="1165" t="s">
        <v>201</v>
      </c>
      <c r="BW68" s="1165" t="s">
        <v>202</v>
      </c>
      <c r="BX68" s="1165" t="s">
        <v>203</v>
      </c>
      <c r="BY68" s="1165" t="s">
        <v>204</v>
      </c>
      <c r="BZ68" s="1165" t="s">
        <v>142</v>
      </c>
      <c r="CA68" s="1165" t="s">
        <v>205</v>
      </c>
      <c r="CB68" s="1165" t="s">
        <v>206</v>
      </c>
      <c r="CC68" s="1165" t="s">
        <v>207</v>
      </c>
      <c r="CD68" s="1165" t="s">
        <v>208</v>
      </c>
      <c r="CE68" s="1165" t="s">
        <v>143</v>
      </c>
      <c r="CF68" s="1165" t="s">
        <v>209</v>
      </c>
      <c r="CG68" s="1165" t="s">
        <v>210</v>
      </c>
      <c r="CH68" s="1165" t="s">
        <v>211</v>
      </c>
      <c r="CI68" s="1165" t="s">
        <v>212</v>
      </c>
      <c r="CJ68" s="1199" t="s">
        <v>213</v>
      </c>
    </row>
    <row r="69" spans="2:88" ht="14.4" thickBot="1" x14ac:dyDescent="0.3">
      <c r="B69" s="1166" t="s">
        <v>306</v>
      </c>
      <c r="C69" s="541" t="s">
        <v>278</v>
      </c>
      <c r="D69" s="542" t="s">
        <v>307</v>
      </c>
      <c r="E69" s="541" t="s">
        <v>146</v>
      </c>
      <c r="F69" s="543">
        <v>2</v>
      </c>
      <c r="G69" s="399"/>
      <c r="H69" s="399"/>
      <c r="I69" s="399">
        <f>SUM(BWXBRS!I$130)</f>
        <v>4.2699999999999996</v>
      </c>
      <c r="J69" s="399">
        <f>SUM(BWXBRS!J$130)</f>
        <v>4.2699999999999996</v>
      </c>
      <c r="K69" s="399">
        <f>SUM(BWXBRS!K$130)</f>
        <v>4.2699999999999996</v>
      </c>
      <c r="L69" s="399">
        <f>SUM(BWXBRS!L$130)</f>
        <v>4.2699999999999996</v>
      </c>
      <c r="M69" s="399">
        <f>SUM(BWXBRS!M$130)</f>
        <v>4.2699999999999996</v>
      </c>
      <c r="N69" s="399">
        <f>SUM(BWXBRS!N$130)</f>
        <v>4.2699999999999996</v>
      </c>
      <c r="O69" s="399">
        <f>SUM(BWXBRS!O$130)</f>
        <v>4.2699999999999996</v>
      </c>
      <c r="P69" s="399">
        <f>SUM(BWXBRS!P$130)</f>
        <v>4.2699999999999996</v>
      </c>
      <c r="Q69" s="399">
        <f>SUM(BWXBRS!Q$130)</f>
        <v>4.2699999999999996</v>
      </c>
      <c r="R69" s="399">
        <f>SUM(BWXBRS!R$130)</f>
        <v>4.2699999999999996</v>
      </c>
      <c r="S69" s="399">
        <f>SUM(BWXBRS!S$130)</f>
        <v>4.2699999999999996</v>
      </c>
      <c r="T69" s="399">
        <f>SUM(BWXBRS!T$130)</f>
        <v>4.2699999999999996</v>
      </c>
      <c r="U69" s="399">
        <f>SUM(BWXBRS!U$130)</f>
        <v>4.2699999999999996</v>
      </c>
      <c r="V69" s="399">
        <f>SUM(BWXBRS!V$130)</f>
        <v>4.2699999999999996</v>
      </c>
      <c r="W69" s="399">
        <f>SUM(BWXBRS!W$130)</f>
        <v>4.2699999999999996</v>
      </c>
      <c r="X69" s="399">
        <f>SUM(BWXBRS!X$130)</f>
        <v>4.2699999999999996</v>
      </c>
      <c r="Y69" s="399">
        <f>SUM(BWXBRS!Y$130)</f>
        <v>4.2699999999999996</v>
      </c>
      <c r="Z69" s="399">
        <f>SUM(BWXBRS!Z$130)</f>
        <v>4.2699999999999996</v>
      </c>
      <c r="AA69" s="399">
        <f>SUM(BWXBRS!AA$130)</f>
        <v>4.2699999999999996</v>
      </c>
      <c r="AB69" s="399">
        <f>SUM(BWXBRS!AB$130)</f>
        <v>4.22</v>
      </c>
      <c r="AC69" s="399">
        <f>SUM(BWXBRS!AC$130)</f>
        <v>4.22</v>
      </c>
      <c r="AD69" s="399">
        <f>SUM(BWXBRS!AD$130)</f>
        <v>4.22</v>
      </c>
      <c r="AE69" s="399">
        <f>SUM(BWXBRS!AE$130)</f>
        <v>4.22</v>
      </c>
      <c r="AF69" s="399">
        <f>SUM(BWXBRS!AF$130)</f>
        <v>4.22</v>
      </c>
      <c r="AG69" s="399">
        <f>SUM(BWXBRS!AG$130)</f>
        <v>4.22</v>
      </c>
      <c r="AH69" s="399">
        <f>SUM(BWXBRS!AH$130)</f>
        <v>4.22</v>
      </c>
      <c r="AI69" s="399">
        <f>SUM(BWXBRS!AI$130)</f>
        <v>4.22</v>
      </c>
      <c r="AJ69" s="399">
        <f>SUM(BWXBRS!AJ$130)</f>
        <v>4.22</v>
      </c>
      <c r="AK69" s="399">
        <f>SUM(BWXBRS!AK$130)</f>
        <v>4.22</v>
      </c>
      <c r="AL69" s="399">
        <f>SUM(BWXBRS!AL$130)</f>
        <v>4.22</v>
      </c>
      <c r="AM69" s="399">
        <f>SUM(BWXBRS!AM$130)</f>
        <v>4.22</v>
      </c>
      <c r="AN69" s="399">
        <f>SUM(BWXBRS!AN$130)</f>
        <v>4.22</v>
      </c>
      <c r="AO69" s="399">
        <f>SUM(BWXBRS!AO$130)</f>
        <v>4.22</v>
      </c>
      <c r="AP69" s="399">
        <f>SUM(BWXBRS!AP$130)</f>
        <v>4.22</v>
      </c>
      <c r="AQ69" s="399">
        <f>SUM(BWXBRS!AQ$130)</f>
        <v>4.22</v>
      </c>
      <c r="AR69" s="399">
        <f>SUM(BWXBRS!AR$130)</f>
        <v>4.22</v>
      </c>
      <c r="AS69" s="399">
        <f>SUM(BWXBRS!AS$130)</f>
        <v>4.22</v>
      </c>
      <c r="AT69" s="399">
        <f>SUM(BWXBRS!AT$130)</f>
        <v>4.22</v>
      </c>
      <c r="AU69" s="399">
        <f>SUM(BWXBRS!AU$130)</f>
        <v>4.22</v>
      </c>
      <c r="AV69" s="399">
        <f>SUM(BWXBRS!AV$130)</f>
        <v>4.22</v>
      </c>
      <c r="AW69" s="399">
        <f>SUM(BWXBRS!AW$130)</f>
        <v>4.22</v>
      </c>
      <c r="AX69" s="399">
        <f>SUM(BWXBRS!AX$130)</f>
        <v>4.22</v>
      </c>
      <c r="AY69" s="399">
        <f>SUM(BWXBRS!AY$130)</f>
        <v>4.22</v>
      </c>
      <c r="AZ69" s="399">
        <f>SUM(BWXBRS!AZ$130)</f>
        <v>4.22</v>
      </c>
      <c r="BA69" s="399">
        <f>SUM(BWXBRS!BA$130)</f>
        <v>4.22</v>
      </c>
      <c r="BB69" s="399">
        <f>SUM(BWXBRS!BB$130)</f>
        <v>4.22</v>
      </c>
      <c r="BC69" s="399">
        <f>SUM(BWXBRS!BC$130)</f>
        <v>4.22</v>
      </c>
      <c r="BD69" s="399">
        <f>SUM(BWXBRS!BD$130)</f>
        <v>4.22</v>
      </c>
      <c r="BE69" s="399">
        <f>SUM(BWXBRS!BE$130)</f>
        <v>4.22</v>
      </c>
      <c r="BF69" s="399">
        <f>SUM(BWXBRS!BF$130)</f>
        <v>4.22</v>
      </c>
      <c r="BG69" s="399">
        <f>SUM(BWXBRS!BG$130)</f>
        <v>4.22</v>
      </c>
      <c r="BH69" s="399">
        <f>SUM(BWXBRS!BH$130)</f>
        <v>4.22</v>
      </c>
      <c r="BI69" s="399">
        <f>SUM(BWXBRS!BI$130)</f>
        <v>4.22</v>
      </c>
      <c r="BJ69" s="399">
        <f>SUM(BWXBRS!BJ$130)</f>
        <v>4.22</v>
      </c>
      <c r="BK69" s="399">
        <f>SUM(BWXBRS!BK$130)</f>
        <v>4.22</v>
      </c>
      <c r="BL69" s="399">
        <f>SUM(BWXBRS!BL$130)</f>
        <v>4.22</v>
      </c>
      <c r="BM69" s="399">
        <f>SUM(BWXBRS!BM$130)</f>
        <v>4.22</v>
      </c>
      <c r="BN69" s="399">
        <f>SUM(BWXBRS!BN$130)</f>
        <v>4.22</v>
      </c>
      <c r="BO69" s="399">
        <f>SUM(BWXBRS!BO$130)</f>
        <v>4.22</v>
      </c>
      <c r="BP69" s="399">
        <f>SUM(BWXBRS!BP$130)</f>
        <v>0</v>
      </c>
      <c r="BQ69" s="399">
        <f>SUM(BWXBRS!BQ$130)</f>
        <v>0</v>
      </c>
      <c r="BR69" s="399">
        <f>SUM(BWXBRS!BR$130)</f>
        <v>0</v>
      </c>
      <c r="BS69" s="399">
        <f>SUM(BWXBRS!BS$130)</f>
        <v>0</v>
      </c>
      <c r="BT69" s="399">
        <f>SUM(BWXBRS!BT$130)</f>
        <v>0</v>
      </c>
      <c r="BU69" s="399">
        <f>SUM(BWXBRS!BU$130)</f>
        <v>0</v>
      </c>
      <c r="BV69" s="399">
        <f>SUM(BWXBRS!BV$130)</f>
        <v>0</v>
      </c>
      <c r="BW69" s="399">
        <f>SUM(BWXBRS!BW$130)</f>
        <v>0</v>
      </c>
      <c r="BX69" s="399">
        <f>SUM(BWXBRS!BX$130)</f>
        <v>0</v>
      </c>
      <c r="BY69" s="399">
        <f>SUM(BWXBRS!BY$130)</f>
        <v>0</v>
      </c>
      <c r="BZ69" s="399">
        <f>SUM(BWXBRS!BZ$130)</f>
        <v>0</v>
      </c>
      <c r="CA69" s="399">
        <f>SUM(BWXBRS!CA$130)</f>
        <v>0</v>
      </c>
      <c r="CB69" s="399">
        <f>SUM(BWXBRS!CB$130)</f>
        <v>0</v>
      </c>
      <c r="CC69" s="399">
        <f>SUM(BWXBRS!CC$130)</f>
        <v>0</v>
      </c>
      <c r="CD69" s="399">
        <f>SUM(BWXBRS!CD$130)</f>
        <v>0</v>
      </c>
      <c r="CE69" s="399">
        <f>SUM(BWXBRS!CE$130)</f>
        <v>0</v>
      </c>
      <c r="CF69" s="399">
        <f>SUM(BWXBRS!CF$130)</f>
        <v>0</v>
      </c>
      <c r="CG69" s="399">
        <f>SUM(BWXBRS!CG$130)</f>
        <v>0</v>
      </c>
      <c r="CH69" s="399">
        <v>0</v>
      </c>
      <c r="CI69" s="399">
        <v>0</v>
      </c>
      <c r="CJ69" s="1200">
        <v>0</v>
      </c>
    </row>
    <row r="70" spans="2:88" ht="41.4" x14ac:dyDescent="0.25">
      <c r="B70" s="1167" t="s">
        <v>308</v>
      </c>
      <c r="C70" s="1168" t="s">
        <v>148</v>
      </c>
      <c r="D70" s="489" t="s">
        <v>309</v>
      </c>
      <c r="E70" s="1168" t="s">
        <v>149</v>
      </c>
      <c r="F70" s="490">
        <v>1</v>
      </c>
      <c r="G70" s="400"/>
      <c r="H70" s="400"/>
      <c r="I70" s="400">
        <f>( ( SUM(BWXBRS!I$136) + SUM(BWXBRS!I$137)  - SUM(BWXBRS!I$147) - SUM(BWXBRS!I$148) ) * 1000000 ) / ( (SUM(BWXBRS!I$169) + SUM(BWXBRS!I$170) ) * 1000 )</f>
        <v>158.04658923764734</v>
      </c>
      <c r="J70" s="400">
        <f>( ( SUM(BWXBRS!J$136) + SUM(BWXBRS!J$137)  - SUM(BWXBRS!J$147) - SUM(BWXBRS!J$148) ) * 1000000 ) / ( (SUM(BWXBRS!J$169) + SUM(BWXBRS!J$170) ) * 1000 )</f>
        <v>156.09367342324163</v>
      </c>
      <c r="K70" s="400">
        <f>( ( SUM(BWXBRS!K$136) + SUM(BWXBRS!K$137)  - SUM(BWXBRS!K$147) - SUM(BWXBRS!K$148) ) * 1000000 ) / ( (SUM(BWXBRS!K$169) + SUM(BWXBRS!K$170) ) * 1000 )</f>
        <v>154.35265818006147</v>
      </c>
      <c r="L70" s="400">
        <f>( ( SUM(BWXBRS!L$136) + SUM(BWXBRS!L$137)  - SUM(BWXBRS!L$147) - SUM(BWXBRS!L$148) ) * 1000000 ) / ( (SUM(BWXBRS!L$169) + SUM(BWXBRS!L$170) ) * 1000 )</f>
        <v>152.78751573204212</v>
      </c>
      <c r="M70" s="400">
        <f>( ( SUM(BWXBRS!M$136) + SUM(BWXBRS!M$137)  - SUM(BWXBRS!M$147) - SUM(BWXBRS!M$148) ) * 1000000 ) / ( (SUM(BWXBRS!M$169) + SUM(BWXBRS!M$170) ) * 1000 )</f>
        <v>151.28176804282035</v>
      </c>
      <c r="N70" s="400">
        <f>( ( SUM(BWXBRS!N$136) + SUM(BWXBRS!N$137)  - SUM(BWXBRS!N$147) - SUM(BWXBRS!N$148) ) * 1000000 ) / ( (SUM(BWXBRS!N$169) + SUM(BWXBRS!N$170) ) * 1000 )</f>
        <v>148.61629623287519</v>
      </c>
      <c r="O70" s="400">
        <f>( ( SUM(BWXBRS!O$136) + SUM(BWXBRS!O$137)  - SUM(BWXBRS!O$147) - SUM(BWXBRS!O$148) ) * 1000000 ) / ( (SUM(BWXBRS!O$169) + SUM(BWXBRS!O$170) ) * 1000 )</f>
        <v>145.81061042457046</v>
      </c>
      <c r="P70" s="400">
        <f>( ( SUM(BWXBRS!P$136) + SUM(BWXBRS!P$137)  - SUM(BWXBRS!P$147) - SUM(BWXBRS!P$148) ) * 1000000 ) / ( (SUM(BWXBRS!P$169) + SUM(BWXBRS!P$170) ) * 1000 )</f>
        <v>143.09574994879003</v>
      </c>
      <c r="Q70" s="400">
        <f>( ( SUM(BWXBRS!Q$136) + SUM(BWXBRS!Q$137)  - SUM(BWXBRS!Q$147) - SUM(BWXBRS!Q$148) ) * 1000000 ) / ( (SUM(BWXBRS!Q$169) + SUM(BWXBRS!Q$170) ) * 1000 )</f>
        <v>140.43589976905525</v>
      </c>
      <c r="R70" s="400">
        <f>( ( SUM(BWXBRS!R$136) + SUM(BWXBRS!R$137)  - SUM(BWXBRS!R$147) - SUM(BWXBRS!R$148) ) * 1000000 ) / ( (SUM(BWXBRS!R$169) + SUM(BWXBRS!R$170) ) * 1000 )</f>
        <v>135.84945814535502</v>
      </c>
      <c r="S70" s="400">
        <f>( ( SUM(BWXBRS!S$136) + SUM(BWXBRS!S$137)  - SUM(BWXBRS!S$147) - SUM(BWXBRS!S$148) ) * 1000000 ) / ( (SUM(BWXBRS!S$169) + SUM(BWXBRS!S$170) ) * 1000 )</f>
        <v>131.19811629688297</v>
      </c>
      <c r="T70" s="400">
        <f>( ( SUM(BWXBRS!T$136) + SUM(BWXBRS!T$137)  - SUM(BWXBRS!T$147) - SUM(BWXBRS!T$148) ) * 1000000 ) / ( (SUM(BWXBRS!T$169) + SUM(BWXBRS!T$170) ) * 1000 )</f>
        <v>128.47397556627556</v>
      </c>
      <c r="U70" s="400">
        <f>( ( SUM(BWXBRS!U$136) + SUM(BWXBRS!U$137)  - SUM(BWXBRS!U$147) - SUM(BWXBRS!U$148) ) * 1000000 ) / ( (SUM(BWXBRS!U$169) + SUM(BWXBRS!U$170) ) * 1000 )</f>
        <v>125.80256408783255</v>
      </c>
      <c r="V70" s="400">
        <f>( ( SUM(BWXBRS!V$136) + SUM(BWXBRS!V$137)  - SUM(BWXBRS!V$147) - SUM(BWXBRS!V$148) ) * 1000000 ) / ( (SUM(BWXBRS!V$169) + SUM(BWXBRS!V$170) ) * 1000 )</f>
        <v>123.17131957711952</v>
      </c>
      <c r="W70" s="400">
        <f>( ( SUM(BWXBRS!W$136) + SUM(BWXBRS!W$137)  - SUM(BWXBRS!W$147) - SUM(BWXBRS!W$148) ) * 1000000 ) / ( (SUM(BWXBRS!W$169) + SUM(BWXBRS!W$170) ) * 1000 )</f>
        <v>121.71872979130333</v>
      </c>
      <c r="X70" s="400">
        <f>( ( SUM(BWXBRS!X$136) + SUM(BWXBRS!X$137)  - SUM(BWXBRS!X$147) - SUM(BWXBRS!X$148) ) * 1000000 ) / ( (SUM(BWXBRS!X$169) + SUM(BWXBRS!X$170) ) * 1000 )</f>
        <v>120.31310848664691</v>
      </c>
      <c r="Y70" s="400">
        <f>( ( SUM(BWXBRS!Y$136) + SUM(BWXBRS!Y$137)  - SUM(BWXBRS!Y$147) - SUM(BWXBRS!Y$148) ) * 1000000 ) / ( (SUM(BWXBRS!Y$169) + SUM(BWXBRS!Y$170) ) * 1000 )</f>
        <v>118.97359764814109</v>
      </c>
      <c r="Z70" s="400">
        <f>( ( SUM(BWXBRS!Z$136) + SUM(BWXBRS!Z$137)  - SUM(BWXBRS!Z$147) - SUM(BWXBRS!Z$148) ) * 1000000 ) / ( (SUM(BWXBRS!Z$169) + SUM(BWXBRS!Z$170) ) * 1000 )</f>
        <v>117.66300317398172</v>
      </c>
      <c r="AA70" s="400">
        <f>( ( SUM(BWXBRS!AA$136) + SUM(BWXBRS!AA$137)  - SUM(BWXBRS!AA$147) - SUM(BWXBRS!AA$148) ) * 1000000 ) / ( (SUM(BWXBRS!AA$169) + SUM(BWXBRS!AA$170) ) * 1000 )</f>
        <v>116.42220997812673</v>
      </c>
      <c r="AB70" s="400">
        <f>( ( SUM(BWXBRS!AB$136) + SUM(BWXBRS!AB$137)  - SUM(BWXBRS!AB$147) - SUM(BWXBRS!AB$148) ) * 1000000 ) / ( (SUM(BWXBRS!AB$169) + SUM(BWXBRS!AB$170) ) * 1000 )</f>
        <v>115.53919843724336</v>
      </c>
      <c r="AC70" s="400">
        <f>( ( SUM(BWXBRS!AC$136) + SUM(BWXBRS!AC$137)  - SUM(BWXBRS!AC$147) - SUM(BWXBRS!AC$148) ) * 1000000 ) / ( (SUM(BWXBRS!AC$169) + SUM(BWXBRS!AC$170) ) * 1000 )</f>
        <v>114.96938463742843</v>
      </c>
      <c r="AD70" s="400">
        <f>( ( SUM(BWXBRS!AD$136) + SUM(BWXBRS!AD$137)  - SUM(BWXBRS!AD$147) - SUM(BWXBRS!AD$148) ) * 1000000 ) / ( (SUM(BWXBRS!AD$169) + SUM(BWXBRS!AD$170) ) * 1000 )</f>
        <v>114.43138130186517</v>
      </c>
      <c r="AE70" s="400">
        <f>( ( SUM(BWXBRS!AE$136) + SUM(BWXBRS!AE$137)  - SUM(BWXBRS!AE$147) - SUM(BWXBRS!AE$148) ) * 1000000 ) / ( (SUM(BWXBRS!AE$169) + SUM(BWXBRS!AE$170) ) * 1000 )</f>
        <v>113.85886000434927</v>
      </c>
      <c r="AF70" s="400">
        <f>( ( SUM(BWXBRS!AF$136) + SUM(BWXBRS!AF$137)  - SUM(BWXBRS!AF$147) - SUM(BWXBRS!AF$148) ) * 1000000 ) / ( (SUM(BWXBRS!AF$169) + SUM(BWXBRS!AF$170) ) * 1000 )</f>
        <v>113.19833321789453</v>
      </c>
      <c r="AG70" s="400">
        <f>( ( SUM(BWXBRS!AG$136) + SUM(BWXBRS!AG$137)  - SUM(BWXBRS!AG$147) - SUM(BWXBRS!AG$148) ) * 1000000 ) / ( (SUM(BWXBRS!AG$169) + SUM(BWXBRS!AG$170) ) * 1000 )</f>
        <v>112.46950066020268</v>
      </c>
      <c r="AH70" s="400">
        <f>( ( SUM(BWXBRS!AH$136) + SUM(BWXBRS!AH$137)  - SUM(BWXBRS!AH$147) - SUM(BWXBRS!AH$148) ) * 1000000 ) / ( (SUM(BWXBRS!AH$169) + SUM(BWXBRS!AH$170) ) * 1000 )</f>
        <v>111.63153480213002</v>
      </c>
      <c r="AI70" s="400">
        <f>( ( SUM(BWXBRS!AI$136) + SUM(BWXBRS!AI$137)  - SUM(BWXBRS!AI$147) - SUM(BWXBRS!AI$148) ) * 1000000 ) / ( (SUM(BWXBRS!AI$169) + SUM(BWXBRS!AI$170) ) * 1000 )</f>
        <v>110.81939671050785</v>
      </c>
      <c r="AJ70" s="400">
        <f>( ( SUM(BWXBRS!AJ$136) + SUM(BWXBRS!AJ$137)  - SUM(BWXBRS!AJ$147) - SUM(BWXBRS!AJ$148) ) * 1000000 ) / ( (SUM(BWXBRS!AJ$169) + SUM(BWXBRS!AJ$170) ) * 1000 )</f>
        <v>110.02197781261046</v>
      </c>
      <c r="AK70" s="400">
        <f>( ( SUM(BWXBRS!AK$136) + SUM(BWXBRS!AK$137)  - SUM(BWXBRS!AK$147) - SUM(BWXBRS!AK$148) ) * 1000000 ) / ( (SUM(BWXBRS!AK$169) + SUM(BWXBRS!AK$170) ) * 1000 )</f>
        <v>109.2247531019903</v>
      </c>
      <c r="AL70" s="400">
        <f>( ( SUM(BWXBRS!AL$136) + SUM(BWXBRS!AL$137)  - SUM(BWXBRS!AL$147) - SUM(BWXBRS!AL$148) ) * 1000000 ) / ( (SUM(BWXBRS!AL$169) + SUM(BWXBRS!AL$170) ) * 1000 )</f>
        <v>108.46916538869284</v>
      </c>
      <c r="AM70" s="400">
        <f>( ( SUM(BWXBRS!AM$136) + SUM(BWXBRS!AM$137)  - SUM(BWXBRS!AM$147) - SUM(BWXBRS!AM$148) ) * 1000000 ) / ( (SUM(BWXBRS!AM$169) + SUM(BWXBRS!AM$170) ) * 1000 )</f>
        <v>107.75929484273109</v>
      </c>
      <c r="AN70" s="400">
        <f>( ( SUM(BWXBRS!AN$136) + SUM(BWXBRS!AN$137)  - SUM(BWXBRS!AN$147) - SUM(BWXBRS!AN$148) ) * 1000000 ) / ( (SUM(BWXBRS!AN$169) + SUM(BWXBRS!AN$170) ) * 1000 )</f>
        <v>107.03427705030462</v>
      </c>
      <c r="AO70" s="400">
        <f>( ( SUM(BWXBRS!AO$136) + SUM(BWXBRS!AO$137)  - SUM(BWXBRS!AO$147) - SUM(BWXBRS!AO$148) ) * 1000000 ) / ( (SUM(BWXBRS!AO$169) + SUM(BWXBRS!AO$170) ) * 1000 )</f>
        <v>106.34511878450709</v>
      </c>
      <c r="AP70" s="400">
        <f>( ( SUM(BWXBRS!AP$136) + SUM(BWXBRS!AP$137)  - SUM(BWXBRS!AP$147) - SUM(BWXBRS!AP$148) ) * 1000000 ) / ( (SUM(BWXBRS!AP$169) + SUM(BWXBRS!AP$170) ) * 1000 )</f>
        <v>105.67601655725531</v>
      </c>
      <c r="AQ70" s="400">
        <f>( ( SUM(BWXBRS!AQ$136) + SUM(BWXBRS!AQ$137)  - SUM(BWXBRS!AQ$147) - SUM(BWXBRS!AQ$148) ) * 1000000 ) / ( (SUM(BWXBRS!AQ$169) + SUM(BWXBRS!AQ$170) ) * 1000 )</f>
        <v>106.84519426124866</v>
      </c>
      <c r="AR70" s="400">
        <f>( ( SUM(BWXBRS!AR$136) + SUM(BWXBRS!AR$137)  - SUM(BWXBRS!AR$147) - SUM(BWXBRS!AR$148) ) * 1000000 ) / ( (SUM(BWXBRS!AR$169) + SUM(BWXBRS!AR$170) ) * 1000 )</f>
        <v>108.26147716257168</v>
      </c>
      <c r="AS70" s="400">
        <f>( ( SUM(BWXBRS!AS$136) + SUM(BWXBRS!AS$137)  - SUM(BWXBRS!AS$147) - SUM(BWXBRS!AS$148) ) * 1000000 ) / ( (SUM(BWXBRS!AS$169) + SUM(BWXBRS!AS$170) ) * 1000 )</f>
        <v>108.03568270720905</v>
      </c>
      <c r="AT70" s="400">
        <f>( ( SUM(BWXBRS!AT$136) + SUM(BWXBRS!AT$137)  - SUM(BWXBRS!AT$147) - SUM(BWXBRS!AT$148) ) * 1000000 ) / ( (SUM(BWXBRS!AT$169) + SUM(BWXBRS!AT$170) ) * 1000 )</f>
        <v>107.93860502574609</v>
      </c>
      <c r="AU70" s="400">
        <f>( ( SUM(BWXBRS!AU$136) + SUM(BWXBRS!AU$137)  - SUM(BWXBRS!AU$147) - SUM(BWXBRS!AU$148) ) * 1000000 ) / ( (SUM(BWXBRS!AU$169) + SUM(BWXBRS!AU$170) ) * 1000 )</f>
        <v>107.89071721085051</v>
      </c>
      <c r="AV70" s="400">
        <f>( ( SUM(BWXBRS!AV$136) + SUM(BWXBRS!AV$137)  - SUM(BWXBRS!AV$147) - SUM(BWXBRS!AV$148) ) * 1000000 ) / ( (SUM(BWXBRS!AV$169) + SUM(BWXBRS!AV$170) ) * 1000 )</f>
        <v>107.81146483124678</v>
      </c>
      <c r="AW70" s="400">
        <f>( ( SUM(BWXBRS!AW$136) + SUM(BWXBRS!AW$137)  - SUM(BWXBRS!AW$147) - SUM(BWXBRS!AW$148) ) * 1000000 ) / ( (SUM(BWXBRS!AW$169) + SUM(BWXBRS!AW$170) ) * 1000 )</f>
        <v>107.75475045418241</v>
      </c>
      <c r="AX70" s="400">
        <f>( ( SUM(BWXBRS!AX$136) + SUM(BWXBRS!AX$137)  - SUM(BWXBRS!AX$147) - SUM(BWXBRS!AX$148) ) * 1000000 ) / ( (SUM(BWXBRS!AX$169) + SUM(BWXBRS!AX$170) ) * 1000 )</f>
        <v>107.70667470742247</v>
      </c>
      <c r="AY70" s="400">
        <f>( ( SUM(BWXBRS!AY$136) + SUM(BWXBRS!AY$137)  - SUM(BWXBRS!AY$147) - SUM(BWXBRS!AY$148) ) * 1000000 ) / ( (SUM(BWXBRS!AY$169) + SUM(BWXBRS!AY$170) ) * 1000 )</f>
        <v>107.62152713624555</v>
      </c>
      <c r="AZ70" s="400">
        <f>( ( SUM(BWXBRS!AZ$136) + SUM(BWXBRS!AZ$137)  - SUM(BWXBRS!AZ$147) - SUM(BWXBRS!AZ$148) ) * 1000000 ) / ( (SUM(BWXBRS!AZ$169) + SUM(BWXBRS!AZ$170) ) * 1000 )</f>
        <v>107.55270232099673</v>
      </c>
      <c r="BA70" s="400">
        <f>( ( SUM(BWXBRS!BA$136) + SUM(BWXBRS!BA$137)  - SUM(BWXBRS!BA$147) - SUM(BWXBRS!BA$148) ) * 1000000 ) / ( (SUM(BWXBRS!BA$169) + SUM(BWXBRS!BA$170) ) * 1000 )</f>
        <v>107.46280306163908</v>
      </c>
      <c r="BB70" s="400">
        <f>( ( SUM(BWXBRS!BB$136) + SUM(BWXBRS!BB$137)  - SUM(BWXBRS!BB$147) - SUM(BWXBRS!BB$148) ) * 1000000 ) / ( (SUM(BWXBRS!BB$169) + SUM(BWXBRS!BB$170) ) * 1000 )</f>
        <v>107.39567032165232</v>
      </c>
      <c r="BC70" s="400">
        <f>( ( SUM(BWXBRS!BC$136) + SUM(BWXBRS!BC$137)  - SUM(BWXBRS!BC$147) - SUM(BWXBRS!BC$148) ) * 1000000 ) / ( (SUM(BWXBRS!BC$169) + SUM(BWXBRS!BC$170) ) * 1000 )</f>
        <v>107.32080562114218</v>
      </c>
      <c r="BD70" s="400">
        <f>( ( SUM(BWXBRS!BD$136) + SUM(BWXBRS!BD$137)  - SUM(BWXBRS!BD$147) - SUM(BWXBRS!BD$148) ) * 1000000 ) / ( (SUM(BWXBRS!BD$169) + SUM(BWXBRS!BD$170) ) * 1000 )</f>
        <v>107.23425675473854</v>
      </c>
      <c r="BE70" s="400">
        <f>( ( SUM(BWXBRS!BE$136) + SUM(BWXBRS!BE$137)  - SUM(BWXBRS!BE$147) - SUM(BWXBRS!BE$148) ) * 1000000 ) / ( (SUM(BWXBRS!BE$169) + SUM(BWXBRS!BE$170) ) * 1000 )</f>
        <v>107.17008518684841</v>
      </c>
      <c r="BF70" s="400">
        <f>( ( SUM(BWXBRS!BF$136) + SUM(BWXBRS!BF$137)  - SUM(BWXBRS!BF$147) - SUM(BWXBRS!BF$148) ) * 1000000 ) / ( (SUM(BWXBRS!BF$169) + SUM(BWXBRS!BF$170) ) * 1000 )</f>
        <v>107.09795504086111</v>
      </c>
      <c r="BG70" s="400">
        <f>( ( SUM(BWXBRS!BG$136) + SUM(BWXBRS!BG$137)  - SUM(BWXBRS!BG$147) - SUM(BWXBRS!BG$148) ) * 1000000 ) / ( (SUM(BWXBRS!BG$169) + SUM(BWXBRS!BG$170) ) * 1000 )</f>
        <v>107.01463054953443</v>
      </c>
      <c r="BH70" s="400">
        <f>( ( SUM(BWXBRS!BH$136) + SUM(BWXBRS!BH$137)  - SUM(BWXBRS!BH$147) - SUM(BWXBRS!BH$148) ) * 1000000 ) / ( (SUM(BWXBRS!BH$169) + SUM(BWXBRS!BH$170) ) * 1000 )</f>
        <v>106.94528449280381</v>
      </c>
      <c r="BI70" s="400">
        <f>( ( SUM(BWXBRS!BI$136) + SUM(BWXBRS!BI$137)  - SUM(BWXBRS!BI$147) - SUM(BWXBRS!BI$148) ) * 1000000 ) / ( (SUM(BWXBRS!BI$169) + SUM(BWXBRS!BI$170) ) * 1000 )</f>
        <v>106.87621105001256</v>
      </c>
      <c r="BJ70" s="400">
        <f>( ( SUM(BWXBRS!BJ$136) + SUM(BWXBRS!BJ$137)  - SUM(BWXBRS!BJ$147) - SUM(BWXBRS!BJ$148) ) * 1000000 ) / ( (SUM(BWXBRS!BJ$169) + SUM(BWXBRS!BJ$170) ) * 1000 )</f>
        <v>106.79607027859127</v>
      </c>
      <c r="BK70" s="400">
        <f>( ( SUM(BWXBRS!BK$136) + SUM(BWXBRS!BK$137)  - SUM(BWXBRS!BK$147) - SUM(BWXBRS!BK$148) ) * 1000000 ) / ( (SUM(BWXBRS!BK$169) + SUM(BWXBRS!BK$170) ) * 1000 )</f>
        <v>106.72968617301771</v>
      </c>
      <c r="BL70" s="400">
        <f>( ( SUM(BWXBRS!BL$136) + SUM(BWXBRS!BL$137)  - SUM(BWXBRS!BL$147) - SUM(BWXBRS!BL$148) ) * 1000000 ) / ( (SUM(BWXBRS!BL$169) + SUM(BWXBRS!BL$170) ) * 1000 )</f>
        <v>106.64346804382129</v>
      </c>
      <c r="BM70" s="400">
        <f>( ( SUM(BWXBRS!BM$136) + SUM(BWXBRS!BM$137)  - SUM(BWXBRS!BM$147) - SUM(BWXBRS!BM$148) ) * 1000000 ) / ( (SUM(BWXBRS!BM$169) + SUM(BWXBRS!BM$170) ) * 1000 )</f>
        <v>106.5787805699718</v>
      </c>
      <c r="BN70" s="400">
        <f>( ( SUM(BWXBRS!BN$136) + SUM(BWXBRS!BN$137)  - SUM(BWXBRS!BN$147) - SUM(BWXBRS!BN$148) ) * 1000000 ) / ( (SUM(BWXBRS!BN$169) + SUM(BWXBRS!BN$170) ) * 1000 )</f>
        <v>106.51499222134252</v>
      </c>
      <c r="BO70" s="400">
        <f>( ( SUM(BWXBRS!BO$136) + SUM(BWXBRS!BO$137)  - SUM(BWXBRS!BO$147) - SUM(BWXBRS!BO$148) ) * 1000000 ) / ( (SUM(BWXBRS!BO$169) + SUM(BWXBRS!BO$170) ) * 1000 )</f>
        <v>106.43198132528043</v>
      </c>
      <c r="BP70" s="400" t="e">
        <f>( ( SUM(BWXBRS!BP$136) + SUM(BWXBRS!BP$137)  - SUM(BWXBRS!BP$147) - SUM(BWXBRS!BP$148) ) * 1000000 ) / ( (SUM(BWXBRS!BP$169) + SUM(BWXBRS!BP$170) ) * 1000 )</f>
        <v>#DIV/0!</v>
      </c>
      <c r="BQ70" s="400" t="e">
        <f>( ( SUM(BWXBRS!BQ$136) + SUM(BWXBRS!BQ$137)  - SUM(BWXBRS!BQ$147) - SUM(BWXBRS!BQ$148) ) * 1000000 ) / ( (SUM(BWXBRS!BQ$169) + SUM(BWXBRS!BQ$170) ) * 1000 )</f>
        <v>#DIV/0!</v>
      </c>
      <c r="BR70" s="400" t="e">
        <f>( ( SUM(BWXBRS!BR$136) + SUM(BWXBRS!BR$137)  - SUM(BWXBRS!BR$147) - SUM(BWXBRS!BR$148) ) * 1000000 ) / ( (SUM(BWXBRS!BR$169) + SUM(BWXBRS!BR$170) ) * 1000 )</f>
        <v>#DIV/0!</v>
      </c>
      <c r="BS70" s="400" t="e">
        <f>( ( SUM(BWXBRS!BS$136) + SUM(BWXBRS!BS$137)  - SUM(BWXBRS!BS$147) - SUM(BWXBRS!BS$148) ) * 1000000 ) / ( (SUM(BWXBRS!BS$169) + SUM(BWXBRS!BS$170) ) * 1000 )</f>
        <v>#DIV/0!</v>
      </c>
      <c r="BT70" s="400" t="e">
        <f>( ( SUM(BWXBRS!BT$136) + SUM(BWXBRS!BT$137)  - SUM(BWXBRS!BT$147) - SUM(BWXBRS!BT$148) ) * 1000000 ) / ( (SUM(BWXBRS!BT$169) + SUM(BWXBRS!BT$170) ) * 1000 )</f>
        <v>#DIV/0!</v>
      </c>
      <c r="BU70" s="400" t="e">
        <f>( ( SUM(BWXBRS!BU$136) + SUM(BWXBRS!BU$137)  - SUM(BWXBRS!BU$147) - SUM(BWXBRS!BU$148) ) * 1000000 ) / ( (SUM(BWXBRS!BU$169) + SUM(BWXBRS!BU$170) ) * 1000 )</f>
        <v>#DIV/0!</v>
      </c>
      <c r="BV70" s="400" t="e">
        <f>( ( SUM(BWXBRS!BV$136) + SUM(BWXBRS!BV$137)  - SUM(BWXBRS!BV$147) - SUM(BWXBRS!BV$148) ) * 1000000 ) / ( (SUM(BWXBRS!BV$169) + SUM(BWXBRS!BV$170) ) * 1000 )</f>
        <v>#DIV/0!</v>
      </c>
      <c r="BW70" s="400" t="e">
        <f>( ( SUM(BWXBRS!BW$136) + SUM(BWXBRS!BW$137)  - SUM(BWXBRS!BW$147) - SUM(BWXBRS!BW$148) ) * 1000000 ) / ( (SUM(BWXBRS!BW$169) + SUM(BWXBRS!BW$170) ) * 1000 )</f>
        <v>#DIV/0!</v>
      </c>
      <c r="BX70" s="400" t="e">
        <f>( ( SUM(BWXBRS!BX$136) + SUM(BWXBRS!BX$137)  - SUM(BWXBRS!BX$147) - SUM(BWXBRS!BX$148) ) * 1000000 ) / ( (SUM(BWXBRS!BX$169) + SUM(BWXBRS!BX$170) ) * 1000 )</f>
        <v>#DIV/0!</v>
      </c>
      <c r="BY70" s="400" t="e">
        <f>( ( SUM(BWXBRS!BY$136) + SUM(BWXBRS!BY$137)  - SUM(BWXBRS!BY$147) - SUM(BWXBRS!BY$148) ) * 1000000 ) / ( (SUM(BWXBRS!BY$169) + SUM(BWXBRS!BY$170) ) * 1000 )</f>
        <v>#DIV/0!</v>
      </c>
      <c r="BZ70" s="400" t="e">
        <f>( ( SUM(BWXBRS!BZ$136) + SUM(BWXBRS!BZ$137)  - SUM(BWXBRS!BZ$147) - SUM(BWXBRS!BZ$148) ) * 1000000 ) / ( (SUM(BWXBRS!BZ$169) + SUM(BWXBRS!BZ$170) ) * 1000 )</f>
        <v>#DIV/0!</v>
      </c>
      <c r="CA70" s="400" t="e">
        <f>( ( SUM(BWXBRS!CA$136) + SUM(BWXBRS!CA$137)  - SUM(BWXBRS!CA$147) - SUM(BWXBRS!CA$148) ) * 1000000 ) / ( (SUM(BWXBRS!CA$169) + SUM(BWXBRS!CA$170) ) * 1000 )</f>
        <v>#DIV/0!</v>
      </c>
      <c r="CB70" s="400" t="e">
        <f>( ( SUM(BWXBRS!CB$136) + SUM(BWXBRS!CB$137)  - SUM(BWXBRS!CB$147) - SUM(BWXBRS!CB$148) ) * 1000000 ) / ( (SUM(BWXBRS!CB$169) + SUM(BWXBRS!CB$170) ) * 1000 )</f>
        <v>#DIV/0!</v>
      </c>
      <c r="CC70" s="400" t="e">
        <f>( ( SUM(BWXBRS!CC$136) + SUM(BWXBRS!CC$137)  - SUM(BWXBRS!CC$147) - SUM(BWXBRS!CC$148) ) * 1000000 ) / ( (SUM(BWXBRS!CC$169) + SUM(BWXBRS!CC$170) ) * 1000 )</f>
        <v>#DIV/0!</v>
      </c>
      <c r="CD70" s="400" t="e">
        <f>( ( SUM(BWXBRS!CD$136) + SUM(BWXBRS!CD$137)  - SUM(BWXBRS!CD$147) - SUM(BWXBRS!CD$148) ) * 1000000 ) / ( (SUM(BWXBRS!CD$169) + SUM(BWXBRS!CD$170) ) * 1000 )</f>
        <v>#DIV/0!</v>
      </c>
      <c r="CE70" s="400" t="e">
        <f>( ( SUM(BWXBRS!CE$136) + SUM(BWXBRS!CE$137)  - SUM(BWXBRS!CE$147) - SUM(BWXBRS!CE$148) ) * 1000000 ) / ( (SUM(BWXBRS!CE$169) + SUM(BWXBRS!CE$170) ) * 1000 )</f>
        <v>#DIV/0!</v>
      </c>
      <c r="CF70" s="400" t="e">
        <f>( ( SUM(BWXBRS!CF$136) + SUM(BWXBRS!CF$137)  - SUM(BWXBRS!CF$147) - SUM(BWXBRS!CF$148) ) * 1000000 ) / ( (SUM(BWXBRS!CF$169) + SUM(BWXBRS!CF$170) ) * 1000 )</f>
        <v>#DIV/0!</v>
      </c>
      <c r="CG70" s="400" t="e">
        <f>( ( SUM(BWXBRS!CG$136) + SUM(BWXBRS!CG$137)  - SUM(BWXBRS!CG$147) - SUM(BWXBRS!CG$148) ) * 1000000 ) / ( (SUM(BWXBRS!CG$169) + SUM(BWXBRS!CG$170) ) * 1000 )</f>
        <v>#DIV/0!</v>
      </c>
      <c r="CH70" s="400" t="e">
        <v>#DIV/0!</v>
      </c>
      <c r="CI70" s="400" t="e">
        <v>#DIV/0!</v>
      </c>
      <c r="CJ70" s="1201" t="e">
        <v>#DIV/0!</v>
      </c>
    </row>
    <row r="71" spans="2:88" ht="27.6" x14ac:dyDescent="0.25">
      <c r="B71" s="1169" t="s">
        <v>310</v>
      </c>
      <c r="C71" s="1170" t="s">
        <v>283</v>
      </c>
      <c r="D71" s="491" t="s">
        <v>311</v>
      </c>
      <c r="E71" s="1170" t="s">
        <v>285</v>
      </c>
      <c r="F71" s="492">
        <v>1</v>
      </c>
      <c r="G71" s="401"/>
      <c r="H71" s="401"/>
      <c r="I71" s="401">
        <f>( SUM(BWXBRS!I$156)) /  ( SUM(BWXBRS!I$156) + SUM(BWXBRS!I$163) + SUM(BWXBRS!I$164) + SUM(BWXBRS!I$165) )</f>
        <v>0.60241617842786144</v>
      </c>
      <c r="J71" s="401">
        <f>( SUM(BWXBRS!J$156)) /  ( SUM(BWXBRS!J$156) + SUM(BWXBRS!J$163) + SUM(BWXBRS!J$164) + SUM(BWXBRS!J$165) )</f>
        <v>0.64712312645887271</v>
      </c>
      <c r="K71" s="401">
        <f>( SUM(BWXBRS!K$156)) /  ( SUM(BWXBRS!K$156) + SUM(BWXBRS!K$163) + SUM(BWXBRS!K$164) + SUM(BWXBRS!K$165) )</f>
        <v>0.68618916292667442</v>
      </c>
      <c r="L71" s="401">
        <f>( SUM(BWXBRS!L$156)) /  ( SUM(BWXBRS!L$156) + SUM(BWXBRS!L$163) + SUM(BWXBRS!L$164) + SUM(BWXBRS!L$165) )</f>
        <v>0.7206201192285816</v>
      </c>
      <c r="M71" s="401">
        <f>( SUM(BWXBRS!M$156)) /  ( SUM(BWXBRS!M$156) + SUM(BWXBRS!M$163) + SUM(BWXBRS!M$164) + SUM(BWXBRS!M$165) )</f>
        <v>0.73801829463462609</v>
      </c>
      <c r="N71" s="401">
        <f>( SUM(BWXBRS!N$156)) /  ( SUM(BWXBRS!N$156) + SUM(BWXBRS!N$163) + SUM(BWXBRS!N$164) + SUM(BWXBRS!N$165) )</f>
        <v>0.75437227590888345</v>
      </c>
      <c r="O71" s="401">
        <f>( SUM(BWXBRS!O$156)) /  ( SUM(BWXBRS!O$156) + SUM(BWXBRS!O$163) + SUM(BWXBRS!O$164) + SUM(BWXBRS!O$165) )</f>
        <v>0.76983193172416597</v>
      </c>
      <c r="P71" s="401">
        <f>( SUM(BWXBRS!P$156)) /  ( SUM(BWXBRS!P$156) + SUM(BWXBRS!P$163) + SUM(BWXBRS!P$164) + SUM(BWXBRS!P$165) )</f>
        <v>0.78441069411400821</v>
      </c>
      <c r="Q71" s="401">
        <f>( SUM(BWXBRS!Q$156)) /  ( SUM(BWXBRS!Q$156) + SUM(BWXBRS!Q$163) + SUM(BWXBRS!Q$164) + SUM(BWXBRS!Q$165) )</f>
        <v>0.79822919143558535</v>
      </c>
      <c r="R71" s="401">
        <f>( SUM(BWXBRS!R$156)) /  ( SUM(BWXBRS!R$156) + SUM(BWXBRS!R$163) + SUM(BWXBRS!R$164) + SUM(BWXBRS!R$165) )</f>
        <v>0.81120131353491165</v>
      </c>
      <c r="S71" s="401">
        <f>( SUM(BWXBRS!S$156)) /  ( SUM(BWXBRS!S$156) + SUM(BWXBRS!S$163) + SUM(BWXBRS!S$164) + SUM(BWXBRS!S$165) )</f>
        <v>0.82347403183894807</v>
      </c>
      <c r="T71" s="401">
        <f>( SUM(BWXBRS!T$156)) /  ( SUM(BWXBRS!T$156) + SUM(BWXBRS!T$163) + SUM(BWXBRS!T$164) + SUM(BWXBRS!T$165) )</f>
        <v>0.83508495486742762</v>
      </c>
      <c r="U71" s="401">
        <f>( SUM(BWXBRS!U$156)) /  ( SUM(BWXBRS!U$156) + SUM(BWXBRS!U$163) + SUM(BWXBRS!U$164) + SUM(BWXBRS!U$165) )</f>
        <v>0.84606962277695652</v>
      </c>
      <c r="V71" s="401">
        <f>( SUM(BWXBRS!V$156)) /  ( SUM(BWXBRS!V$156) + SUM(BWXBRS!V$163) + SUM(BWXBRS!V$164) + SUM(BWXBRS!V$165) )</f>
        <v>0.856439921371553</v>
      </c>
      <c r="W71" s="401">
        <f>( SUM(BWXBRS!W$156)) /  ( SUM(BWXBRS!W$156) + SUM(BWXBRS!W$163) + SUM(BWXBRS!W$164) + SUM(BWXBRS!W$165) )</f>
        <v>0.86625298710446053</v>
      </c>
      <c r="X71" s="401">
        <f>( SUM(BWXBRS!X$156)) /  ( SUM(BWXBRS!X$156) + SUM(BWXBRS!X$163) + SUM(BWXBRS!X$164) + SUM(BWXBRS!X$165) )</f>
        <v>0.87550218129404178</v>
      </c>
      <c r="Y71" s="401">
        <f>( SUM(BWXBRS!Y$156)) /  ( SUM(BWXBRS!Y$156) + SUM(BWXBRS!Y$163) + SUM(BWXBRS!Y$164) + SUM(BWXBRS!Y$165) )</f>
        <v>0.88425829825108471</v>
      </c>
      <c r="Z71" s="401">
        <f>( SUM(BWXBRS!Z$156)) /  ( SUM(BWXBRS!Z$156) + SUM(BWXBRS!Z$163) + SUM(BWXBRS!Z$164) + SUM(BWXBRS!Z$165) )</f>
        <v>0.892547266746471</v>
      </c>
      <c r="AA71" s="401">
        <f>( SUM(BWXBRS!AA$156)) /  ( SUM(BWXBRS!AA$156) + SUM(BWXBRS!AA$163) + SUM(BWXBRS!AA$164) + SUM(BWXBRS!AA$165) )</f>
        <v>0.90037999127963908</v>
      </c>
      <c r="AB71" s="401">
        <f>( SUM(BWXBRS!AB$156)) /  ( SUM(BWXBRS!AB$156) + SUM(BWXBRS!AB$163) + SUM(BWXBRS!AB$164) + SUM(BWXBRS!AB$165) )</f>
        <v>0.90777133570772095</v>
      </c>
      <c r="AC71" s="401">
        <f>( SUM(BWXBRS!AC$156)) /  ( SUM(BWXBRS!AC$156) + SUM(BWXBRS!AC$163) + SUM(BWXBRS!AC$164) + SUM(BWXBRS!AC$165) )</f>
        <v>0.91478373311843542</v>
      </c>
      <c r="AD71" s="401">
        <f>( SUM(BWXBRS!AD$156)) /  ( SUM(BWXBRS!AD$156) + SUM(BWXBRS!AD$163) + SUM(BWXBRS!AD$164) + SUM(BWXBRS!AD$165) )</f>
        <v>0.92143384711808418</v>
      </c>
      <c r="AE71" s="401">
        <f>( SUM(BWXBRS!AE$156)) /  ( SUM(BWXBRS!AE$156) + SUM(BWXBRS!AE$163) + SUM(BWXBRS!AE$164) + SUM(BWXBRS!AE$165) )</f>
        <v>0.92772886901039553</v>
      </c>
      <c r="AF71" s="401">
        <f>( SUM(BWXBRS!AF$156)) /  ( SUM(BWXBRS!AF$156) + SUM(BWXBRS!AF$163) + SUM(BWXBRS!AF$164) + SUM(BWXBRS!AF$165) )</f>
        <v>0.93369511111152537</v>
      </c>
      <c r="AG71" s="401">
        <f>( SUM(BWXBRS!AG$156)) /  ( SUM(BWXBRS!AG$156) + SUM(BWXBRS!AG$163) + SUM(BWXBRS!AG$164) + SUM(BWXBRS!AG$165) )</f>
        <v>0.93397495330052327</v>
      </c>
      <c r="AH71" s="401">
        <f>( SUM(BWXBRS!AH$156)) /  ( SUM(BWXBRS!AH$156) + SUM(BWXBRS!AH$163) + SUM(BWXBRS!AH$164) + SUM(BWXBRS!AH$165) )</f>
        <v>0.93424392334704309</v>
      </c>
      <c r="AI71" s="401">
        <f>( SUM(BWXBRS!AI$156)) /  ( SUM(BWXBRS!AI$156) + SUM(BWXBRS!AI$163) + SUM(BWXBRS!AI$164) + SUM(BWXBRS!AI$165) )</f>
        <v>0.9345174453622711</v>
      </c>
      <c r="AJ71" s="401">
        <f>( SUM(BWXBRS!AJ$156)) /  ( SUM(BWXBRS!AJ$156) + SUM(BWXBRS!AJ$163) + SUM(BWXBRS!AJ$164) + SUM(BWXBRS!AJ$165) )</f>
        <v>0.93478784427197881</v>
      </c>
      <c r="AK71" s="401">
        <f>( SUM(BWXBRS!AK$156)) /  ( SUM(BWXBRS!AK$156) + SUM(BWXBRS!AK$163) + SUM(BWXBRS!AK$164) + SUM(BWXBRS!AK$165) )</f>
        <v>0.93504778844640768</v>
      </c>
      <c r="AL71" s="401">
        <f>( SUM(BWXBRS!AL$156)) /  ( SUM(BWXBRS!AL$156) + SUM(BWXBRS!AL$163) + SUM(BWXBRS!AL$164) + SUM(BWXBRS!AL$165) )</f>
        <v>0.93531218264313098</v>
      </c>
      <c r="AM71" s="401">
        <f>( SUM(BWXBRS!AM$156)) /  ( SUM(BWXBRS!AM$156) + SUM(BWXBRS!AM$163) + SUM(BWXBRS!AM$164) + SUM(BWXBRS!AM$165) )</f>
        <v>0.93557360832824932</v>
      </c>
      <c r="AN71" s="401">
        <f>( SUM(BWXBRS!AN$156)) /  ( SUM(BWXBRS!AN$156) + SUM(BWXBRS!AN$163) + SUM(BWXBRS!AN$164) + SUM(BWXBRS!AN$165) )</f>
        <v>0.93582497344842641</v>
      </c>
      <c r="AO71" s="401">
        <f>( SUM(BWXBRS!AO$156)) /  ( SUM(BWXBRS!AO$156) + SUM(BWXBRS!AO$163) + SUM(BWXBRS!AO$164) + SUM(BWXBRS!AO$165) )</f>
        <v>0.93608068923133758</v>
      </c>
      <c r="AP71" s="401">
        <f>( SUM(BWXBRS!AP$156)) /  ( SUM(BWXBRS!AP$156) + SUM(BWXBRS!AP$163) + SUM(BWXBRS!AP$164) + SUM(BWXBRS!AP$165) )</f>
        <v>0.93633358105935938</v>
      </c>
      <c r="AQ71" s="401">
        <f>( SUM(BWXBRS!AQ$156)) /  ( SUM(BWXBRS!AQ$156) + SUM(BWXBRS!AQ$163) + SUM(BWXBRS!AQ$164) + SUM(BWXBRS!AQ$165) )</f>
        <v>0.93657678493002683</v>
      </c>
      <c r="AR71" s="401">
        <f>( SUM(BWXBRS!AR$156)) /  ( SUM(BWXBRS!AR$156) + SUM(BWXBRS!AR$163) + SUM(BWXBRS!AR$164) + SUM(BWXBRS!AR$165) )</f>
        <v>0.93682424267903464</v>
      </c>
      <c r="AS71" s="401">
        <f>( SUM(BWXBRS!AS$156)) /  ( SUM(BWXBRS!AS$156) + SUM(BWXBRS!AS$163) + SUM(BWXBRS!AS$164) + SUM(BWXBRS!AS$165) )</f>
        <v>0.93706224856795706</v>
      </c>
      <c r="AT71" s="401">
        <f>( SUM(BWXBRS!AT$156)) /  ( SUM(BWXBRS!AT$156) + SUM(BWXBRS!AT$163) + SUM(BWXBRS!AT$164) + SUM(BWXBRS!AT$165) )</f>
        <v>0.93730444552424086</v>
      </c>
      <c r="AU71" s="401">
        <f>( SUM(BWXBRS!AU$156)) /  ( SUM(BWXBRS!AU$156) + SUM(BWXBRS!AU$163) + SUM(BWXBRS!AU$164) + SUM(BWXBRS!AU$165) )</f>
        <v>0.93754403890040006</v>
      </c>
      <c r="AV71" s="401">
        <f>( SUM(BWXBRS!AV$156)) /  ( SUM(BWXBRS!AV$156) + SUM(BWXBRS!AV$163) + SUM(BWXBRS!AV$164) + SUM(BWXBRS!AV$165) )</f>
        <v>0.93777452047201137</v>
      </c>
      <c r="AW71" s="401">
        <f>( SUM(BWXBRS!AW$156)) /  ( SUM(BWXBRS!AW$156) + SUM(BWXBRS!AW$163) + SUM(BWXBRS!AW$164) + SUM(BWXBRS!AW$165) )</f>
        <v>0.93800910055508668</v>
      </c>
      <c r="AX71" s="401">
        <f>( SUM(BWXBRS!AX$156)) /  ( SUM(BWXBRS!AX$156) + SUM(BWXBRS!AX$163) + SUM(BWXBRS!AX$164) + SUM(BWXBRS!AX$165) )</f>
        <v>0.93824119859013078</v>
      </c>
      <c r="AY71" s="401">
        <f>( SUM(BWXBRS!AY$156)) /  ( SUM(BWXBRS!AY$156) + SUM(BWXBRS!AY$163) + SUM(BWXBRS!AY$164) + SUM(BWXBRS!AY$165) )</f>
        <v>0.93846450709637541</v>
      </c>
      <c r="AZ71" s="401">
        <f>( SUM(BWXBRS!AZ$156)) /  ( SUM(BWXBRS!AZ$156) + SUM(BWXBRS!AZ$163) + SUM(BWXBRS!AZ$164) + SUM(BWXBRS!AZ$165) )</f>
        <v>0.93869182405294027</v>
      </c>
      <c r="BA71" s="401">
        <f>( SUM(BWXBRS!BA$156)) /  ( SUM(BWXBRS!BA$156) + SUM(BWXBRS!BA$163) + SUM(BWXBRS!BA$164) + SUM(BWXBRS!BA$165) )</f>
        <v>0.93891055610892826</v>
      </c>
      <c r="BB71" s="401">
        <f>( SUM(BWXBRS!BB$156)) /  ( SUM(BWXBRS!BB$156) + SUM(BWXBRS!BB$163) + SUM(BWXBRS!BB$164) + SUM(BWXBRS!BB$165) )</f>
        <v>0.93913323821096817</v>
      </c>
      <c r="BC71" s="401">
        <f>( SUM(BWXBRS!BC$156)) /  ( SUM(BWXBRS!BC$156) + SUM(BWXBRS!BC$163) + SUM(BWXBRS!BC$164) + SUM(BWXBRS!BC$165) )</f>
        <v>0.93935362421685331</v>
      </c>
      <c r="BD71" s="401">
        <f>( SUM(BWXBRS!BD$156)) /  ( SUM(BWXBRS!BD$156) + SUM(BWXBRS!BD$163) + SUM(BWXBRS!BD$164) + SUM(BWXBRS!BD$165) )</f>
        <v>0.93956572064133326</v>
      </c>
      <c r="BE71" s="401">
        <f>( SUM(BWXBRS!BE$156)) /  ( SUM(BWXBRS!BE$156) + SUM(BWXBRS!BE$163) + SUM(BWXBRS!BE$164) + SUM(BWXBRS!BE$165) )</f>
        <v>0.93978168110259319</v>
      </c>
      <c r="BF71" s="401">
        <f>( SUM(BWXBRS!BF$156)) /  ( SUM(BWXBRS!BF$156) + SUM(BWXBRS!BF$163) + SUM(BWXBRS!BF$164) + SUM(BWXBRS!BF$165) )</f>
        <v>0.93999544838223925</v>
      </c>
      <c r="BG71" s="401">
        <f>( SUM(BWXBRS!BG$156)) /  ( SUM(BWXBRS!BG$156) + SUM(BWXBRS!BG$163) + SUM(BWXBRS!BG$164) + SUM(BWXBRS!BG$165) )</f>
        <v>0.94020120661429929</v>
      </c>
      <c r="BH71" s="401">
        <f>( SUM(BWXBRS!BH$156)) /  ( SUM(BWXBRS!BH$156) + SUM(BWXBRS!BH$163) + SUM(BWXBRS!BH$164) + SUM(BWXBRS!BH$165) )</f>
        <v>0.94041074524321688</v>
      </c>
      <c r="BI71" s="401">
        <f>( SUM(BWXBRS!BI$156)) /  ( SUM(BWXBRS!BI$156) + SUM(BWXBRS!BI$163) + SUM(BWXBRS!BI$164) + SUM(BWXBRS!BI$165) )</f>
        <v>0.94061818754540993</v>
      </c>
      <c r="BJ71" s="401">
        <f>( SUM(BWXBRS!BJ$156)) /  ( SUM(BWXBRS!BJ$156) + SUM(BWXBRS!BJ$163) + SUM(BWXBRS!BJ$164) + SUM(BWXBRS!BJ$165) )</f>
        <v>0.94081788750936379</v>
      </c>
      <c r="BK71" s="401">
        <f>( SUM(BWXBRS!BK$156)) /  ( SUM(BWXBRS!BK$156) + SUM(BWXBRS!BK$163) + SUM(BWXBRS!BK$164) + SUM(BWXBRS!BK$165) )</f>
        <v>0.94102128654587336</v>
      </c>
      <c r="BL71" s="401">
        <f>( SUM(BWXBRS!BL$156)) /  ( SUM(BWXBRS!BL$156) + SUM(BWXBRS!BL$163) + SUM(BWXBRS!BL$164) + SUM(BWXBRS!BL$165) )</f>
        <v>0.94121711302586741</v>
      </c>
      <c r="BM71" s="401">
        <f>( SUM(BWXBRS!BM$156)) /  ( SUM(BWXBRS!BM$156) + SUM(BWXBRS!BM$163) + SUM(BWXBRS!BM$164) + SUM(BWXBRS!BM$165) )</f>
        <v>0.9414165858662723</v>
      </c>
      <c r="BN71" s="401">
        <f>( SUM(BWXBRS!BN$156)) /  ( SUM(BWXBRS!BN$156) + SUM(BWXBRS!BN$163) + SUM(BWXBRS!BN$164) + SUM(BWXBRS!BN$165) )</f>
        <v>0.94161411125007743</v>
      </c>
      <c r="BO71" s="401">
        <f>( SUM(BWXBRS!BO$156)) /  ( SUM(BWXBRS!BO$156) + SUM(BWXBRS!BO$163) + SUM(BWXBRS!BO$164) + SUM(BWXBRS!BO$165) )</f>
        <v>0.94180430971489604</v>
      </c>
      <c r="BP71" s="401">
        <f>( SUM(BWXBRS!BP$156)) /  ( SUM(BWXBRS!BP$156) + SUM(BWXBRS!BP$163) + SUM(BWXBRS!BP$164) + SUM(BWXBRS!BP$165) )</f>
        <v>1</v>
      </c>
      <c r="BQ71" s="401">
        <f>( SUM(BWXBRS!BQ$156)) /  ( SUM(BWXBRS!BQ$156) + SUM(BWXBRS!BQ$163) + SUM(BWXBRS!BQ$164) + SUM(BWXBRS!BQ$165) )</f>
        <v>1</v>
      </c>
      <c r="BR71" s="401">
        <f>( SUM(BWXBRS!BR$156)) /  ( SUM(BWXBRS!BR$156) + SUM(BWXBRS!BR$163) + SUM(BWXBRS!BR$164) + SUM(BWXBRS!BR$165) )</f>
        <v>1</v>
      </c>
      <c r="BS71" s="401">
        <f>( SUM(BWXBRS!BS$156)) /  ( SUM(BWXBRS!BS$156) + SUM(BWXBRS!BS$163) + SUM(BWXBRS!BS$164) + SUM(BWXBRS!BS$165) )</f>
        <v>1</v>
      </c>
      <c r="BT71" s="401">
        <f>( SUM(BWXBRS!BT$156)) /  ( SUM(BWXBRS!BT$156) + SUM(BWXBRS!BT$163) + SUM(BWXBRS!BT$164) + SUM(BWXBRS!BT$165) )</f>
        <v>1</v>
      </c>
      <c r="BU71" s="401">
        <f>( SUM(BWXBRS!BU$156)) /  ( SUM(BWXBRS!BU$156) + SUM(BWXBRS!BU$163) + SUM(BWXBRS!BU$164) + SUM(BWXBRS!BU$165) )</f>
        <v>1</v>
      </c>
      <c r="BV71" s="401">
        <f>( SUM(BWXBRS!BV$156)) /  ( SUM(BWXBRS!BV$156) + SUM(BWXBRS!BV$163) + SUM(BWXBRS!BV$164) + SUM(BWXBRS!BV$165) )</f>
        <v>1</v>
      </c>
      <c r="BW71" s="401">
        <f>( SUM(BWXBRS!BW$156)) /  ( SUM(BWXBRS!BW$156) + SUM(BWXBRS!BW$163) + SUM(BWXBRS!BW$164) + SUM(BWXBRS!BW$165) )</f>
        <v>1</v>
      </c>
      <c r="BX71" s="401">
        <f>( SUM(BWXBRS!BX$156)) /  ( SUM(BWXBRS!BX$156) + SUM(BWXBRS!BX$163) + SUM(BWXBRS!BX$164) + SUM(BWXBRS!BX$165) )</f>
        <v>1</v>
      </c>
      <c r="BY71" s="401">
        <f>( SUM(BWXBRS!BY$156)) /  ( SUM(BWXBRS!BY$156) + SUM(BWXBRS!BY$163) + SUM(BWXBRS!BY$164) + SUM(BWXBRS!BY$165) )</f>
        <v>1</v>
      </c>
      <c r="BZ71" s="401">
        <f>( SUM(BWXBRS!BZ$156)) /  ( SUM(BWXBRS!BZ$156) + SUM(BWXBRS!BZ$163) + SUM(BWXBRS!BZ$164) + SUM(BWXBRS!BZ$165) )</f>
        <v>1</v>
      </c>
      <c r="CA71" s="401">
        <f>( SUM(BWXBRS!CA$156)) /  ( SUM(BWXBRS!CA$156) + SUM(BWXBRS!CA$163) + SUM(BWXBRS!CA$164) + SUM(BWXBRS!CA$165) )</f>
        <v>1</v>
      </c>
      <c r="CB71" s="401">
        <f>( SUM(BWXBRS!CB$156)) /  ( SUM(BWXBRS!CB$156) + SUM(BWXBRS!CB$163) + SUM(BWXBRS!CB$164) + SUM(BWXBRS!CB$165) )</f>
        <v>1</v>
      </c>
      <c r="CC71" s="401">
        <f>( SUM(BWXBRS!CC$156)) /  ( SUM(BWXBRS!CC$156) + SUM(BWXBRS!CC$163) + SUM(BWXBRS!CC$164) + SUM(BWXBRS!CC$165) )</f>
        <v>1</v>
      </c>
      <c r="CD71" s="401">
        <f>( SUM(BWXBRS!CD$156)) /  ( SUM(BWXBRS!CD$156) + SUM(BWXBRS!CD$163) + SUM(BWXBRS!CD$164) + SUM(BWXBRS!CD$165) )</f>
        <v>1</v>
      </c>
      <c r="CE71" s="401">
        <f>( SUM(BWXBRS!CE$156)) /  ( SUM(BWXBRS!CE$156) + SUM(BWXBRS!CE$163) + SUM(BWXBRS!CE$164) + SUM(BWXBRS!CE$165) )</f>
        <v>1</v>
      </c>
      <c r="CF71" s="401">
        <f>( SUM(BWXBRS!CF$156)) /  ( SUM(BWXBRS!CF$156) + SUM(BWXBRS!CF$163) + SUM(BWXBRS!CF$164) + SUM(BWXBRS!CF$165) )</f>
        <v>1</v>
      </c>
      <c r="CG71" s="401">
        <f>( SUM(BWXBRS!CG$156)) /  ( SUM(BWXBRS!CG$156) + SUM(BWXBRS!CG$163) + SUM(BWXBRS!CG$164) + SUM(BWXBRS!CG$165) )</f>
        <v>1</v>
      </c>
      <c r="CH71" s="401" t="e">
        <v>#DIV/0!</v>
      </c>
      <c r="CI71" s="401" t="e">
        <v>#DIV/0!</v>
      </c>
      <c r="CJ71" s="1202" t="e">
        <v>#DIV/0!</v>
      </c>
    </row>
    <row r="72" spans="2:88" ht="28.2" thickBot="1" x14ac:dyDescent="0.3">
      <c r="B72" s="1169" t="s">
        <v>312</v>
      </c>
      <c r="C72" s="1170" t="s">
        <v>287</v>
      </c>
      <c r="D72" s="491" t="s">
        <v>313</v>
      </c>
      <c r="E72" s="1170" t="s">
        <v>146</v>
      </c>
      <c r="F72" s="492">
        <v>2</v>
      </c>
      <c r="G72" s="402"/>
      <c r="H72" s="402"/>
      <c r="I72" s="402">
        <f>SUM(BWXBRS!I$133) + SUM(BWXBRS!I$135) - SUM(BWXBRS!I$145) - SUM(BWXBRS!I$146)</f>
        <v>57.508380664160839</v>
      </c>
      <c r="J72" s="402">
        <f>SUM(BWXBRS!J$133) + SUM(BWXBRS!J$135) - SUM(BWXBRS!J$145) - SUM(BWXBRS!J$146)</f>
        <v>57.679339247338142</v>
      </c>
      <c r="K72" s="402">
        <f>SUM(BWXBRS!K$133) + SUM(BWXBRS!K$135) - SUM(BWXBRS!K$145) - SUM(BWXBRS!K$146)</f>
        <v>57.962641199667033</v>
      </c>
      <c r="L72" s="402">
        <f>SUM(BWXBRS!L$133) + SUM(BWXBRS!L$135) - SUM(BWXBRS!L$145) - SUM(BWXBRS!L$146)</f>
        <v>58.135175213317723</v>
      </c>
      <c r="M72" s="402">
        <f>SUM(BWXBRS!M$133) + SUM(BWXBRS!M$135) - SUM(BWXBRS!M$145) - SUM(BWXBRS!M$146)</f>
        <v>58.148949368882747</v>
      </c>
      <c r="N72" s="402">
        <f>SUM(BWXBRS!N$133) + SUM(BWXBRS!N$135) - SUM(BWXBRS!N$145) - SUM(BWXBRS!N$146)</f>
        <v>57.920734912165372</v>
      </c>
      <c r="O72" s="402">
        <f>SUM(BWXBRS!O$133) + SUM(BWXBRS!O$135) - SUM(BWXBRS!O$145) - SUM(BWXBRS!O$146)</f>
        <v>57.569392575006418</v>
      </c>
      <c r="P72" s="402">
        <f>SUM(BWXBRS!P$133) + SUM(BWXBRS!P$135) - SUM(BWXBRS!P$145) - SUM(BWXBRS!P$146)</f>
        <v>57.115789071637593</v>
      </c>
      <c r="Q72" s="402">
        <f>SUM(BWXBRS!Q$133) + SUM(BWXBRS!Q$135) - SUM(BWXBRS!Q$145) - SUM(BWXBRS!Q$146)</f>
        <v>56.555237544545918</v>
      </c>
      <c r="R72" s="402">
        <f>SUM(BWXBRS!R$133) + SUM(BWXBRS!R$135) - SUM(BWXBRS!R$145) - SUM(BWXBRS!R$146)</f>
        <v>55.79455388214997</v>
      </c>
      <c r="S72" s="402">
        <f>SUM(BWXBRS!S$133) + SUM(BWXBRS!S$135) - SUM(BWXBRS!S$145) - SUM(BWXBRS!S$146)</f>
        <v>54.978155802082199</v>
      </c>
      <c r="T72" s="402">
        <f>SUM(BWXBRS!T$133) + SUM(BWXBRS!T$135) - SUM(BWXBRS!T$145) - SUM(BWXBRS!T$146)</f>
        <v>54.039787486651058</v>
      </c>
      <c r="U72" s="402">
        <f>SUM(BWXBRS!U$133) + SUM(BWXBRS!U$135) - SUM(BWXBRS!U$145) - SUM(BWXBRS!U$146)</f>
        <v>52.991706689419949</v>
      </c>
      <c r="V72" s="402">
        <f>SUM(BWXBRS!V$133) + SUM(BWXBRS!V$135) - SUM(BWXBRS!V$145) - SUM(BWXBRS!V$146)</f>
        <v>51.80072554793815</v>
      </c>
      <c r="W72" s="402">
        <f>SUM(BWXBRS!W$133) + SUM(BWXBRS!W$135) - SUM(BWXBRS!W$145) - SUM(BWXBRS!W$146)</f>
        <v>50.526764115458732</v>
      </c>
      <c r="X72" s="402">
        <f>SUM(BWXBRS!X$133) + SUM(BWXBRS!X$135) - SUM(BWXBRS!X$145) - SUM(BWXBRS!X$146)</f>
        <v>49.153839126221158</v>
      </c>
      <c r="Y72" s="402">
        <f>SUM(BWXBRS!Y$133) + SUM(BWXBRS!Y$135) - SUM(BWXBRS!Y$145) - SUM(BWXBRS!Y$146)</f>
        <v>47.773338459235454</v>
      </c>
      <c r="Z72" s="402">
        <f>SUM(BWXBRS!Z$133) + SUM(BWXBRS!Z$135) - SUM(BWXBRS!Z$145) - SUM(BWXBRS!Z$146)</f>
        <v>46.314723993850698</v>
      </c>
      <c r="AA72" s="402">
        <f>SUM(BWXBRS!AA$133) + SUM(BWXBRS!AA$135) - SUM(BWXBRS!AA$145) - SUM(BWXBRS!AA$146)</f>
        <v>44.697514020283066</v>
      </c>
      <c r="AB72" s="402">
        <f>SUM(BWXBRS!AB$133) + SUM(BWXBRS!AB$135) - SUM(BWXBRS!AB$145) - SUM(BWXBRS!AB$146)</f>
        <v>43.268044632043619</v>
      </c>
      <c r="AC72" s="402">
        <f>SUM(BWXBRS!AC$133) + SUM(BWXBRS!AC$135) - SUM(BWXBRS!AC$145) - SUM(BWXBRS!AC$146)</f>
        <v>42.03649881293186</v>
      </c>
      <c r="AD72" s="402">
        <f>SUM(BWXBRS!AD$133) + SUM(BWXBRS!AD$135) - SUM(BWXBRS!AD$145) - SUM(BWXBRS!AD$146)</f>
        <v>41.049864964285277</v>
      </c>
      <c r="AE72" s="402">
        <f>SUM(BWXBRS!AE$133) + SUM(BWXBRS!AE$135) - SUM(BWXBRS!AE$145) - SUM(BWXBRS!AE$146)</f>
        <v>40.306527079669436</v>
      </c>
      <c r="AF72" s="402">
        <f>SUM(BWXBRS!AF$133) + SUM(BWXBRS!AF$135) - SUM(BWXBRS!AF$145) - SUM(BWXBRS!AF$146)</f>
        <v>39.805100459147795</v>
      </c>
      <c r="AG72" s="402">
        <f>SUM(BWXBRS!AG$133) + SUM(BWXBRS!AG$135) - SUM(BWXBRS!AG$145) - SUM(BWXBRS!AG$146)</f>
        <v>39.544213472496018</v>
      </c>
      <c r="AH72" s="402">
        <f>SUM(BWXBRS!AH$133) + SUM(BWXBRS!AH$135) - SUM(BWXBRS!AH$145) - SUM(BWXBRS!AH$146)</f>
        <v>39.522501518320738</v>
      </c>
      <c r="AI72" s="402">
        <f>SUM(BWXBRS!AI$133) + SUM(BWXBRS!AI$135) - SUM(BWXBRS!AI$145) - SUM(BWXBRS!AI$146)</f>
        <v>39.738605913422795</v>
      </c>
      <c r="AJ72" s="402">
        <f>SUM(BWXBRS!AJ$133) + SUM(BWXBRS!AJ$135) - SUM(BWXBRS!AJ$145) - SUM(BWXBRS!AJ$146)</f>
        <v>40.191085865879607</v>
      </c>
      <c r="AK72" s="402">
        <f>SUM(BWXBRS!AK$133) + SUM(BWXBRS!AK$135) - SUM(BWXBRS!AK$145) - SUM(BWXBRS!AK$146)</f>
        <v>40.87836195349098</v>
      </c>
      <c r="AL72" s="402">
        <f>SUM(BWXBRS!AL$133) + SUM(BWXBRS!AL$135) - SUM(BWXBRS!AL$145) - SUM(BWXBRS!AL$146)</f>
        <v>41.803119093514681</v>
      </c>
      <c r="AM72" s="402">
        <f>SUM(BWXBRS!AM$133) + SUM(BWXBRS!AM$135) - SUM(BWXBRS!AM$145) - SUM(BWXBRS!AM$146)</f>
        <v>42.964097519893627</v>
      </c>
      <c r="AN72" s="402">
        <f>SUM(BWXBRS!AN$133) + SUM(BWXBRS!AN$135) - SUM(BWXBRS!AN$145) - SUM(BWXBRS!AN$146)</f>
        <v>44.356287969087255</v>
      </c>
      <c r="AO72" s="402">
        <f>SUM(BWXBRS!AO$133) + SUM(BWXBRS!AO$135) - SUM(BWXBRS!AO$145) - SUM(BWXBRS!AO$146)</f>
        <v>45.978060352678163</v>
      </c>
      <c r="AP72" s="402">
        <f>SUM(BWXBRS!AP$133) + SUM(BWXBRS!AP$135) - SUM(BWXBRS!AP$145) - SUM(BWXBRS!AP$146)</f>
        <v>47.827717610331106</v>
      </c>
      <c r="AQ72" s="402">
        <f>SUM(BWXBRS!AQ$133) + SUM(BWXBRS!AQ$135) - SUM(BWXBRS!AQ$145) - SUM(BWXBRS!AQ$146)</f>
        <v>49.731416912139231</v>
      </c>
      <c r="AR72" s="402">
        <f>SUM(BWXBRS!AR$133) + SUM(BWXBRS!AR$135) - SUM(BWXBRS!AR$145) - SUM(BWXBRS!AR$146)</f>
        <v>51.516478542457165</v>
      </c>
      <c r="AS72" s="402">
        <f>SUM(BWXBRS!AS$133) + SUM(BWXBRS!AS$135) - SUM(BWXBRS!AS$145) - SUM(BWXBRS!AS$146)</f>
        <v>53.183717905392967</v>
      </c>
      <c r="AT72" s="402">
        <f>SUM(BWXBRS!AT$133) + SUM(BWXBRS!AT$135) - SUM(BWXBRS!AT$145) - SUM(BWXBRS!AT$146)</f>
        <v>54.733775910542121</v>
      </c>
      <c r="AU72" s="402">
        <f>SUM(BWXBRS!AU$133) + SUM(BWXBRS!AU$135) - SUM(BWXBRS!AU$145) - SUM(BWXBRS!AU$146)</f>
        <v>56.167273461251341</v>
      </c>
      <c r="AV72" s="402">
        <f>SUM(BWXBRS!AV$133) + SUM(BWXBRS!AV$135) - SUM(BWXBRS!AV$145) - SUM(BWXBRS!AV$146)</f>
        <v>57.484812742941287</v>
      </c>
      <c r="AW72" s="402">
        <f>SUM(BWXBRS!AW$133) + SUM(BWXBRS!AW$135) - SUM(BWXBRS!AW$145) - SUM(BWXBRS!AW$146)</f>
        <v>58.686977280690392</v>
      </c>
      <c r="AX72" s="402">
        <f>SUM(BWXBRS!AX$133) + SUM(BWXBRS!AX$135) - SUM(BWXBRS!AX$145) - SUM(BWXBRS!AX$146)</f>
        <v>59.774334568146685</v>
      </c>
      <c r="AY72" s="402">
        <f>SUM(BWXBRS!AY$133) + SUM(BWXBRS!AY$135) - SUM(BWXBRS!AY$145) - SUM(BWXBRS!AY$146)</f>
        <v>60.747435933850397</v>
      </c>
      <c r="AZ72" s="402">
        <f>SUM(BWXBRS!AZ$133) + SUM(BWXBRS!AZ$135) - SUM(BWXBRS!AZ$145) - SUM(BWXBRS!AZ$146)</f>
        <v>61.606817466660878</v>
      </c>
      <c r="BA72" s="402">
        <f>SUM(BWXBRS!BA$133) + SUM(BWXBRS!BA$135) - SUM(BWXBRS!BA$145) - SUM(BWXBRS!BA$146)</f>
        <v>62.353002050624909</v>
      </c>
      <c r="BB72" s="402">
        <f>SUM(BWXBRS!BB$133) + SUM(BWXBRS!BB$135) - SUM(BWXBRS!BB$145) - SUM(BWXBRS!BB$146)</f>
        <v>62.986498631191097</v>
      </c>
      <c r="BC72" s="402">
        <f>SUM(BWXBRS!BC$133) + SUM(BWXBRS!BC$135) - SUM(BWXBRS!BC$145) - SUM(BWXBRS!BC$146)</f>
        <v>63.507804493268146</v>
      </c>
      <c r="BD72" s="402">
        <f>SUM(BWXBRS!BD$133) + SUM(BWXBRS!BD$135) - SUM(BWXBRS!BD$145) - SUM(BWXBRS!BD$146)</f>
        <v>63.91740481042563</v>
      </c>
      <c r="BE72" s="402">
        <f>SUM(BWXBRS!BE$133) + SUM(BWXBRS!BE$135) - SUM(BWXBRS!BE$145) - SUM(BWXBRS!BE$146)</f>
        <v>64.215773292886212</v>
      </c>
      <c r="BF72" s="402">
        <f>SUM(BWXBRS!BF$133) + SUM(BWXBRS!BF$135) - SUM(BWXBRS!BF$145) - SUM(BWXBRS!BF$146)</f>
        <v>64.459695928465266</v>
      </c>
      <c r="BG72" s="402">
        <f>SUM(BWXBRS!BG$133) + SUM(BWXBRS!BG$135) - SUM(BWXBRS!BG$145) - SUM(BWXBRS!BG$146)</f>
        <v>64.705713158007569</v>
      </c>
      <c r="BH72" s="402">
        <f>SUM(BWXBRS!BH$133) + SUM(BWXBRS!BH$135) - SUM(BWXBRS!BH$145) - SUM(BWXBRS!BH$146)</f>
        <v>64.953806981174182</v>
      </c>
      <c r="BI72" s="402">
        <f>SUM(BWXBRS!BI$133) + SUM(BWXBRS!BI$135) - SUM(BWXBRS!BI$145) - SUM(BWXBRS!BI$146)</f>
        <v>65.203959017612476</v>
      </c>
      <c r="BJ72" s="402">
        <f>SUM(BWXBRS!BJ$133) + SUM(BWXBRS!BJ$135) - SUM(BWXBRS!BJ$145) - SUM(BWXBRS!BJ$146)</f>
        <v>65.456153487448617</v>
      </c>
      <c r="BK72" s="402">
        <f>SUM(BWXBRS!BK$133) + SUM(BWXBRS!BK$135) - SUM(BWXBRS!BK$145) - SUM(BWXBRS!BK$146)</f>
        <v>65.710374490074386</v>
      </c>
      <c r="BL72" s="402">
        <f>SUM(BWXBRS!BL$133) + SUM(BWXBRS!BL$135) - SUM(BWXBRS!BL$145) - SUM(BWXBRS!BL$146)</f>
        <v>65.966607483782127</v>
      </c>
      <c r="BM72" s="402">
        <f>SUM(BWXBRS!BM$133) + SUM(BWXBRS!BM$135) - SUM(BWXBRS!BM$145) - SUM(BWXBRS!BM$146)</f>
        <v>66.224838847762044</v>
      </c>
      <c r="BN72" s="402">
        <f>SUM(BWXBRS!BN$133) + SUM(BWXBRS!BN$135) - SUM(BWXBRS!BN$145) - SUM(BWXBRS!BN$146)</f>
        <v>66.485056222392473</v>
      </c>
      <c r="BO72" s="402">
        <f>SUM(BWXBRS!BO$133) + SUM(BWXBRS!BO$135) - SUM(BWXBRS!BO$145) - SUM(BWXBRS!BO$146)</f>
        <v>66.747247700535738</v>
      </c>
      <c r="BP72" s="402">
        <f>SUM(BWXBRS!BP$133) + SUM(BWXBRS!BP$135) - SUM(BWXBRS!BP$145) - SUM(BWXBRS!BP$146)</f>
        <v>0</v>
      </c>
      <c r="BQ72" s="402">
        <f>SUM(BWXBRS!BQ$133) + SUM(BWXBRS!BQ$135) - SUM(BWXBRS!BQ$145) - SUM(BWXBRS!BQ$146)</f>
        <v>0</v>
      </c>
      <c r="BR72" s="402">
        <f>SUM(BWXBRS!BR$133) + SUM(BWXBRS!BR$135) - SUM(BWXBRS!BR$145) - SUM(BWXBRS!BR$146)</f>
        <v>0</v>
      </c>
      <c r="BS72" s="402">
        <f>SUM(BWXBRS!BS$133) + SUM(BWXBRS!BS$135) - SUM(BWXBRS!BS$145) - SUM(BWXBRS!BS$146)</f>
        <v>0</v>
      </c>
      <c r="BT72" s="402">
        <f>SUM(BWXBRS!BT$133) + SUM(BWXBRS!BT$135) - SUM(BWXBRS!BT$145) - SUM(BWXBRS!BT$146)</f>
        <v>0</v>
      </c>
      <c r="BU72" s="402">
        <f>SUM(BWXBRS!BU$133) + SUM(BWXBRS!BU$135) - SUM(BWXBRS!BU$145) - SUM(BWXBRS!BU$146)</f>
        <v>0</v>
      </c>
      <c r="BV72" s="402">
        <f>SUM(BWXBRS!BV$133) + SUM(BWXBRS!BV$135) - SUM(BWXBRS!BV$145) - SUM(BWXBRS!BV$146)</f>
        <v>0</v>
      </c>
      <c r="BW72" s="402">
        <f>SUM(BWXBRS!BW$133) + SUM(BWXBRS!BW$135) - SUM(BWXBRS!BW$145) - SUM(BWXBRS!BW$146)</f>
        <v>0</v>
      </c>
      <c r="BX72" s="402">
        <f>SUM(BWXBRS!BX$133) + SUM(BWXBRS!BX$135) - SUM(BWXBRS!BX$145) - SUM(BWXBRS!BX$146)</f>
        <v>0</v>
      </c>
      <c r="BY72" s="402">
        <f>SUM(BWXBRS!BY$133) + SUM(BWXBRS!BY$135) - SUM(BWXBRS!BY$145) - SUM(BWXBRS!BY$146)</f>
        <v>0</v>
      </c>
      <c r="BZ72" s="402">
        <f>SUM(BWXBRS!BZ$133) + SUM(BWXBRS!BZ$135) - SUM(BWXBRS!BZ$145) - SUM(BWXBRS!BZ$146)</f>
        <v>0</v>
      </c>
      <c r="CA72" s="402">
        <f>SUM(BWXBRS!CA$133) + SUM(BWXBRS!CA$135) - SUM(BWXBRS!CA$145) - SUM(BWXBRS!CA$146)</f>
        <v>0</v>
      </c>
      <c r="CB72" s="402">
        <f>SUM(BWXBRS!CB$133) + SUM(BWXBRS!CB$135) - SUM(BWXBRS!CB$145) - SUM(BWXBRS!CB$146)</f>
        <v>0</v>
      </c>
      <c r="CC72" s="402">
        <f>SUM(BWXBRS!CC$133) + SUM(BWXBRS!CC$135) - SUM(BWXBRS!CC$145) - SUM(BWXBRS!CC$146)</f>
        <v>0</v>
      </c>
      <c r="CD72" s="402">
        <f>SUM(BWXBRS!CD$133) + SUM(BWXBRS!CD$135) - SUM(BWXBRS!CD$145) - SUM(BWXBRS!CD$146)</f>
        <v>0</v>
      </c>
      <c r="CE72" s="402">
        <f>SUM(BWXBRS!CE$133) + SUM(BWXBRS!CE$135) - SUM(BWXBRS!CE$145) - SUM(BWXBRS!CE$146)</f>
        <v>0</v>
      </c>
      <c r="CF72" s="402">
        <f>SUM(BWXBRS!CF$133) + SUM(BWXBRS!CF$135) - SUM(BWXBRS!CF$145) - SUM(BWXBRS!CF$146)</f>
        <v>0</v>
      </c>
      <c r="CG72" s="402">
        <f>SUM(BWXBRS!CG$133) + SUM(BWXBRS!CG$135) - SUM(BWXBRS!CG$145) - SUM(BWXBRS!CG$146)</f>
        <v>0</v>
      </c>
      <c r="CH72" s="402">
        <v>0</v>
      </c>
      <c r="CI72" s="402">
        <v>0</v>
      </c>
      <c r="CJ72" s="1203">
        <v>0</v>
      </c>
    </row>
    <row r="73" spans="2:88" ht="14.4" thickBot="1" x14ac:dyDescent="0.3">
      <c r="B73" s="1166" t="s">
        <v>314</v>
      </c>
      <c r="C73" s="541" t="s">
        <v>153</v>
      </c>
      <c r="D73" s="542" t="s">
        <v>315</v>
      </c>
      <c r="E73" s="541" t="s">
        <v>146</v>
      </c>
      <c r="F73" s="543">
        <v>2</v>
      </c>
      <c r="G73" s="399"/>
      <c r="H73" s="399"/>
      <c r="I73" s="399">
        <f>SUM(BWXBRS!I$151)</f>
        <v>35.646000000000001</v>
      </c>
      <c r="J73" s="399">
        <f>SUM(BWXBRS!J$151)</f>
        <v>31.59713329947148</v>
      </c>
      <c r="K73" s="399">
        <f>SUM(BWXBRS!K$151)</f>
        <v>32.497133299471479</v>
      </c>
      <c r="L73" s="399">
        <f>SUM(BWXBRS!L$151)</f>
        <v>32.09713329947148</v>
      </c>
      <c r="M73" s="399">
        <f>SUM(BWXBRS!M$151)</f>
        <v>31.728969974273923</v>
      </c>
      <c r="N73" s="399">
        <f>SUM(BWXBRS!N$151)</f>
        <v>31.077954668384791</v>
      </c>
      <c r="O73" s="399">
        <f>SUM(BWXBRS!O$151)</f>
        <v>30.395913329155491</v>
      </c>
      <c r="P73" s="399">
        <f>SUM(BWXBRS!P$151)</f>
        <v>29.916872332931433</v>
      </c>
      <c r="Q73" s="399">
        <f>SUM(BWXBRS!Q$151)</f>
        <v>29.473916413778731</v>
      </c>
      <c r="R73" s="399">
        <f>SUM(BWXBRS!R$151)</f>
        <v>28.899652986075246</v>
      </c>
      <c r="S73" s="399">
        <f>SUM(BWXBRS!S$151)</f>
        <v>28.326677266360626</v>
      </c>
      <c r="T73" s="399">
        <f>SUM(BWXBRS!T$151)</f>
        <v>27.404021706091996</v>
      </c>
      <c r="U73" s="399">
        <f>SUM(BWXBRS!U$151)</f>
        <v>26.727498311574927</v>
      </c>
      <c r="V73" s="399">
        <f>SUM(BWXBRS!V$151)</f>
        <v>26.067170440554442</v>
      </c>
      <c r="W73" s="399">
        <f>SUM(BWXBRS!W$151)</f>
        <v>25.606060432039079</v>
      </c>
      <c r="X73" s="399">
        <f>SUM(BWXBRS!X$151)</f>
        <v>25.322553906270251</v>
      </c>
      <c r="Y73" s="399">
        <f>SUM(BWXBRS!Y$151)</f>
        <v>24.981479379181469</v>
      </c>
      <c r="Z73" s="399">
        <f>SUM(BWXBRS!Z$151)</f>
        <v>24.679717048766307</v>
      </c>
      <c r="AA73" s="399">
        <f>SUM(BWXBRS!AA$151)</f>
        <v>24.230087070271722</v>
      </c>
      <c r="AB73" s="399">
        <f>SUM(BWXBRS!AB$151)</f>
        <v>23.9708748134675</v>
      </c>
      <c r="AC73" s="399">
        <f>SUM(BWXBRS!AC$151)</f>
        <v>23.751148704411278</v>
      </c>
      <c r="AD73" s="399">
        <f>SUM(BWXBRS!AD$151)</f>
        <v>23.638810195663531</v>
      </c>
      <c r="AE73" s="399">
        <f>SUM(BWXBRS!AE$151)</f>
        <v>23.449526947155327</v>
      </c>
      <c r="AF73" s="399">
        <f>SUM(BWXBRS!AF$151)</f>
        <v>23.201395239571873</v>
      </c>
      <c r="AG73" s="399">
        <f>SUM(BWXBRS!AG$151)</f>
        <v>23.055479578419742</v>
      </c>
      <c r="AH73" s="399">
        <f>SUM(BWXBRS!AH$151)</f>
        <v>22.872004243842888</v>
      </c>
      <c r="AI73" s="399">
        <f>SUM(BWXBRS!AI$151)</f>
        <v>22.637858113120863</v>
      </c>
      <c r="AJ73" s="399">
        <f>SUM(BWXBRS!AJ$151)</f>
        <v>22.305000388295731</v>
      </c>
      <c r="AK73" s="399">
        <f>SUM(BWXBRS!AK$151)</f>
        <v>21.960514944256232</v>
      </c>
      <c r="AL73" s="399">
        <f>SUM(BWXBRS!AL$151)</f>
        <v>21.960514944256232</v>
      </c>
      <c r="AM73" s="399">
        <f>SUM(BWXBRS!AM$151)</f>
        <v>21.960514944256232</v>
      </c>
      <c r="AN73" s="399">
        <f>SUM(BWXBRS!AN$151)</f>
        <v>21.960514944256232</v>
      </c>
      <c r="AO73" s="399">
        <f>SUM(BWXBRS!AO$151)</f>
        <v>21.960514944256232</v>
      </c>
      <c r="AP73" s="399">
        <f>SUM(BWXBRS!AP$151)</f>
        <v>21.960514944256232</v>
      </c>
      <c r="AQ73" s="399">
        <f>SUM(BWXBRS!AQ$151)</f>
        <v>21.960514944256232</v>
      </c>
      <c r="AR73" s="399">
        <f>SUM(BWXBRS!AR$151)</f>
        <v>21.960514944256232</v>
      </c>
      <c r="AS73" s="399">
        <f>SUM(BWXBRS!AS$151)</f>
        <v>21.960514944256232</v>
      </c>
      <c r="AT73" s="399">
        <f>SUM(BWXBRS!AT$151)</f>
        <v>21.960514944256232</v>
      </c>
      <c r="AU73" s="399">
        <f>SUM(BWXBRS!AU$151)</f>
        <v>21.960514944256232</v>
      </c>
      <c r="AV73" s="399">
        <f>SUM(BWXBRS!AV$151)</f>
        <v>21.960514944256232</v>
      </c>
      <c r="AW73" s="399">
        <f>SUM(BWXBRS!AW$151)</f>
        <v>21.960514944256232</v>
      </c>
      <c r="AX73" s="399">
        <f>SUM(BWXBRS!AX$151)</f>
        <v>21.960514944256232</v>
      </c>
      <c r="AY73" s="399">
        <f>SUM(BWXBRS!AY$151)</f>
        <v>21.960514944256232</v>
      </c>
      <c r="AZ73" s="399">
        <f>SUM(BWXBRS!AZ$151)</f>
        <v>21.960514944256232</v>
      </c>
      <c r="BA73" s="399">
        <f>SUM(BWXBRS!BA$151)</f>
        <v>21.960514944256232</v>
      </c>
      <c r="BB73" s="399">
        <f>SUM(BWXBRS!BB$151)</f>
        <v>21.960514944256232</v>
      </c>
      <c r="BC73" s="399">
        <f>SUM(BWXBRS!BC$151)</f>
        <v>21.960514944256232</v>
      </c>
      <c r="BD73" s="399">
        <f>SUM(BWXBRS!BD$151)</f>
        <v>21.960514944256232</v>
      </c>
      <c r="BE73" s="399">
        <f>SUM(BWXBRS!BE$151)</f>
        <v>21.960514944256232</v>
      </c>
      <c r="BF73" s="399">
        <f>SUM(BWXBRS!BF$151)</f>
        <v>21.960514944256232</v>
      </c>
      <c r="BG73" s="399">
        <f>SUM(BWXBRS!BG$151)</f>
        <v>21.960514944256232</v>
      </c>
      <c r="BH73" s="399">
        <f>SUM(BWXBRS!BH$151)</f>
        <v>21.960514944256232</v>
      </c>
      <c r="BI73" s="399">
        <f>SUM(BWXBRS!BI$151)</f>
        <v>21.960514944256232</v>
      </c>
      <c r="BJ73" s="399">
        <f>SUM(BWXBRS!BJ$151)</f>
        <v>21.960514944256232</v>
      </c>
      <c r="BK73" s="399">
        <f>SUM(BWXBRS!BK$151)</f>
        <v>21.960514944256232</v>
      </c>
      <c r="BL73" s="399">
        <f>SUM(BWXBRS!BL$151)</f>
        <v>21.960514944256232</v>
      </c>
      <c r="BM73" s="399">
        <f>SUM(BWXBRS!BM$151)</f>
        <v>21.960514944256232</v>
      </c>
      <c r="BN73" s="399">
        <f>SUM(BWXBRS!BN$151)</f>
        <v>21.960514944256232</v>
      </c>
      <c r="BO73" s="399">
        <f>SUM(BWXBRS!BO$151)</f>
        <v>21.960514944256232</v>
      </c>
      <c r="BP73" s="399">
        <f>SUM(BWXBRS!BP$151)</f>
        <v>0</v>
      </c>
      <c r="BQ73" s="399">
        <f>SUM(BWXBRS!BQ$151)</f>
        <v>0</v>
      </c>
      <c r="BR73" s="399">
        <f>SUM(BWXBRS!BR$151)</f>
        <v>0</v>
      </c>
      <c r="BS73" s="399">
        <f>SUM(BWXBRS!BS$151)</f>
        <v>0</v>
      </c>
      <c r="BT73" s="399">
        <f>SUM(BWXBRS!BT$151)</f>
        <v>0</v>
      </c>
      <c r="BU73" s="399">
        <f>SUM(BWXBRS!BU$151)</f>
        <v>0</v>
      </c>
      <c r="BV73" s="399">
        <f>SUM(BWXBRS!BV$151)</f>
        <v>0</v>
      </c>
      <c r="BW73" s="399">
        <f>SUM(BWXBRS!BW$151)</f>
        <v>0</v>
      </c>
      <c r="BX73" s="399">
        <f>SUM(BWXBRS!BX$151)</f>
        <v>0</v>
      </c>
      <c r="BY73" s="399">
        <f>SUM(BWXBRS!BY$151)</f>
        <v>0</v>
      </c>
      <c r="BZ73" s="399">
        <f>SUM(BWXBRS!BZ$151)</f>
        <v>0</v>
      </c>
      <c r="CA73" s="399">
        <f>SUM(BWXBRS!CA$151)</f>
        <v>0</v>
      </c>
      <c r="CB73" s="399">
        <f>SUM(BWXBRS!CB$151)</f>
        <v>0</v>
      </c>
      <c r="CC73" s="399">
        <f>SUM(BWXBRS!CC$151)</f>
        <v>0</v>
      </c>
      <c r="CD73" s="399">
        <f>SUM(BWXBRS!CD$151)</f>
        <v>0</v>
      </c>
      <c r="CE73" s="399">
        <f>SUM(BWXBRS!CE$151)</f>
        <v>0</v>
      </c>
      <c r="CF73" s="399">
        <f>SUM(BWXBRS!CF$151)</f>
        <v>0</v>
      </c>
      <c r="CG73" s="399">
        <f>SUM(BWXBRS!CG$151)</f>
        <v>0</v>
      </c>
      <c r="CH73" s="399">
        <v>0</v>
      </c>
      <c r="CI73" s="399">
        <v>0</v>
      </c>
      <c r="CJ73" s="1200">
        <v>0</v>
      </c>
    </row>
    <row r="74" spans="2:88" ht="14.4" thickBot="1" x14ac:dyDescent="0.3">
      <c r="B74" s="1171" t="s">
        <v>316</v>
      </c>
      <c r="C74" s="493" t="s">
        <v>155</v>
      </c>
      <c r="D74" s="494" t="s">
        <v>317</v>
      </c>
      <c r="E74" s="493" t="s">
        <v>146</v>
      </c>
      <c r="F74" s="490">
        <v>2</v>
      </c>
      <c r="G74" s="399"/>
      <c r="H74" s="399"/>
      <c r="I74" s="399">
        <f>SUM(BWXBRS!I$175)</f>
        <v>283.43771864700085</v>
      </c>
      <c r="J74" s="399">
        <f>SUM(BWXBRS!J$175)</f>
        <v>278.92361535263348</v>
      </c>
      <c r="K74" s="399">
        <f>SUM(BWXBRS!K$175)</f>
        <v>279.54480200779875</v>
      </c>
      <c r="L74" s="399">
        <f>SUM(BWXBRS!L$175)</f>
        <v>278.93413189404333</v>
      </c>
      <c r="M74" s="399">
        <f>SUM(BWXBRS!M$175)</f>
        <v>278.14761980295498</v>
      </c>
      <c r="N74" s="399">
        <f>SUM(BWXBRS!N$175)</f>
        <v>275.35272303146263</v>
      </c>
      <c r="O74" s="399">
        <f>SUM(BWXBRS!O$175)</f>
        <v>272.15287641412834</v>
      </c>
      <c r="P74" s="399">
        <f>SUM(BWXBRS!P$175)</f>
        <v>269.06041905722549</v>
      </c>
      <c r="Q74" s="399">
        <f>SUM(BWXBRS!Q$175)</f>
        <v>265.94861981021927</v>
      </c>
      <c r="R74" s="399">
        <f>SUM(BWXBRS!R$175)</f>
        <v>259.98385387961207</v>
      </c>
      <c r="S74" s="399">
        <f>SUM(BWXBRS!S$175)</f>
        <v>253.80597958268089</v>
      </c>
      <c r="T74" s="399">
        <f>SUM(BWXBRS!T$175)</f>
        <v>249.46936527530039</v>
      </c>
      <c r="U74" s="399">
        <f>SUM(BWXBRS!U$175)</f>
        <v>245.29509735638987</v>
      </c>
      <c r="V74" s="399">
        <f>SUM(BWXBRS!V$175)</f>
        <v>240.98036691958609</v>
      </c>
      <c r="W74" s="399">
        <f>SUM(BWXBRS!W$175)</f>
        <v>238.27736979217178</v>
      </c>
      <c r="X74" s="399">
        <f>SUM(BWXBRS!X$175)</f>
        <v>235.65664922197251</v>
      </c>
      <c r="Y74" s="399">
        <f>SUM(BWXBRS!Y$175)</f>
        <v>233.01379708938995</v>
      </c>
      <c r="Z74" s="399">
        <f>SUM(BWXBRS!Z$175)</f>
        <v>230.36342736970551</v>
      </c>
      <c r="AA74" s="399">
        <f>SUM(BWXBRS!AA$175)</f>
        <v>227.48086875286799</v>
      </c>
      <c r="AB74" s="399">
        <f>SUM(BWXBRS!AB$175)</f>
        <v>225.40282843372097</v>
      </c>
      <c r="AC74" s="399">
        <f>SUM(BWXBRS!AC$175)</f>
        <v>223.97122122420748</v>
      </c>
      <c r="AD74" s="399">
        <f>SUM(BWXBRS!AD$175)</f>
        <v>222.95002957592189</v>
      </c>
      <c r="AE74" s="399">
        <f>SUM(BWXBRS!AE$175)</f>
        <v>222.09770071845452</v>
      </c>
      <c r="AF74" s="399">
        <f>SUM(BWXBRS!AF$175)</f>
        <v>221.44676260417864</v>
      </c>
      <c r="AG74" s="399">
        <f>SUM(BWXBRS!AG$175)</f>
        <v>220.94296309809184</v>
      </c>
      <c r="AH74" s="399">
        <f>SUM(BWXBRS!AH$175)</f>
        <v>220.47812057746029</v>
      </c>
      <c r="AI74" s="399">
        <f>SUM(BWXBRS!AI$175)</f>
        <v>220.23404006735083</v>
      </c>
      <c r="AJ74" s="399">
        <f>SUM(BWXBRS!AJ$175)</f>
        <v>220.13507084022308</v>
      </c>
      <c r="AK74" s="399">
        <f>SUM(BWXBRS!AK$175)</f>
        <v>220.23570276423536</v>
      </c>
      <c r="AL74" s="399">
        <f>SUM(BWXBRS!AL$175)</f>
        <v>220.97534224995189</v>
      </c>
      <c r="AM74" s="399">
        <f>SUM(BWXBRS!AM$175)</f>
        <v>221.99328790930434</v>
      </c>
      <c r="AN74" s="399">
        <f>SUM(BWXBRS!AN$175)</f>
        <v>223.22010171793383</v>
      </c>
      <c r="AO74" s="399">
        <f>SUM(BWXBRS!AO$175)</f>
        <v>224.71639354874057</v>
      </c>
      <c r="AP74" s="399">
        <f>SUM(BWXBRS!AP$175)</f>
        <v>226.45845108483755</v>
      </c>
      <c r="AQ74" s="399">
        <f>SUM(BWXBRS!AQ$175)</f>
        <v>230.9314864688665</v>
      </c>
      <c r="AR74" s="399">
        <f>SUM(BWXBRS!AR$175)</f>
        <v>235.65614331425391</v>
      </c>
      <c r="AS74" s="399">
        <f>SUM(BWXBRS!AS$175)</f>
        <v>237.86779527565062</v>
      </c>
      <c r="AT74" s="399">
        <f>SUM(BWXBRS!AT$175)</f>
        <v>240.1599930541332</v>
      </c>
      <c r="AU74" s="399">
        <f>SUM(BWXBRS!AU$175)</f>
        <v>242.3964930421773</v>
      </c>
      <c r="AV74" s="399">
        <f>SUM(BWXBRS!AV$175)</f>
        <v>244.48008730898673</v>
      </c>
      <c r="AW74" s="399">
        <f>SUM(BWXBRS!AW$175)</f>
        <v>246.4809335931283</v>
      </c>
      <c r="AX74" s="399">
        <f>SUM(BWXBRS!AX$175)</f>
        <v>248.36834642796543</v>
      </c>
      <c r="AY74" s="399">
        <f>SUM(BWXBRS!AY$175)</f>
        <v>250.09508181167209</v>
      </c>
      <c r="AZ74" s="399">
        <f>SUM(BWXBRS!AZ$175)</f>
        <v>251.73167152698252</v>
      </c>
      <c r="BA74" s="399">
        <f>SUM(BWXBRS!BA$175)</f>
        <v>253.22152302928816</v>
      </c>
      <c r="BB74" s="399">
        <f>SUM(BWXBRS!BB$175)</f>
        <v>254.63241381812676</v>
      </c>
      <c r="BC74" s="399">
        <f>SUM(BWXBRS!BC$175)</f>
        <v>255.92872641720115</v>
      </c>
      <c r="BD74" s="399">
        <f>SUM(BWXBRS!BD$175)</f>
        <v>257.08310725382529</v>
      </c>
      <c r="BE74" s="399">
        <f>SUM(BWXBRS!BE$175)</f>
        <v>258.15998939733299</v>
      </c>
      <c r="BF74" s="399">
        <f>SUM(BWXBRS!BF$175)</f>
        <v>259.17951566915946</v>
      </c>
      <c r="BG74" s="399">
        <f>SUM(BWXBRS!BG$175)</f>
        <v>260.17146666585586</v>
      </c>
      <c r="BH74" s="399">
        <f>SUM(BWXBRS!BH$175)</f>
        <v>261.19712628116645</v>
      </c>
      <c r="BI74" s="399">
        <f>SUM(BWXBRS!BI$175)</f>
        <v>262.2241302385109</v>
      </c>
      <c r="BJ74" s="399">
        <f>SUM(BWXBRS!BJ$175)</f>
        <v>263.22350652699026</v>
      </c>
      <c r="BK74" s="399">
        <f>SUM(BWXBRS!BK$175)</f>
        <v>264.25655933707816</v>
      </c>
      <c r="BL74" s="399">
        <f>SUM(BWXBRS!BL$175)</f>
        <v>265.25821646475055</v>
      </c>
      <c r="BM74" s="399">
        <f>SUM(BWXBRS!BM$175)</f>
        <v>266.29568862068021</v>
      </c>
      <c r="BN74" s="399">
        <f>SUM(BWXBRS!BN$175)</f>
        <v>267.33555239763012</v>
      </c>
      <c r="BO74" s="399">
        <f>SUM(BWXBRS!BO$175)</f>
        <v>268.34454302637084</v>
      </c>
      <c r="BP74" s="399">
        <f>SUM(BWXBRS!BP$175)</f>
        <v>0</v>
      </c>
      <c r="BQ74" s="399">
        <f>SUM(BWXBRS!BQ$175)</f>
        <v>0</v>
      </c>
      <c r="BR74" s="399">
        <f>SUM(BWXBRS!BR$175)</f>
        <v>0</v>
      </c>
      <c r="BS74" s="399">
        <f>SUM(BWXBRS!BS$175)</f>
        <v>0</v>
      </c>
      <c r="BT74" s="399">
        <f>SUM(BWXBRS!BT$175)</f>
        <v>0</v>
      </c>
      <c r="BU74" s="399">
        <f>SUM(BWXBRS!BU$175)</f>
        <v>0</v>
      </c>
      <c r="BV74" s="399">
        <f>SUM(BWXBRS!BV$175)</f>
        <v>0</v>
      </c>
      <c r="BW74" s="399">
        <f>SUM(BWXBRS!BW$175)</f>
        <v>0</v>
      </c>
      <c r="BX74" s="399">
        <f>SUM(BWXBRS!BX$175)</f>
        <v>0</v>
      </c>
      <c r="BY74" s="399">
        <f>SUM(BWXBRS!BY$175)</f>
        <v>0</v>
      </c>
      <c r="BZ74" s="399">
        <f>SUM(BWXBRS!BZ$175)</f>
        <v>0</v>
      </c>
      <c r="CA74" s="399">
        <f>SUM(BWXBRS!CA$175)</f>
        <v>0</v>
      </c>
      <c r="CB74" s="399">
        <f>SUM(BWXBRS!CB$175)</f>
        <v>0</v>
      </c>
      <c r="CC74" s="399">
        <f>SUM(BWXBRS!CC$175)</f>
        <v>0</v>
      </c>
      <c r="CD74" s="399">
        <f>SUM(BWXBRS!CD$175)</f>
        <v>0</v>
      </c>
      <c r="CE74" s="399">
        <f>SUM(BWXBRS!CE$175)</f>
        <v>0</v>
      </c>
      <c r="CF74" s="399">
        <f>SUM(BWXBRS!CF$175)</f>
        <v>0</v>
      </c>
      <c r="CG74" s="399">
        <f>SUM(BWXBRS!CG$175)</f>
        <v>0</v>
      </c>
      <c r="CH74" s="399">
        <v>0</v>
      </c>
      <c r="CI74" s="399">
        <v>0</v>
      </c>
      <c r="CJ74" s="1200">
        <v>0</v>
      </c>
    </row>
    <row r="75" spans="2:88" x14ac:dyDescent="0.25">
      <c r="B75" s="1172" t="s">
        <v>318</v>
      </c>
      <c r="C75" s="1173" t="s">
        <v>294</v>
      </c>
      <c r="D75" s="544" t="s">
        <v>319</v>
      </c>
      <c r="E75" s="1173" t="s">
        <v>146</v>
      </c>
      <c r="F75" s="545">
        <v>2</v>
      </c>
      <c r="G75" s="403"/>
      <c r="H75" s="403"/>
      <c r="I75" s="403">
        <f>SUM(BWXBRS!I$178)</f>
        <v>13.599979718894787</v>
      </c>
      <c r="J75" s="403">
        <f>SUM(BWXBRS!J$178)</f>
        <v>13.701028391849137</v>
      </c>
      <c r="K75" s="403">
        <f>SUM(BWXBRS!K$178)</f>
        <v>13.851767382856615</v>
      </c>
      <c r="L75" s="403">
        <f>SUM(BWXBRS!L$178)</f>
        <v>14.044624468896783</v>
      </c>
      <c r="M75" s="403">
        <f>SUM(BWXBRS!M$178)</f>
        <v>14.062496270910394</v>
      </c>
      <c r="N75" s="403">
        <f>SUM(BWXBRS!N$178)</f>
        <v>14.385475563742698</v>
      </c>
      <c r="O75" s="403">
        <f>SUM(BWXBRS!O$178)</f>
        <v>14.584143171743792</v>
      </c>
      <c r="P75" s="403">
        <f>SUM(BWXBRS!P$178)</f>
        <v>14.813651528764154</v>
      </c>
      <c r="Q75" s="403">
        <f>SUM(BWXBRS!Q$178)</f>
        <v>12.386436241809495</v>
      </c>
      <c r="R75" s="403">
        <f>SUM(BWXBRS!R$178)</f>
        <v>12.64584803243871</v>
      </c>
      <c r="S75" s="403">
        <f>SUM(BWXBRS!S$178)</f>
        <v>12.793979513577538</v>
      </c>
      <c r="T75" s="403">
        <f>SUM(BWXBRS!T$178)</f>
        <v>12.95592824664347</v>
      </c>
      <c r="U75" s="403">
        <f>SUM(BWXBRS!U$178)</f>
        <v>13.262905725656994</v>
      </c>
      <c r="V75" s="403">
        <f>SUM(BWXBRS!V$178)</f>
        <v>11.550265972794595</v>
      </c>
      <c r="W75" s="403">
        <f>SUM(BWXBRS!W$178)</f>
        <v>11.722612137216691</v>
      </c>
      <c r="X75" s="403">
        <f>SUM(BWXBRS!X$178)</f>
        <v>11.925470693882808</v>
      </c>
      <c r="Y75" s="403">
        <f>SUM(BWXBRS!Y$178)</f>
        <v>12.10506344995653</v>
      </c>
      <c r="Z75" s="403">
        <f>SUM(BWXBRS!Z$178)</f>
        <v>12.165506856851277</v>
      </c>
      <c r="AA75" s="403">
        <f>SUM(BWXBRS!AA$178)</f>
        <v>10.856340791949776</v>
      </c>
      <c r="AB75" s="403">
        <f>SUM(BWXBRS!AB$178)</f>
        <v>10.937595596269341</v>
      </c>
      <c r="AC75" s="403">
        <f>SUM(BWXBRS!AC$178)</f>
        <v>11.12317166948759</v>
      </c>
      <c r="AD75" s="403">
        <f>SUM(BWXBRS!AD$178)</f>
        <v>11.212506309917543</v>
      </c>
      <c r="AE75" s="403">
        <f>SUM(BWXBRS!AE$178)</f>
        <v>11.330126737074258</v>
      </c>
      <c r="AF75" s="403">
        <f>SUM(BWXBRS!AF$178)</f>
        <v>10.049014820459051</v>
      </c>
      <c r="AG75" s="403">
        <f>SUM(BWXBRS!AG$178)</f>
        <v>10.183940189689949</v>
      </c>
      <c r="AH75" s="403">
        <f>SUM(BWXBRS!AH$178)</f>
        <v>10.399323089753571</v>
      </c>
      <c r="AI75" s="403">
        <f>SUM(BWXBRS!AI$178)</f>
        <v>10.598229367572511</v>
      </c>
      <c r="AJ75" s="403">
        <f>SUM(BWXBRS!AJ$178)</f>
        <v>10.584947198006381</v>
      </c>
      <c r="AK75" s="403">
        <f>SUM(BWXBRS!AK$178)</f>
        <v>9.4128046302053967</v>
      </c>
      <c r="AL75" s="403">
        <f>SUM(BWXBRS!AL$178)</f>
        <v>9.5376950064932728</v>
      </c>
      <c r="AM75" s="403">
        <f>SUM(BWXBRS!AM$178)</f>
        <v>9.7177121480058837</v>
      </c>
      <c r="AN75" s="403">
        <f>SUM(BWXBRS!AN$178)</f>
        <v>9.6929692488895256</v>
      </c>
      <c r="AO75" s="403">
        <f>SUM(BWXBRS!AO$178)</f>
        <v>9.8150332046017752</v>
      </c>
      <c r="AP75" s="403">
        <f>SUM(BWXBRS!AP$178)</f>
        <v>10.023035661591347</v>
      </c>
      <c r="AQ75" s="403">
        <f>SUM(BWXBRS!AQ$178)</f>
        <v>10.121491880254069</v>
      </c>
      <c r="AR75" s="403">
        <f>SUM(BWXBRS!AR$178)</f>
        <v>10.313325350952647</v>
      </c>
      <c r="AS75" s="403">
        <f>SUM(BWXBRS!AS$178)</f>
        <v>10.56435072861815</v>
      </c>
      <c r="AT75" s="403">
        <f>SUM(BWXBRS!AT$178)</f>
        <v>10.720283954815072</v>
      </c>
      <c r="AU75" s="403">
        <f>SUM(BWXBRS!AU$178)</f>
        <v>10.871742695810651</v>
      </c>
      <c r="AV75" s="403">
        <f>SUM(BWXBRS!AV$178)</f>
        <v>10.958953899863101</v>
      </c>
      <c r="AW75" s="403">
        <f>SUM(BWXBRS!AW$178)</f>
        <v>11.136534903831858</v>
      </c>
      <c r="AX75" s="403">
        <f>SUM(BWXBRS!AX$178)</f>
        <v>11.371663145793732</v>
      </c>
      <c r="AY75" s="403">
        <f>SUM(BWXBRS!AY$178)</f>
        <v>11.35845761891461</v>
      </c>
      <c r="AZ75" s="403">
        <f>SUM(BWXBRS!AZ$178)</f>
        <v>11.640082413157302</v>
      </c>
      <c r="BA75" s="403">
        <f>SUM(BWXBRS!BA$178)</f>
        <v>11.753245446305357</v>
      </c>
      <c r="BB75" s="403">
        <f>SUM(BWXBRS!BB$178)</f>
        <v>11.999348326270942</v>
      </c>
      <c r="BC75" s="403">
        <f>SUM(BWXBRS!BC$178)</f>
        <v>12.252291619593978</v>
      </c>
      <c r="BD75" s="403">
        <f>SUM(BWXBRS!BD$178)</f>
        <v>12.253848186629906</v>
      </c>
      <c r="BE75" s="403">
        <f>SUM(BWXBRS!BE$178)</f>
        <v>12.608677090312334</v>
      </c>
      <c r="BF75" s="403">
        <f>SUM(BWXBRS!BF$178)</f>
        <v>12.817172831991803</v>
      </c>
      <c r="BG75" s="403">
        <f>SUM(BWXBRS!BG$178)</f>
        <v>12.816654612185655</v>
      </c>
      <c r="BH75" s="403">
        <f>SUM(BWXBRS!BH$178)</f>
        <v>13.204906154202279</v>
      </c>
      <c r="BI75" s="403">
        <f>SUM(BWXBRS!BI$178)</f>
        <v>13.412680300957224</v>
      </c>
      <c r="BJ75" s="403">
        <f>SUM(BWXBRS!BJ$178)</f>
        <v>13.619689575603328</v>
      </c>
      <c r="BK75" s="403">
        <f>SUM(BWXBRS!BK$178)</f>
        <v>13.860685912708789</v>
      </c>
      <c r="BL75" s="403">
        <f>SUM(BWXBRS!BL$178)</f>
        <v>14.120986640587185</v>
      </c>
      <c r="BM75" s="403">
        <f>SUM(BWXBRS!BM$178)</f>
        <v>14.225176646490741</v>
      </c>
      <c r="BN75" s="403">
        <f>SUM(BWXBRS!BN$178)</f>
        <v>14.535175877233875</v>
      </c>
      <c r="BO75" s="403">
        <f>SUM(BWXBRS!BO$178)</f>
        <v>14.733849660151209</v>
      </c>
      <c r="BP75" s="403">
        <f>SUM(BWXBRS!BP$178)</f>
        <v>0</v>
      </c>
      <c r="BQ75" s="403">
        <f>SUM(BWXBRS!BQ$178)</f>
        <v>0</v>
      </c>
      <c r="BR75" s="403">
        <f>SUM(BWXBRS!BR$178)</f>
        <v>0</v>
      </c>
      <c r="BS75" s="403">
        <f>SUM(BWXBRS!BS$178)</f>
        <v>0</v>
      </c>
      <c r="BT75" s="403">
        <f>SUM(BWXBRS!BT$178)</f>
        <v>0</v>
      </c>
      <c r="BU75" s="403">
        <f>SUM(BWXBRS!BU$178)</f>
        <v>0</v>
      </c>
      <c r="BV75" s="403">
        <f>SUM(BWXBRS!BV$178)</f>
        <v>0</v>
      </c>
      <c r="BW75" s="403">
        <f>SUM(BWXBRS!BW$178)</f>
        <v>0</v>
      </c>
      <c r="BX75" s="403">
        <f>SUM(BWXBRS!BX$178)</f>
        <v>0</v>
      </c>
      <c r="BY75" s="403">
        <f>SUM(BWXBRS!BY$178)</f>
        <v>0</v>
      </c>
      <c r="BZ75" s="403">
        <f>SUM(BWXBRS!BZ$178)</f>
        <v>0</v>
      </c>
      <c r="CA75" s="403">
        <f>SUM(BWXBRS!CA$178)</f>
        <v>0</v>
      </c>
      <c r="CB75" s="403">
        <f>SUM(BWXBRS!CB$178)</f>
        <v>0</v>
      </c>
      <c r="CC75" s="403">
        <f>SUM(BWXBRS!CC$178)</f>
        <v>0</v>
      </c>
      <c r="CD75" s="403">
        <f>SUM(BWXBRS!CD$178)</f>
        <v>0</v>
      </c>
      <c r="CE75" s="403">
        <f>SUM(BWXBRS!CE$178)</f>
        <v>0</v>
      </c>
      <c r="CF75" s="403">
        <f>SUM(BWXBRS!CF$178)</f>
        <v>0</v>
      </c>
      <c r="CG75" s="403">
        <f>SUM(BWXBRS!CG$178)</f>
        <v>0</v>
      </c>
      <c r="CH75" s="403">
        <v>0</v>
      </c>
      <c r="CI75" s="403">
        <v>0</v>
      </c>
      <c r="CJ75" s="1204">
        <v>0</v>
      </c>
    </row>
    <row r="76" spans="2:88" x14ac:dyDescent="0.25">
      <c r="B76" s="1174" t="s">
        <v>320</v>
      </c>
      <c r="C76" s="546" t="s">
        <v>297</v>
      </c>
      <c r="D76" s="547" t="s">
        <v>321</v>
      </c>
      <c r="E76" s="546" t="s">
        <v>146</v>
      </c>
      <c r="F76" s="548">
        <v>2</v>
      </c>
      <c r="G76" s="402"/>
      <c r="H76" s="402"/>
      <c r="I76" s="402">
        <f>SUM(BWXBRS!I$131)</f>
        <v>323.03625</v>
      </c>
      <c r="J76" s="402">
        <f>SUM(BWXBRS!J$131)</f>
        <v>318.17</v>
      </c>
      <c r="K76" s="402">
        <f>SUM(BWXBRS!K$131)</f>
        <v>317.76375000000002</v>
      </c>
      <c r="L76" s="402">
        <f>SUM(BWXBRS!L$131)</f>
        <v>317.35750000000002</v>
      </c>
      <c r="M76" s="402">
        <f>SUM(BWXBRS!M$131)</f>
        <v>315.95125000000002</v>
      </c>
      <c r="N76" s="402">
        <f>SUM(BWXBRS!N$131)</f>
        <v>315.54500000000002</v>
      </c>
      <c r="O76" s="402">
        <f>SUM(BWXBRS!O$131)</f>
        <v>315.13875000000002</v>
      </c>
      <c r="P76" s="402">
        <f>SUM(BWXBRS!P$131)</f>
        <v>314.73250000000002</v>
      </c>
      <c r="Q76" s="402">
        <f>SUM(BWXBRS!Q$131)</f>
        <v>314.32625000000002</v>
      </c>
      <c r="R76" s="402">
        <f>SUM(BWXBRS!R$131)</f>
        <v>312.3</v>
      </c>
      <c r="S76" s="402">
        <f>SUM(BWXBRS!S$131)</f>
        <v>311.89375000000001</v>
      </c>
      <c r="T76" s="402">
        <f>SUM(BWXBRS!T$131)</f>
        <v>311.48750000000001</v>
      </c>
      <c r="U76" s="402">
        <f>SUM(BWXBRS!U$131)</f>
        <v>311.08125000000001</v>
      </c>
      <c r="V76" s="402">
        <f>SUM(BWXBRS!V$131)</f>
        <v>310.67500000000001</v>
      </c>
      <c r="W76" s="402">
        <f>SUM(BWXBRS!W$131)</f>
        <v>310.26875000000001</v>
      </c>
      <c r="X76" s="402">
        <f>SUM(BWXBRS!X$131)</f>
        <v>309.86250000000001</v>
      </c>
      <c r="Y76" s="402">
        <f>SUM(BWXBRS!Y$131)</f>
        <v>309.45625000000001</v>
      </c>
      <c r="Z76" s="402">
        <f>SUM(BWXBRS!Z$131)</f>
        <v>309.05</v>
      </c>
      <c r="AA76" s="402">
        <f>SUM(BWXBRS!AA$131)</f>
        <v>308.64375000000001</v>
      </c>
      <c r="AB76" s="402">
        <f>SUM(BWXBRS!AB$131)</f>
        <v>308.28750000000002</v>
      </c>
      <c r="AC76" s="402">
        <f>SUM(BWXBRS!AC$131)</f>
        <v>307.88125000000002</v>
      </c>
      <c r="AD76" s="402">
        <f>SUM(BWXBRS!AD$131)</f>
        <v>307.47500000000002</v>
      </c>
      <c r="AE76" s="402">
        <f>SUM(BWXBRS!AE$131)</f>
        <v>307.06875000000002</v>
      </c>
      <c r="AF76" s="402">
        <f>SUM(BWXBRS!AF$131)</f>
        <v>306.66250000000002</v>
      </c>
      <c r="AG76" s="402">
        <f>SUM(BWXBRS!AG$131)</f>
        <v>306.25625000000002</v>
      </c>
      <c r="AH76" s="402">
        <f>SUM(BWXBRS!AH$131)</f>
        <v>305.85000000000002</v>
      </c>
      <c r="AI76" s="402">
        <f>SUM(BWXBRS!AI$131)</f>
        <v>305.44375000000002</v>
      </c>
      <c r="AJ76" s="402">
        <f>SUM(BWXBRS!AJ$131)</f>
        <v>305.03750000000002</v>
      </c>
      <c r="AK76" s="402">
        <f>SUM(BWXBRS!AK$131)</f>
        <v>304.63125000000002</v>
      </c>
      <c r="AL76" s="402">
        <f>SUM(BWXBRS!AL$131)</f>
        <v>304.22500000000002</v>
      </c>
      <c r="AM76" s="402">
        <f>SUM(BWXBRS!AM$131)</f>
        <v>303.81875000000002</v>
      </c>
      <c r="AN76" s="402">
        <f>SUM(BWXBRS!AN$131)</f>
        <v>303.41250000000002</v>
      </c>
      <c r="AO76" s="402">
        <f>SUM(BWXBRS!AO$131)</f>
        <v>303.00625000000002</v>
      </c>
      <c r="AP76" s="402">
        <f>SUM(BWXBRS!AP$131)</f>
        <v>302.60000000000002</v>
      </c>
      <c r="AQ76" s="402">
        <f>SUM(BWXBRS!AQ$131)</f>
        <v>302.19375000000002</v>
      </c>
      <c r="AR76" s="402">
        <f>SUM(BWXBRS!AR$131)</f>
        <v>301.78750000000002</v>
      </c>
      <c r="AS76" s="402">
        <f>SUM(BWXBRS!AS$131)</f>
        <v>301.38125000000002</v>
      </c>
      <c r="AT76" s="402">
        <f>SUM(BWXBRS!AT$131)</f>
        <v>300.97500000000002</v>
      </c>
      <c r="AU76" s="402">
        <f>SUM(BWXBRS!AU$131)</f>
        <v>300.56875000000002</v>
      </c>
      <c r="AV76" s="402">
        <f>SUM(BWXBRS!AV$131)</f>
        <v>300.16250000000002</v>
      </c>
      <c r="AW76" s="402">
        <f>SUM(BWXBRS!AW$131)</f>
        <v>299.75625000000002</v>
      </c>
      <c r="AX76" s="402">
        <f>SUM(BWXBRS!AX$131)</f>
        <v>299.35000000000002</v>
      </c>
      <c r="AY76" s="402">
        <f>SUM(BWXBRS!AY$131)</f>
        <v>298.94375000000002</v>
      </c>
      <c r="AZ76" s="402">
        <f>SUM(BWXBRS!AZ$131)</f>
        <v>298.53750000000002</v>
      </c>
      <c r="BA76" s="402">
        <f>SUM(BWXBRS!BA$131)</f>
        <v>298.13125000000002</v>
      </c>
      <c r="BB76" s="402">
        <f>SUM(BWXBRS!BB$131)</f>
        <v>297.72500000000002</v>
      </c>
      <c r="BC76" s="402">
        <f>SUM(BWXBRS!BC$131)</f>
        <v>297.31875000000002</v>
      </c>
      <c r="BD76" s="402">
        <f>SUM(BWXBRS!BD$131)</f>
        <v>296.91250000000002</v>
      </c>
      <c r="BE76" s="402">
        <f>SUM(BWXBRS!BE$131)</f>
        <v>296.50625000000002</v>
      </c>
      <c r="BF76" s="402">
        <f>SUM(BWXBRS!BF$131)</f>
        <v>296.10000000000002</v>
      </c>
      <c r="BG76" s="402">
        <f>SUM(BWXBRS!BG$131)</f>
        <v>295.69375000000002</v>
      </c>
      <c r="BH76" s="402">
        <f>SUM(BWXBRS!BH$131)</f>
        <v>295.28750000000002</v>
      </c>
      <c r="BI76" s="402">
        <f>SUM(BWXBRS!BI$131)</f>
        <v>294.88125000000002</v>
      </c>
      <c r="BJ76" s="402">
        <f>SUM(BWXBRS!BJ$131)</f>
        <v>294.47500000000002</v>
      </c>
      <c r="BK76" s="402">
        <f>SUM(BWXBRS!BK$131)</f>
        <v>294.06875000000002</v>
      </c>
      <c r="BL76" s="402">
        <f>SUM(BWXBRS!BL$131)</f>
        <v>293.66250000000002</v>
      </c>
      <c r="BM76" s="402">
        <f>SUM(BWXBRS!BM$131)</f>
        <v>293.25625000000002</v>
      </c>
      <c r="BN76" s="402">
        <f>SUM(BWXBRS!BN$131)</f>
        <v>292.85000000000002</v>
      </c>
      <c r="BO76" s="402">
        <f>SUM(BWXBRS!BO$131)</f>
        <v>292.44375000000002</v>
      </c>
      <c r="BP76" s="402">
        <f>SUM(BWXBRS!BP$131)</f>
        <v>0</v>
      </c>
      <c r="BQ76" s="402">
        <f>SUM(BWXBRS!BQ$131)</f>
        <v>0</v>
      </c>
      <c r="BR76" s="402">
        <f>SUM(BWXBRS!BR$131)</f>
        <v>0</v>
      </c>
      <c r="BS76" s="402">
        <f>SUM(BWXBRS!BS$131)</f>
        <v>0</v>
      </c>
      <c r="BT76" s="402">
        <f>SUM(BWXBRS!BT$131)</f>
        <v>0</v>
      </c>
      <c r="BU76" s="402">
        <f>SUM(BWXBRS!BU$131)</f>
        <v>0</v>
      </c>
      <c r="BV76" s="402">
        <f>SUM(BWXBRS!BV$131)</f>
        <v>0</v>
      </c>
      <c r="BW76" s="402">
        <f>SUM(BWXBRS!BW$131)</f>
        <v>0</v>
      </c>
      <c r="BX76" s="402">
        <f>SUM(BWXBRS!BX$131)</f>
        <v>0</v>
      </c>
      <c r="BY76" s="402">
        <f>SUM(BWXBRS!BY$131)</f>
        <v>0</v>
      </c>
      <c r="BZ76" s="402">
        <f>SUM(BWXBRS!BZ$131)</f>
        <v>0</v>
      </c>
      <c r="CA76" s="402">
        <f>SUM(BWXBRS!CA$131)</f>
        <v>0</v>
      </c>
      <c r="CB76" s="402">
        <f>SUM(BWXBRS!CB$131)</f>
        <v>0</v>
      </c>
      <c r="CC76" s="402">
        <f>SUM(BWXBRS!CC$131)</f>
        <v>0</v>
      </c>
      <c r="CD76" s="402">
        <f>SUM(BWXBRS!CD$131)</f>
        <v>0</v>
      </c>
      <c r="CE76" s="402">
        <f>SUM(BWXBRS!CE$131)</f>
        <v>0</v>
      </c>
      <c r="CF76" s="402">
        <f>SUM(BWXBRS!CF$131)</f>
        <v>0</v>
      </c>
      <c r="CG76" s="402">
        <f>SUM(BWXBRS!CG$131)</f>
        <v>0</v>
      </c>
      <c r="CH76" s="402">
        <v>0</v>
      </c>
      <c r="CI76" s="402">
        <v>0</v>
      </c>
      <c r="CJ76" s="1203">
        <v>0</v>
      </c>
    </row>
    <row r="77" spans="2:88" ht="66.599999999999994" customHeight="1" x14ac:dyDescent="0.25">
      <c r="B77" s="1174" t="s">
        <v>322</v>
      </c>
      <c r="C77" s="546" t="s">
        <v>300</v>
      </c>
      <c r="D77" s="547" t="s">
        <v>323</v>
      </c>
      <c r="E77" s="546" t="s">
        <v>146</v>
      </c>
      <c r="F77" s="548">
        <v>2</v>
      </c>
      <c r="G77" s="402"/>
      <c r="H77" s="402"/>
      <c r="I77" s="402">
        <f>SUM(BWXBRS!I$132)</f>
        <v>312.91624999999999</v>
      </c>
      <c r="J77" s="402">
        <f>SUM(BWXBRS!J$132)</f>
        <v>308.05</v>
      </c>
      <c r="K77" s="402">
        <f>SUM(BWXBRS!K$132)</f>
        <v>307.64375000000001</v>
      </c>
      <c r="L77" s="402">
        <f>SUM(BWXBRS!L$132)</f>
        <v>307.23750000000001</v>
      </c>
      <c r="M77" s="402">
        <f>SUM(BWXBRS!M$132)</f>
        <v>312.80125000000004</v>
      </c>
      <c r="N77" s="402">
        <f>SUM(BWXBRS!N$132)</f>
        <v>312.39500000000004</v>
      </c>
      <c r="O77" s="402">
        <f>SUM(BWXBRS!O$132)</f>
        <v>311.98875000000004</v>
      </c>
      <c r="P77" s="402">
        <f>SUM(BWXBRS!P$132)</f>
        <v>311.58250000000004</v>
      </c>
      <c r="Q77" s="402">
        <f>SUM(BWXBRS!Q$132)</f>
        <v>311.17625000000004</v>
      </c>
      <c r="R77" s="402">
        <f>SUM(BWXBRS!R$132)</f>
        <v>309.15000000000003</v>
      </c>
      <c r="S77" s="402">
        <f>SUM(BWXBRS!S$132)</f>
        <v>308.74375000000003</v>
      </c>
      <c r="T77" s="402">
        <f>SUM(BWXBRS!T$132)</f>
        <v>308.33750000000003</v>
      </c>
      <c r="U77" s="402">
        <f>SUM(BWXBRS!U$132)</f>
        <v>307.93125000000003</v>
      </c>
      <c r="V77" s="402">
        <f>SUM(BWXBRS!V$132)</f>
        <v>307.52500000000003</v>
      </c>
      <c r="W77" s="402">
        <f>SUM(BWXBRS!W$132)</f>
        <v>303.11875000000003</v>
      </c>
      <c r="X77" s="402">
        <f>SUM(BWXBRS!X$132)</f>
        <v>302.71250000000003</v>
      </c>
      <c r="Y77" s="402">
        <f>SUM(BWXBRS!Y$132)</f>
        <v>302.30625000000003</v>
      </c>
      <c r="Z77" s="402">
        <f>SUM(BWXBRS!Z$132)</f>
        <v>301.90000000000003</v>
      </c>
      <c r="AA77" s="402">
        <f>SUM(BWXBRS!AA$132)</f>
        <v>301.49375000000003</v>
      </c>
      <c r="AB77" s="402">
        <f>SUM(BWXBRS!AB$132)</f>
        <v>301.13750000000005</v>
      </c>
      <c r="AC77" s="402">
        <f>SUM(BWXBRS!AC$132)</f>
        <v>300.73125000000005</v>
      </c>
      <c r="AD77" s="402">
        <f>SUM(BWXBRS!AD$132)</f>
        <v>300.32500000000005</v>
      </c>
      <c r="AE77" s="402">
        <f>SUM(BWXBRS!AE$132)</f>
        <v>299.91875000000005</v>
      </c>
      <c r="AF77" s="402">
        <f>SUM(BWXBRS!AF$132)</f>
        <v>299.51250000000005</v>
      </c>
      <c r="AG77" s="402">
        <f>SUM(BWXBRS!AG$132)</f>
        <v>299.10625000000005</v>
      </c>
      <c r="AH77" s="402">
        <f>SUM(BWXBRS!AH$132)</f>
        <v>298.70000000000005</v>
      </c>
      <c r="AI77" s="402">
        <f>SUM(BWXBRS!AI$132)</f>
        <v>298.29375000000005</v>
      </c>
      <c r="AJ77" s="402">
        <f>SUM(BWXBRS!AJ$132)</f>
        <v>297.88750000000005</v>
      </c>
      <c r="AK77" s="402">
        <f>SUM(BWXBRS!AK$132)</f>
        <v>297.48125000000005</v>
      </c>
      <c r="AL77" s="402">
        <f>SUM(BWXBRS!AL$132)</f>
        <v>297.07500000000005</v>
      </c>
      <c r="AM77" s="402">
        <f>SUM(BWXBRS!AM$132)</f>
        <v>296.66875000000005</v>
      </c>
      <c r="AN77" s="402">
        <f>SUM(BWXBRS!AN$132)</f>
        <v>296.26250000000005</v>
      </c>
      <c r="AO77" s="402">
        <f>SUM(BWXBRS!AO$132)</f>
        <v>295.85625000000005</v>
      </c>
      <c r="AP77" s="402">
        <f>SUM(BWXBRS!AP$132)</f>
        <v>295.45000000000005</v>
      </c>
      <c r="AQ77" s="402">
        <f>SUM(BWXBRS!AQ$132)</f>
        <v>295.04375000000005</v>
      </c>
      <c r="AR77" s="402">
        <f>SUM(BWXBRS!AR$132)</f>
        <v>294.63750000000005</v>
      </c>
      <c r="AS77" s="402">
        <f>SUM(BWXBRS!AS$132)</f>
        <v>294.23125000000005</v>
      </c>
      <c r="AT77" s="402">
        <f>SUM(BWXBRS!AT$132)</f>
        <v>293.82500000000005</v>
      </c>
      <c r="AU77" s="402">
        <f>SUM(BWXBRS!AU$132)</f>
        <v>293.41875000000005</v>
      </c>
      <c r="AV77" s="402">
        <f>SUM(BWXBRS!AV$132)</f>
        <v>293.01250000000005</v>
      </c>
      <c r="AW77" s="402">
        <f>SUM(BWXBRS!AW$132)</f>
        <v>292.60625000000005</v>
      </c>
      <c r="AX77" s="402">
        <f>SUM(BWXBRS!AX$132)</f>
        <v>292.20000000000005</v>
      </c>
      <c r="AY77" s="402">
        <f>SUM(BWXBRS!AY$132)</f>
        <v>291.79375000000005</v>
      </c>
      <c r="AZ77" s="402">
        <f>SUM(BWXBRS!AZ$132)</f>
        <v>291.38750000000005</v>
      </c>
      <c r="BA77" s="402">
        <f>SUM(BWXBRS!BA$132)</f>
        <v>290.98125000000005</v>
      </c>
      <c r="BB77" s="402">
        <f>SUM(BWXBRS!BB$132)</f>
        <v>290.57500000000005</v>
      </c>
      <c r="BC77" s="402">
        <f>SUM(BWXBRS!BC$132)</f>
        <v>290.16875000000005</v>
      </c>
      <c r="BD77" s="402">
        <f>SUM(BWXBRS!BD$132)</f>
        <v>289.76250000000005</v>
      </c>
      <c r="BE77" s="402">
        <f>SUM(BWXBRS!BE$132)</f>
        <v>289.35625000000005</v>
      </c>
      <c r="BF77" s="402">
        <f>SUM(BWXBRS!BF$132)</f>
        <v>288.95000000000005</v>
      </c>
      <c r="BG77" s="402">
        <f>SUM(BWXBRS!BG$132)</f>
        <v>288.54375000000005</v>
      </c>
      <c r="BH77" s="402">
        <f>SUM(BWXBRS!BH$132)</f>
        <v>288.13750000000005</v>
      </c>
      <c r="BI77" s="402">
        <f>SUM(BWXBRS!BI$132)</f>
        <v>287.73125000000005</v>
      </c>
      <c r="BJ77" s="402">
        <f>SUM(BWXBRS!BJ$132)</f>
        <v>287.32500000000005</v>
      </c>
      <c r="BK77" s="402">
        <f>SUM(BWXBRS!BK$132)</f>
        <v>286.91875000000005</v>
      </c>
      <c r="BL77" s="402">
        <f>SUM(BWXBRS!BL$132)</f>
        <v>286.51250000000005</v>
      </c>
      <c r="BM77" s="402">
        <f>SUM(BWXBRS!BM$132)</f>
        <v>286.10625000000005</v>
      </c>
      <c r="BN77" s="402">
        <f>SUM(BWXBRS!BN$132)</f>
        <v>285.70000000000005</v>
      </c>
      <c r="BO77" s="402">
        <f>SUM(BWXBRS!BO$132)</f>
        <v>285.29375000000005</v>
      </c>
      <c r="BP77" s="402">
        <f>SUM(BWXBRS!BP$132)</f>
        <v>0</v>
      </c>
      <c r="BQ77" s="402">
        <f>SUM(BWXBRS!BQ$132)</f>
        <v>0</v>
      </c>
      <c r="BR77" s="402">
        <f>SUM(BWXBRS!BR$132)</f>
        <v>0</v>
      </c>
      <c r="BS77" s="402">
        <f>SUM(BWXBRS!BS$132)</f>
        <v>0</v>
      </c>
      <c r="BT77" s="402">
        <f>SUM(BWXBRS!BT$132)</f>
        <v>0</v>
      </c>
      <c r="BU77" s="402">
        <f>SUM(BWXBRS!BU$132)</f>
        <v>0</v>
      </c>
      <c r="BV77" s="402">
        <f>SUM(BWXBRS!BV$132)</f>
        <v>0</v>
      </c>
      <c r="BW77" s="402">
        <f>SUM(BWXBRS!BW$132)</f>
        <v>0</v>
      </c>
      <c r="BX77" s="402">
        <f>SUM(BWXBRS!BX$132)</f>
        <v>0</v>
      </c>
      <c r="BY77" s="402">
        <f>SUM(BWXBRS!BY$132)</f>
        <v>0</v>
      </c>
      <c r="BZ77" s="402">
        <f>SUM(BWXBRS!BZ$132)</f>
        <v>0</v>
      </c>
      <c r="CA77" s="402">
        <f>SUM(BWXBRS!CA$132)</f>
        <v>0</v>
      </c>
      <c r="CB77" s="402">
        <f>SUM(BWXBRS!CB$132)</f>
        <v>0</v>
      </c>
      <c r="CC77" s="402">
        <f>SUM(BWXBRS!CC$132)</f>
        <v>0</v>
      </c>
      <c r="CD77" s="402">
        <f>SUM(BWXBRS!CD$132)</f>
        <v>0</v>
      </c>
      <c r="CE77" s="402">
        <f>SUM(BWXBRS!CE$132)</f>
        <v>0</v>
      </c>
      <c r="CF77" s="402">
        <f>SUM(BWXBRS!CF$132)</f>
        <v>0</v>
      </c>
      <c r="CG77" s="402">
        <f>SUM(BWXBRS!CG$132)</f>
        <v>0</v>
      </c>
      <c r="CH77" s="402">
        <v>0</v>
      </c>
      <c r="CI77" s="402">
        <v>0</v>
      </c>
      <c r="CJ77" s="1203">
        <v>0</v>
      </c>
    </row>
    <row r="78" spans="2:88" ht="14.7" customHeight="1" thickBot="1" x14ac:dyDescent="0.3">
      <c r="B78" s="1180" t="s">
        <v>324</v>
      </c>
      <c r="C78" s="1181" t="s">
        <v>303</v>
      </c>
      <c r="D78" s="549" t="s">
        <v>325</v>
      </c>
      <c r="E78" s="1181" t="s">
        <v>146</v>
      </c>
      <c r="F78" s="550">
        <v>2</v>
      </c>
      <c r="G78" s="404"/>
      <c r="H78" s="404"/>
      <c r="I78" s="404">
        <f>SUM(BWXBRS!I$181)</f>
        <v>15.878551634104355</v>
      </c>
      <c r="J78" s="404">
        <f>SUM(BWXBRS!J$181)</f>
        <v>15.425356255517398</v>
      </c>
      <c r="K78" s="404">
        <f>SUM(BWXBRS!K$181)</f>
        <v>14.247180609344646</v>
      </c>
      <c r="L78" s="404">
        <f>SUM(BWXBRS!L$181)</f>
        <v>14.258743637059895</v>
      </c>
      <c r="M78" s="404">
        <f>SUM(BWXBRS!M$181)</f>
        <v>20.591133926134667</v>
      </c>
      <c r="N78" s="404">
        <f>SUM(BWXBRS!N$181)</f>
        <v>22.656801404794709</v>
      </c>
      <c r="O78" s="404">
        <f>SUM(BWXBRS!O$181)</f>
        <v>25.251730414127906</v>
      </c>
      <c r="P78" s="404">
        <f>SUM(BWXBRS!P$181)</f>
        <v>27.708429414010396</v>
      </c>
      <c r="Q78" s="404">
        <f>SUM(BWXBRS!Q$181)</f>
        <v>32.841193947971277</v>
      </c>
      <c r="R78" s="404">
        <f>SUM(BWXBRS!R$181)</f>
        <v>36.520298087949257</v>
      </c>
      <c r="S78" s="404">
        <f>SUM(BWXBRS!S$181)</f>
        <v>42.143790903741603</v>
      </c>
      <c r="T78" s="404">
        <f>SUM(BWXBRS!T$181)</f>
        <v>45.912206478056177</v>
      </c>
      <c r="U78" s="404">
        <f>SUM(BWXBRS!U$181)</f>
        <v>49.373246917953168</v>
      </c>
      <c r="V78" s="404">
        <f>SUM(BWXBRS!V$181)</f>
        <v>54.994367107619354</v>
      </c>
      <c r="W78" s="404">
        <f>SUM(BWXBRS!W$181)</f>
        <v>53.118768070611559</v>
      </c>
      <c r="X78" s="404">
        <f>SUM(BWXBRS!X$181)</f>
        <v>55.130380084144711</v>
      </c>
      <c r="Y78" s="404">
        <f>SUM(BWXBRS!Y$181)</f>
        <v>57.187389460653549</v>
      </c>
      <c r="Z78" s="404">
        <f>SUM(BWXBRS!Z$181)</f>
        <v>59.371065773443249</v>
      </c>
      <c r="AA78" s="404">
        <f>SUM(BWXBRS!AA$181)</f>
        <v>63.156540455182267</v>
      </c>
      <c r="AB78" s="404">
        <f>SUM(BWXBRS!AB$181)</f>
        <v>64.797075970009729</v>
      </c>
      <c r="AC78" s="404">
        <f>SUM(BWXBRS!AC$181)</f>
        <v>65.636857106304973</v>
      </c>
      <c r="AD78" s="404">
        <f>SUM(BWXBRS!AD$181)</f>
        <v>66.162464114160613</v>
      </c>
      <c r="AE78" s="404">
        <f>SUM(BWXBRS!AE$181)</f>
        <v>66.490922544471275</v>
      </c>
      <c r="AF78" s="404">
        <f>SUM(BWXBRS!AF$181)</f>
        <v>68.016722575362351</v>
      </c>
      <c r="AG78" s="404">
        <f>SUM(BWXBRS!AG$181)</f>
        <v>67.979346712218259</v>
      </c>
      <c r="AH78" s="404">
        <f>SUM(BWXBRS!AH$181)</f>
        <v>67.822556332786192</v>
      </c>
      <c r="AI78" s="404">
        <f>SUM(BWXBRS!AI$181)</f>
        <v>67.461480565076698</v>
      </c>
      <c r="AJ78" s="404">
        <f>SUM(BWXBRS!AJ$181)</f>
        <v>67.167481961770591</v>
      </c>
      <c r="AK78" s="404">
        <f>SUM(BWXBRS!AK$181)</f>
        <v>67.832742605559289</v>
      </c>
      <c r="AL78" s="404">
        <f>SUM(BWXBRS!AL$181)</f>
        <v>66.561962743554886</v>
      </c>
      <c r="AM78" s="404">
        <f>SUM(BWXBRS!AM$181)</f>
        <v>64.957749942689816</v>
      </c>
      <c r="AN78" s="404">
        <f>SUM(BWXBRS!AN$181)</f>
        <v>63.34942903317669</v>
      </c>
      <c r="AO78" s="404">
        <f>SUM(BWXBRS!AO$181)</f>
        <v>61.324823246657701</v>
      </c>
      <c r="AP78" s="404">
        <f>SUM(BWXBRS!AP$181)</f>
        <v>58.968513253571146</v>
      </c>
      <c r="AQ78" s="404">
        <f>SUM(BWXBRS!AQ$181)</f>
        <v>53.990771650879481</v>
      </c>
      <c r="AR78" s="404">
        <f>SUM(BWXBRS!AR$181)</f>
        <v>48.66803133479349</v>
      </c>
      <c r="AS78" s="404">
        <f>SUM(BWXBRS!AS$181)</f>
        <v>45.799103995731272</v>
      </c>
      <c r="AT78" s="404">
        <f>SUM(BWXBRS!AT$181)</f>
        <v>42.944722991051776</v>
      </c>
      <c r="AU78" s="404">
        <f>SUM(BWXBRS!AU$181)</f>
        <v>40.150514262012095</v>
      </c>
      <c r="AV78" s="404">
        <f>SUM(BWXBRS!AV$181)</f>
        <v>37.573458791150216</v>
      </c>
      <c r="AW78" s="404">
        <f>SUM(BWXBRS!AW$181)</f>
        <v>34.988781503039888</v>
      </c>
      <c r="AX78" s="404">
        <f>SUM(BWXBRS!AX$181)</f>
        <v>32.459990426240878</v>
      </c>
      <c r="AY78" s="404">
        <f>SUM(BWXBRS!AY$181)</f>
        <v>30.340210569413347</v>
      </c>
      <c r="AZ78" s="404">
        <f>SUM(BWXBRS!AZ$181)</f>
        <v>28.01574605986022</v>
      </c>
      <c r="BA78" s="404">
        <f>SUM(BWXBRS!BA$181)</f>
        <v>26.006481524406524</v>
      </c>
      <c r="BB78" s="404">
        <f>SUM(BWXBRS!BB$181)</f>
        <v>23.943237855602341</v>
      </c>
      <c r="BC78" s="404">
        <f>SUM(BWXBRS!BC$181)</f>
        <v>21.987731963204922</v>
      </c>
      <c r="BD78" s="404">
        <f>SUM(BWXBRS!BD$181)</f>
        <v>20.42554455954485</v>
      </c>
      <c r="BE78" s="404">
        <f>SUM(BWXBRS!BE$181)</f>
        <v>18.587583512354719</v>
      </c>
      <c r="BF78" s="404">
        <f>SUM(BWXBRS!BF$181)</f>
        <v>16.953311498848784</v>
      </c>
      <c r="BG78" s="404">
        <f>SUM(BWXBRS!BG$181)</f>
        <v>15.555628721958531</v>
      </c>
      <c r="BH78" s="404">
        <f>SUM(BWXBRS!BH$181)</f>
        <v>13.735467564631319</v>
      </c>
      <c r="BI78" s="404">
        <f>SUM(BWXBRS!BI$181)</f>
        <v>12.094439460531927</v>
      </c>
      <c r="BJ78" s="404">
        <f>SUM(BWXBRS!BJ$181)</f>
        <v>10.481803897406454</v>
      </c>
      <c r="BK78" s="404">
        <f>SUM(BWXBRS!BK$181)</f>
        <v>8.8015047502130983</v>
      </c>
      <c r="BL78" s="404">
        <f>SUM(BWXBRS!BL$181)</f>
        <v>7.1332968946623136</v>
      </c>
      <c r="BM78" s="404">
        <f>SUM(BWXBRS!BM$181)</f>
        <v>5.5853847328290946</v>
      </c>
      <c r="BN78" s="404">
        <f>SUM(BWXBRS!BN$181)</f>
        <v>3.8292717251360457</v>
      </c>
      <c r="BO78" s="404">
        <f>SUM(BWXBRS!BO$181)</f>
        <v>2.2153573134779929</v>
      </c>
      <c r="BP78" s="404">
        <f>SUM(BWXBRS!BP$181)</f>
        <v>0</v>
      </c>
      <c r="BQ78" s="404">
        <f>SUM(BWXBRS!BQ$181)</f>
        <v>0</v>
      </c>
      <c r="BR78" s="404">
        <f>SUM(BWXBRS!BR$181)</f>
        <v>0</v>
      </c>
      <c r="BS78" s="404">
        <f>SUM(BWXBRS!BS$181)</f>
        <v>0</v>
      </c>
      <c r="BT78" s="404">
        <f>SUM(BWXBRS!BT$181)</f>
        <v>0</v>
      </c>
      <c r="BU78" s="404">
        <f>SUM(BWXBRS!BU$181)</f>
        <v>0</v>
      </c>
      <c r="BV78" s="404">
        <f>SUM(BWXBRS!BV$181)</f>
        <v>0</v>
      </c>
      <c r="BW78" s="404">
        <f>SUM(BWXBRS!BW$181)</f>
        <v>0</v>
      </c>
      <c r="BX78" s="404">
        <f>SUM(BWXBRS!BX$181)</f>
        <v>0</v>
      </c>
      <c r="BY78" s="404">
        <f>SUM(BWXBRS!BY$181)</f>
        <v>0</v>
      </c>
      <c r="BZ78" s="404">
        <f>SUM(BWXBRS!BZ$181)</f>
        <v>0</v>
      </c>
      <c r="CA78" s="404">
        <f>SUM(BWXBRS!CA$181)</f>
        <v>0</v>
      </c>
      <c r="CB78" s="404">
        <f>SUM(BWXBRS!CB$181)</f>
        <v>0</v>
      </c>
      <c r="CC78" s="404">
        <f>SUM(BWXBRS!CC$181)</f>
        <v>0</v>
      </c>
      <c r="CD78" s="404">
        <f>SUM(BWXBRS!CD$181)</f>
        <v>0</v>
      </c>
      <c r="CE78" s="404">
        <f>SUM(BWXBRS!CE$181)</f>
        <v>0</v>
      </c>
      <c r="CF78" s="404">
        <f>SUM(BWXBRS!CF$181)</f>
        <v>0</v>
      </c>
      <c r="CG78" s="404">
        <f>SUM(BWXBRS!CG$181)</f>
        <v>0</v>
      </c>
      <c r="CH78" s="404">
        <v>0</v>
      </c>
      <c r="CI78" s="404">
        <v>0</v>
      </c>
      <c r="CJ78" s="1206">
        <v>0</v>
      </c>
    </row>
    <row r="79" spans="2:88" ht="14.7" customHeight="1" x14ac:dyDescent="0.25">
      <c r="B79" s="1182" t="s">
        <v>214</v>
      </c>
      <c r="C79" s="1183" t="s">
        <v>326</v>
      </c>
      <c r="D79" s="495" t="s">
        <v>327</v>
      </c>
      <c r="E79" s="1183" t="s">
        <v>254</v>
      </c>
      <c r="F79" s="496">
        <v>2</v>
      </c>
      <c r="G79" s="403"/>
      <c r="H79" s="403"/>
      <c r="I79" s="403">
        <f>SUM(BWXBRS!I$153) + SUM(BWXBRS!I$154) + SUM(BWXBRS!I$155)</f>
        <v>33.378999999999998</v>
      </c>
      <c r="J79" s="403">
        <f>SUM(BWXBRS!J$153) + SUM(BWXBRS!J$154) + SUM(BWXBRS!J$155)</f>
        <v>33.472861240357503</v>
      </c>
      <c r="K79" s="403">
        <f>SUM(BWXBRS!K$153) + SUM(BWXBRS!K$154) + SUM(BWXBRS!K$155)</f>
        <v>33.621900472030063</v>
      </c>
      <c r="L79" s="403">
        <f>SUM(BWXBRS!L$153) + SUM(BWXBRS!L$154) + SUM(BWXBRS!L$155)</f>
        <v>33.709342397886189</v>
      </c>
      <c r="M79" s="403">
        <f>SUM(BWXBRS!M$153) + SUM(BWXBRS!M$154) + SUM(BWXBRS!M$155)</f>
        <v>33.779969746798123</v>
      </c>
      <c r="N79" s="403">
        <f>SUM(BWXBRS!N$153) + SUM(BWXBRS!N$154) + SUM(BWXBRS!N$155)</f>
        <v>33.83526215791133</v>
      </c>
      <c r="O79" s="403">
        <f>SUM(BWXBRS!O$153) + SUM(BWXBRS!O$154) + SUM(BWXBRS!O$155)</f>
        <v>33.886395520089167</v>
      </c>
      <c r="P79" s="403">
        <f>SUM(BWXBRS!P$153) + SUM(BWXBRS!P$154) + SUM(BWXBRS!P$155)</f>
        <v>33.947286060222794</v>
      </c>
      <c r="Q79" s="403">
        <f>SUM(BWXBRS!Q$153) + SUM(BWXBRS!Q$154) + SUM(BWXBRS!Q$155)</f>
        <v>34.012646346836846</v>
      </c>
      <c r="R79" s="403">
        <f>SUM(BWXBRS!R$153) + SUM(BWXBRS!R$154) + SUM(BWXBRS!R$155)</f>
        <v>34.069595112195536</v>
      </c>
      <c r="S79" s="403">
        <f>SUM(BWXBRS!S$153) + SUM(BWXBRS!S$154) + SUM(BWXBRS!S$155)</f>
        <v>34.127246356018773</v>
      </c>
      <c r="T79" s="403">
        <f>SUM(BWXBRS!T$153) + SUM(BWXBRS!T$154) + SUM(BWXBRS!T$155)</f>
        <v>34.182504909546836</v>
      </c>
      <c r="U79" s="403">
        <f>SUM(BWXBRS!U$153) + SUM(BWXBRS!U$154) + SUM(BWXBRS!U$155)</f>
        <v>34.239729275277895</v>
      </c>
      <c r="V79" s="403">
        <f>SUM(BWXBRS!V$153) + SUM(BWXBRS!V$154) + SUM(BWXBRS!V$155)</f>
        <v>34.286660415522419</v>
      </c>
      <c r="W79" s="403">
        <f>SUM(BWXBRS!W$153) + SUM(BWXBRS!W$154) + SUM(BWXBRS!W$155)</f>
        <v>34.335624609267974</v>
      </c>
      <c r="X79" s="403">
        <f>SUM(BWXBRS!X$153) + SUM(BWXBRS!X$154) + SUM(BWXBRS!X$155)</f>
        <v>34.378846072870793</v>
      </c>
      <c r="Y79" s="403">
        <f>SUM(BWXBRS!Y$153) + SUM(BWXBRS!Y$154) + SUM(BWXBRS!Y$155)</f>
        <v>34.477484216317336</v>
      </c>
      <c r="Z79" s="403">
        <f>SUM(BWXBRS!Z$153) + SUM(BWXBRS!Z$154) + SUM(BWXBRS!Z$155)</f>
        <v>34.597015883199433</v>
      </c>
      <c r="AA79" s="403">
        <f>SUM(BWXBRS!AA$153) + SUM(BWXBRS!AA$154) + SUM(BWXBRS!AA$155)</f>
        <v>34.688878507674701</v>
      </c>
      <c r="AB79" s="403">
        <f>SUM(BWXBRS!AB$153) + SUM(BWXBRS!AB$154) + SUM(BWXBRS!AB$155)</f>
        <v>34.81181242698495</v>
      </c>
      <c r="AC79" s="403">
        <f>SUM(BWXBRS!AC$153) + SUM(BWXBRS!AC$154) + SUM(BWXBRS!AC$155)</f>
        <v>34.894788052805481</v>
      </c>
      <c r="AD79" s="403">
        <f>SUM(BWXBRS!AD$153) + SUM(BWXBRS!AD$154) + SUM(BWXBRS!AD$155)</f>
        <v>34.984960140103077</v>
      </c>
      <c r="AE79" s="403">
        <f>SUM(BWXBRS!AE$153) + SUM(BWXBRS!AE$154) + SUM(BWXBRS!AE$155)</f>
        <v>35.074972775546364</v>
      </c>
      <c r="AF79" s="403">
        <f>SUM(BWXBRS!AF$153) + SUM(BWXBRS!AF$154) + SUM(BWXBRS!AF$155)</f>
        <v>35.166768727557894</v>
      </c>
      <c r="AG79" s="403">
        <f>SUM(BWXBRS!AG$153) + SUM(BWXBRS!AG$154) + SUM(BWXBRS!AG$155)</f>
        <v>35.25829506425589</v>
      </c>
      <c r="AH79" s="403">
        <f>SUM(BWXBRS!AH$153) + SUM(BWXBRS!AH$154) + SUM(BWXBRS!AH$155)</f>
        <v>35.355502592016336</v>
      </c>
      <c r="AI79" s="403">
        <f>SUM(BWXBRS!AI$153) + SUM(BWXBRS!AI$154) + SUM(BWXBRS!AI$155)</f>
        <v>35.452345171203973</v>
      </c>
      <c r="AJ79" s="403">
        <f>SUM(BWXBRS!AJ$153) + SUM(BWXBRS!AJ$154) + SUM(BWXBRS!AJ$155)</f>
        <v>35.550779676610503</v>
      </c>
      <c r="AK79" s="403">
        <f>SUM(BWXBRS!AK$153) + SUM(BWXBRS!AK$154) + SUM(BWXBRS!AK$155)</f>
        <v>35.648765354963942</v>
      </c>
      <c r="AL79" s="403">
        <f>SUM(BWXBRS!AL$153) + SUM(BWXBRS!AL$154) + SUM(BWXBRS!AL$155)</f>
        <v>35.752265072150543</v>
      </c>
      <c r="AM79" s="403">
        <f>SUM(BWXBRS!AM$153) + SUM(BWXBRS!AM$154) + SUM(BWXBRS!AM$155)</f>
        <v>35.85524300873103</v>
      </c>
      <c r="AN79" s="403">
        <f>SUM(BWXBRS!AN$153) + SUM(BWXBRS!AN$154) + SUM(BWXBRS!AN$155)</f>
        <v>35.959666007441157</v>
      </c>
      <c r="AO79" s="403">
        <f>SUM(BWXBRS!AO$153) + SUM(BWXBRS!AO$154) + SUM(BWXBRS!AO$155)</f>
        <v>36.063503154386538</v>
      </c>
      <c r="AP79" s="403">
        <f>SUM(BWXBRS!AP$153) + SUM(BWXBRS!AP$154) + SUM(BWXBRS!AP$155)</f>
        <v>36.172725029352975</v>
      </c>
      <c r="AQ79" s="403">
        <f>SUM(BWXBRS!AQ$153) + SUM(BWXBRS!AQ$154) + SUM(BWXBRS!AQ$155)</f>
        <v>36.281304209657989</v>
      </c>
      <c r="AR79" s="403">
        <f>SUM(BWXBRS!AR$153) + SUM(BWXBRS!AR$154) + SUM(BWXBRS!AR$155)</f>
        <v>36.391215131812679</v>
      </c>
      <c r="AS79" s="403">
        <f>SUM(BWXBRS!AS$153) + SUM(BWXBRS!AS$154) + SUM(BWXBRS!AS$155)</f>
        <v>36.500433565292923</v>
      </c>
      <c r="AT79" s="403">
        <f>SUM(BWXBRS!AT$153) + SUM(BWXBRS!AT$154) + SUM(BWXBRS!AT$155)</f>
        <v>36.614936531184391</v>
      </c>
      <c r="AU79" s="403">
        <f>SUM(BWXBRS!AU$153) + SUM(BWXBRS!AU$154) + SUM(BWXBRS!AU$155)</f>
        <v>36.728702615186194</v>
      </c>
      <c r="AV79" s="403">
        <f>SUM(BWXBRS!AV$153) + SUM(BWXBRS!AV$154) + SUM(BWXBRS!AV$155)</f>
        <v>36.843711869003862</v>
      </c>
      <c r="AW79" s="403">
        <f>SUM(BWXBRS!AW$153) + SUM(BWXBRS!AW$154) + SUM(BWXBRS!AW$155)</f>
        <v>36.95794511667966</v>
      </c>
      <c r="AX79" s="403">
        <f>SUM(BWXBRS!AX$153) + SUM(BWXBRS!AX$154) + SUM(BWXBRS!AX$155)</f>
        <v>37.077384720324027</v>
      </c>
      <c r="AY79" s="403">
        <f>SUM(BWXBRS!AY$153) + SUM(BWXBRS!AY$154) + SUM(BWXBRS!AY$155)</f>
        <v>37.196013874041491</v>
      </c>
      <c r="AZ79" s="403">
        <f>SUM(BWXBRS!AZ$153) + SUM(BWXBRS!AZ$154) + SUM(BWXBRS!AZ$155)</f>
        <v>37.315816555578067</v>
      </c>
      <c r="BA79" s="403">
        <f>SUM(BWXBRS!BA$153) + SUM(BWXBRS!BA$154) + SUM(BWXBRS!BA$155)</f>
        <v>37.434778089125324</v>
      </c>
      <c r="BB79" s="403">
        <f>SUM(BWXBRS!BB$153) + SUM(BWXBRS!BB$154) + SUM(BWXBRS!BB$155)</f>
        <v>37.558884248356513</v>
      </c>
      <c r="BC79" s="403">
        <f>SUM(BWXBRS!BC$153) + SUM(BWXBRS!BC$154) + SUM(BWXBRS!BC$155)</f>
        <v>37.682122053783417</v>
      </c>
      <c r="BD79" s="403">
        <f>SUM(BWXBRS!BD$153) + SUM(BWXBRS!BD$154) + SUM(BWXBRS!BD$155)</f>
        <v>37.806479085453489</v>
      </c>
      <c r="BE79" s="403">
        <f>SUM(BWXBRS!BE$153) + SUM(BWXBRS!BE$154) + SUM(BWXBRS!BE$155)</f>
        <v>37.929943460006044</v>
      </c>
      <c r="BF79" s="403">
        <f>SUM(BWXBRS!BF$153) + SUM(BWXBRS!BF$154) + SUM(BWXBRS!BF$155)</f>
        <v>38.05850460628627</v>
      </c>
      <c r="BG79" s="403">
        <f>SUM(BWXBRS!BG$153) + SUM(BWXBRS!BG$154) + SUM(BWXBRS!BG$155)</f>
        <v>38.18615177697631</v>
      </c>
      <c r="BH79" s="403">
        <f>SUM(BWXBRS!BH$153) + SUM(BWXBRS!BH$154) + SUM(BWXBRS!BH$155)</f>
        <v>38.314875683392508</v>
      </c>
      <c r="BI79" s="403">
        <f>SUM(BWXBRS!BI$153) + SUM(BWXBRS!BI$154) + SUM(BWXBRS!BI$155)</f>
        <v>38.44266678959319</v>
      </c>
      <c r="BJ79" s="403">
        <f>SUM(BWXBRS!BJ$153) + SUM(BWXBRS!BJ$154) + SUM(BWXBRS!BJ$155)</f>
        <v>38.575516956139033</v>
      </c>
      <c r="BK79" s="403">
        <f>SUM(BWXBRS!BK$153) + SUM(BWXBRS!BK$154) + SUM(BWXBRS!BK$155)</f>
        <v>38.707417937216903</v>
      </c>
      <c r="BL79" s="403">
        <f>SUM(BWXBRS!BL$153) + SUM(BWXBRS!BL$154) + SUM(BWXBRS!BL$155)</f>
        <v>38.840362215345081</v>
      </c>
      <c r="BM79" s="403">
        <f>SUM(BWXBRS!BM$153) + SUM(BWXBRS!BM$154) + SUM(BWXBRS!BM$155)</f>
        <v>38.972342743538611</v>
      </c>
      <c r="BN79" s="403">
        <f>SUM(BWXBRS!BN$153) + SUM(BWXBRS!BN$154) + SUM(BWXBRS!BN$155)</f>
        <v>39.109353134158034</v>
      </c>
      <c r="BO79" s="403">
        <f>SUM(BWXBRS!BO$153) + SUM(BWXBRS!BO$154) + SUM(BWXBRS!BO$155)</f>
        <v>39.245387221362655</v>
      </c>
      <c r="BP79" s="403">
        <f>SUM(BWXBRS!BP$153) + SUM(BWXBRS!BP$154) + SUM(BWXBRS!BP$155)</f>
        <v>0</v>
      </c>
      <c r="BQ79" s="403">
        <f>SUM(BWXBRS!BQ$153) + SUM(BWXBRS!BQ$154) + SUM(BWXBRS!BQ$155)</f>
        <v>0</v>
      </c>
      <c r="BR79" s="403">
        <f>SUM(BWXBRS!BR$153) + SUM(BWXBRS!BR$154) + SUM(BWXBRS!BR$155)</f>
        <v>0</v>
      </c>
      <c r="BS79" s="403">
        <f>SUM(BWXBRS!BS$153) + SUM(BWXBRS!BS$154) + SUM(BWXBRS!BS$155)</f>
        <v>0</v>
      </c>
      <c r="BT79" s="403">
        <f>SUM(BWXBRS!BT$153) + SUM(BWXBRS!BT$154) + SUM(BWXBRS!BT$155)</f>
        <v>0</v>
      </c>
      <c r="BU79" s="403">
        <f>SUM(BWXBRS!BU$153) + SUM(BWXBRS!BU$154) + SUM(BWXBRS!BU$155)</f>
        <v>0</v>
      </c>
      <c r="BV79" s="403">
        <f>SUM(BWXBRS!BV$153) + SUM(BWXBRS!BV$154) + SUM(BWXBRS!BV$155)</f>
        <v>0</v>
      </c>
      <c r="BW79" s="403">
        <f>SUM(BWXBRS!BW$153) + SUM(BWXBRS!BW$154) + SUM(BWXBRS!BW$155)</f>
        <v>0</v>
      </c>
      <c r="BX79" s="403">
        <f>SUM(BWXBRS!BX$153) + SUM(BWXBRS!BX$154) + SUM(BWXBRS!BX$155)</f>
        <v>0</v>
      </c>
      <c r="BY79" s="403">
        <f>SUM(BWXBRS!BY$153) + SUM(BWXBRS!BY$154) + SUM(BWXBRS!BY$155)</f>
        <v>0</v>
      </c>
      <c r="BZ79" s="403">
        <f>SUM(BWXBRS!BZ$153) + SUM(BWXBRS!BZ$154) + SUM(BWXBRS!BZ$155)</f>
        <v>0</v>
      </c>
      <c r="CA79" s="403">
        <f>SUM(BWXBRS!CA$153) + SUM(BWXBRS!CA$154) + SUM(BWXBRS!CA$155)</f>
        <v>0</v>
      </c>
      <c r="CB79" s="403">
        <f>SUM(BWXBRS!CB$153) + SUM(BWXBRS!CB$154) + SUM(BWXBRS!CB$155)</f>
        <v>0</v>
      </c>
      <c r="CC79" s="403">
        <f>SUM(BWXBRS!CC$153) + SUM(BWXBRS!CC$154) + SUM(BWXBRS!CC$155)</f>
        <v>0</v>
      </c>
      <c r="CD79" s="403">
        <f>SUM(BWXBRS!CD$153) + SUM(BWXBRS!CD$154) + SUM(BWXBRS!CD$155)</f>
        <v>0</v>
      </c>
      <c r="CE79" s="403">
        <f>SUM(BWXBRS!CE$153) + SUM(BWXBRS!CE$154) + SUM(BWXBRS!CE$155)</f>
        <v>0</v>
      </c>
      <c r="CF79" s="403">
        <f>SUM(BWXBRS!CF$153) + SUM(BWXBRS!CF$154) + SUM(BWXBRS!CF$155)</f>
        <v>0</v>
      </c>
      <c r="CG79" s="403">
        <f>SUM(BWXBRS!CG$153) + SUM(BWXBRS!CG$154) + SUM(BWXBRS!CG$155)</f>
        <v>0</v>
      </c>
      <c r="CH79" s="403">
        <v>0</v>
      </c>
      <c r="CI79" s="403">
        <v>0</v>
      </c>
      <c r="CJ79" s="1204">
        <v>0</v>
      </c>
    </row>
    <row r="80" spans="2:88" ht="33.75" customHeight="1" thickBot="1" x14ac:dyDescent="0.3">
      <c r="B80" s="1184" t="s">
        <v>233</v>
      </c>
      <c r="C80" s="1185" t="s">
        <v>328</v>
      </c>
      <c r="D80" s="1186" t="s">
        <v>329</v>
      </c>
      <c r="E80" s="1185" t="s">
        <v>254</v>
      </c>
      <c r="F80" s="1187">
        <v>2</v>
      </c>
      <c r="G80" s="1179"/>
      <c r="H80" s="1179"/>
      <c r="I80" s="1179">
        <f>SUM(BWXBRS!I$156) + SUM(BWXBRS!I$163) + SUM(BWXBRS!I$164) + SUM(BWXBRS!I$165)</f>
        <v>517.67700000000002</v>
      </c>
      <c r="J80" s="1179">
        <f>SUM(BWXBRS!J$156) + SUM(BWXBRS!J$163) + SUM(BWXBRS!J$164) + SUM(BWXBRS!J$165)</f>
        <v>523.67700000000002</v>
      </c>
      <c r="K80" s="1179">
        <f>SUM(BWXBRS!K$156) + SUM(BWXBRS!K$163) + SUM(BWXBRS!K$164) + SUM(BWXBRS!K$165)</f>
        <v>529.07700000000011</v>
      </c>
      <c r="L80" s="1179">
        <f>SUM(BWXBRS!L$156) + SUM(BWXBRS!L$163) + SUM(BWXBRS!L$164) + SUM(BWXBRS!L$165)</f>
        <v>534.37700000000007</v>
      </c>
      <c r="M80" s="1179">
        <f>SUM(BWXBRS!M$156) + SUM(BWXBRS!M$163) + SUM(BWXBRS!M$164) + SUM(BWXBRS!M$165)</f>
        <v>539.077</v>
      </c>
      <c r="N80" s="1179">
        <f>SUM(BWXBRS!N$156) + SUM(BWXBRS!N$163) + SUM(BWXBRS!N$164) + SUM(BWXBRS!N$165)</f>
        <v>543.577</v>
      </c>
      <c r="O80" s="1179">
        <f>SUM(BWXBRS!O$156) + SUM(BWXBRS!O$163) + SUM(BWXBRS!O$164) + SUM(BWXBRS!O$165)</f>
        <v>548.077</v>
      </c>
      <c r="P80" s="1179">
        <f>SUM(BWXBRS!P$156) + SUM(BWXBRS!P$163) + SUM(BWXBRS!P$164) + SUM(BWXBRS!P$165)</f>
        <v>552.47699999999998</v>
      </c>
      <c r="Q80" s="1179">
        <f>SUM(BWXBRS!Q$156) + SUM(BWXBRS!Q$163) + SUM(BWXBRS!Q$164) + SUM(BWXBRS!Q$165)</f>
        <v>556.97699999999998</v>
      </c>
      <c r="R80" s="1179">
        <f>SUM(BWXBRS!R$156) + SUM(BWXBRS!R$163) + SUM(BWXBRS!R$164) + SUM(BWXBRS!R$165)</f>
        <v>561.17700000000002</v>
      </c>
      <c r="S80" s="1179">
        <f>SUM(BWXBRS!S$156) + SUM(BWXBRS!S$163) + SUM(BWXBRS!S$164) + SUM(BWXBRS!S$165)</f>
        <v>565.37699999999995</v>
      </c>
      <c r="T80" s="1179">
        <f>SUM(BWXBRS!T$156) + SUM(BWXBRS!T$163) + SUM(BWXBRS!T$164) + SUM(BWXBRS!T$165)</f>
        <v>569.577</v>
      </c>
      <c r="U80" s="1179">
        <f>SUM(BWXBRS!U$156) + SUM(BWXBRS!U$163) + SUM(BWXBRS!U$164) + SUM(BWXBRS!U$165)</f>
        <v>573.77699999999993</v>
      </c>
      <c r="V80" s="1179">
        <f>SUM(BWXBRS!V$156) + SUM(BWXBRS!V$163) + SUM(BWXBRS!V$164) + SUM(BWXBRS!V$165)</f>
        <v>577.87700000000007</v>
      </c>
      <c r="W80" s="1179">
        <f>SUM(BWXBRS!W$156) + SUM(BWXBRS!W$163) + SUM(BWXBRS!W$164) + SUM(BWXBRS!W$165)</f>
        <v>581.97699999999986</v>
      </c>
      <c r="X80" s="1179">
        <f>SUM(BWXBRS!X$156) + SUM(BWXBRS!X$163) + SUM(BWXBRS!X$164) + SUM(BWXBRS!X$165)</f>
        <v>585.87699999999995</v>
      </c>
      <c r="Y80" s="1179">
        <f>SUM(BWXBRS!Y$156) + SUM(BWXBRS!Y$163) + SUM(BWXBRS!Y$164) + SUM(BWXBRS!Y$165)</f>
        <v>589.77699999999982</v>
      </c>
      <c r="Z80" s="1179">
        <f>SUM(BWXBRS!Z$156) + SUM(BWXBRS!Z$163) + SUM(BWXBRS!Z$164) + SUM(BWXBRS!Z$165)</f>
        <v>593.67699999999991</v>
      </c>
      <c r="AA80" s="1179">
        <f>SUM(BWXBRS!AA$156) + SUM(BWXBRS!AA$163) + SUM(BWXBRS!AA$164) + SUM(BWXBRS!AA$165)</f>
        <v>597.47699999999998</v>
      </c>
      <c r="AB80" s="1179">
        <f>SUM(BWXBRS!AB$156) + SUM(BWXBRS!AB$163) + SUM(BWXBRS!AB$164) + SUM(BWXBRS!AB$165)</f>
        <v>601.07699999999988</v>
      </c>
      <c r="AC80" s="1179">
        <f>SUM(BWXBRS!AC$156) + SUM(BWXBRS!AC$163) + SUM(BWXBRS!AC$164) + SUM(BWXBRS!AC$165)</f>
        <v>604.77699999999993</v>
      </c>
      <c r="AD80" s="1179">
        <f>SUM(BWXBRS!AD$156) + SUM(BWXBRS!AD$163) + SUM(BWXBRS!AD$164) + SUM(BWXBRS!AD$165)</f>
        <v>608.577</v>
      </c>
      <c r="AE80" s="1179">
        <f>SUM(BWXBRS!AE$156) + SUM(BWXBRS!AE$163) + SUM(BWXBRS!AE$164) + SUM(BWXBRS!AE$165)</f>
        <v>612.37699999999984</v>
      </c>
      <c r="AF80" s="1179">
        <f>SUM(BWXBRS!AF$156) + SUM(BWXBRS!AF$163) + SUM(BWXBRS!AF$164) + SUM(BWXBRS!AF$165)</f>
        <v>616.27699999999993</v>
      </c>
      <c r="AG80" s="1179">
        <f>SUM(BWXBRS!AG$156) + SUM(BWXBRS!AG$163) + SUM(BWXBRS!AG$164) + SUM(BWXBRS!AG$165)</f>
        <v>619.87699999999995</v>
      </c>
      <c r="AH80" s="1179">
        <f>SUM(BWXBRS!AH$156) + SUM(BWXBRS!AH$163) + SUM(BWXBRS!AH$164) + SUM(BWXBRS!AH$165)</f>
        <v>623.37699999999995</v>
      </c>
      <c r="AI80" s="1179">
        <f>SUM(BWXBRS!AI$156) + SUM(BWXBRS!AI$163) + SUM(BWXBRS!AI$164) + SUM(BWXBRS!AI$165)</f>
        <v>626.97699999999998</v>
      </c>
      <c r="AJ80" s="1179">
        <f>SUM(BWXBRS!AJ$156) + SUM(BWXBRS!AJ$163) + SUM(BWXBRS!AJ$164) + SUM(BWXBRS!AJ$165)</f>
        <v>630.577</v>
      </c>
      <c r="AK80" s="1179">
        <f>SUM(BWXBRS!AK$156) + SUM(BWXBRS!AK$163) + SUM(BWXBRS!AK$164) + SUM(BWXBRS!AK$165)</f>
        <v>634.077</v>
      </c>
      <c r="AL80" s="1179">
        <f>SUM(BWXBRS!AL$156) + SUM(BWXBRS!AL$163) + SUM(BWXBRS!AL$164) + SUM(BWXBRS!AL$165)</f>
        <v>637.67700000000002</v>
      </c>
      <c r="AM80" s="1179">
        <f>SUM(BWXBRS!AM$156) + SUM(BWXBRS!AM$163) + SUM(BWXBRS!AM$164) + SUM(BWXBRS!AM$165)</f>
        <v>641.27700000000016</v>
      </c>
      <c r="AN80" s="1179">
        <f>SUM(BWXBRS!AN$156) + SUM(BWXBRS!AN$163) + SUM(BWXBRS!AN$164) + SUM(BWXBRS!AN$165)</f>
        <v>644.77700000000004</v>
      </c>
      <c r="AO80" s="1179">
        <f>SUM(BWXBRS!AO$156) + SUM(BWXBRS!AO$163) + SUM(BWXBRS!AO$164) + SUM(BWXBRS!AO$165)</f>
        <v>648.37700000000007</v>
      </c>
      <c r="AP80" s="1179">
        <f>SUM(BWXBRS!AP$156) + SUM(BWXBRS!AP$163) + SUM(BWXBRS!AP$164) + SUM(BWXBRS!AP$165)</f>
        <v>651.9770000000002</v>
      </c>
      <c r="AQ80" s="1179">
        <f>SUM(BWXBRS!AQ$156) + SUM(BWXBRS!AQ$163) + SUM(BWXBRS!AQ$164) + SUM(BWXBRS!AQ$165)</f>
        <v>655.47700000000009</v>
      </c>
      <c r="AR80" s="1179">
        <f>SUM(BWXBRS!AR$156) + SUM(BWXBRS!AR$163) + SUM(BWXBRS!AR$164) + SUM(BWXBRS!AR$165)</f>
        <v>659.07700000000011</v>
      </c>
      <c r="AS80" s="1179">
        <f>SUM(BWXBRS!AS$156) + SUM(BWXBRS!AS$163) + SUM(BWXBRS!AS$164) + SUM(BWXBRS!AS$165)</f>
        <v>662.57700000000023</v>
      </c>
      <c r="AT80" s="1179">
        <f>SUM(BWXBRS!AT$156) + SUM(BWXBRS!AT$163) + SUM(BWXBRS!AT$164) + SUM(BWXBRS!AT$165)</f>
        <v>666.17700000000025</v>
      </c>
      <c r="AU80" s="1179">
        <f>SUM(BWXBRS!AU$156) + SUM(BWXBRS!AU$163) + SUM(BWXBRS!AU$164) + SUM(BWXBRS!AU$165)</f>
        <v>669.77700000000027</v>
      </c>
      <c r="AV80" s="1179">
        <f>SUM(BWXBRS!AV$156) + SUM(BWXBRS!AV$163) + SUM(BWXBRS!AV$164) + SUM(BWXBRS!AV$165)</f>
        <v>673.27700000000027</v>
      </c>
      <c r="AW80" s="1179">
        <f>SUM(BWXBRS!AW$156) + SUM(BWXBRS!AW$163) + SUM(BWXBRS!AW$164) + SUM(BWXBRS!AW$165)</f>
        <v>676.87700000000029</v>
      </c>
      <c r="AX80" s="1179">
        <f>SUM(BWXBRS!AX$156) + SUM(BWXBRS!AX$163) + SUM(BWXBRS!AX$164) + SUM(BWXBRS!AX$165)</f>
        <v>680.47700000000032</v>
      </c>
      <c r="AY80" s="1179">
        <f>SUM(BWXBRS!AY$156) + SUM(BWXBRS!AY$163) + SUM(BWXBRS!AY$164) + SUM(BWXBRS!AY$165)</f>
        <v>683.97700000000032</v>
      </c>
      <c r="AZ80" s="1179">
        <f>SUM(BWXBRS!AZ$156) + SUM(BWXBRS!AZ$163) + SUM(BWXBRS!AZ$164) + SUM(BWXBRS!AZ$165)</f>
        <v>687.57700000000034</v>
      </c>
      <c r="BA80" s="1179">
        <f>SUM(BWXBRS!BA$156) + SUM(BWXBRS!BA$163) + SUM(BWXBRS!BA$164) + SUM(BWXBRS!BA$165)</f>
        <v>691.07700000000034</v>
      </c>
      <c r="BB80" s="1179">
        <f>SUM(BWXBRS!BB$156) + SUM(BWXBRS!BB$163) + SUM(BWXBRS!BB$164) + SUM(BWXBRS!BB$165)</f>
        <v>694.67700000000036</v>
      </c>
      <c r="BC80" s="1179">
        <f>SUM(BWXBRS!BC$156) + SUM(BWXBRS!BC$163) + SUM(BWXBRS!BC$164) + SUM(BWXBRS!BC$165)</f>
        <v>698.27700000000038</v>
      </c>
      <c r="BD80" s="1179">
        <f>SUM(BWXBRS!BD$156) + SUM(BWXBRS!BD$163) + SUM(BWXBRS!BD$164) + SUM(BWXBRS!BD$165)</f>
        <v>701.77700000000038</v>
      </c>
      <c r="BE80" s="1179">
        <f>SUM(BWXBRS!BE$156) + SUM(BWXBRS!BE$163) + SUM(BWXBRS!BE$164) + SUM(BWXBRS!BE$165)</f>
        <v>705.37700000000041</v>
      </c>
      <c r="BF80" s="1179">
        <f>SUM(BWXBRS!BF$156) + SUM(BWXBRS!BF$163) + SUM(BWXBRS!BF$164) + SUM(BWXBRS!BF$165)</f>
        <v>708.97700000000054</v>
      </c>
      <c r="BG80" s="1179">
        <f>SUM(BWXBRS!BG$156) + SUM(BWXBRS!BG$163) + SUM(BWXBRS!BG$164) + SUM(BWXBRS!BG$165)</f>
        <v>712.47700000000043</v>
      </c>
      <c r="BH80" s="1179">
        <f>SUM(BWXBRS!BH$156) + SUM(BWXBRS!BH$163) + SUM(BWXBRS!BH$164) + SUM(BWXBRS!BH$165)</f>
        <v>716.07700000000045</v>
      </c>
      <c r="BI80" s="1179">
        <f>SUM(BWXBRS!BI$156) + SUM(BWXBRS!BI$163) + SUM(BWXBRS!BI$164) + SUM(BWXBRS!BI$165)</f>
        <v>719.67700000000059</v>
      </c>
      <c r="BJ80" s="1179">
        <f>SUM(BWXBRS!BJ$156) + SUM(BWXBRS!BJ$163) + SUM(BWXBRS!BJ$164) + SUM(BWXBRS!BJ$165)</f>
        <v>723.17700000000059</v>
      </c>
      <c r="BK80" s="1179">
        <f>SUM(BWXBRS!BK$156) + SUM(BWXBRS!BK$163) + SUM(BWXBRS!BK$164) + SUM(BWXBRS!BK$165)</f>
        <v>726.7770000000005</v>
      </c>
      <c r="BL80" s="1179">
        <f>SUM(BWXBRS!BL$156) + SUM(BWXBRS!BL$163) + SUM(BWXBRS!BL$164) + SUM(BWXBRS!BL$165)</f>
        <v>730.27700000000061</v>
      </c>
      <c r="BM80" s="1179">
        <f>SUM(BWXBRS!BM$156) + SUM(BWXBRS!BM$163) + SUM(BWXBRS!BM$164) + SUM(BWXBRS!BM$165)</f>
        <v>733.87700000000063</v>
      </c>
      <c r="BN80" s="1179">
        <f>SUM(BWXBRS!BN$156) + SUM(BWXBRS!BN$163) + SUM(BWXBRS!BN$164) + SUM(BWXBRS!BN$165)</f>
        <v>737.47700000000066</v>
      </c>
      <c r="BO80" s="1179">
        <f>SUM(BWXBRS!BO$156) + SUM(BWXBRS!BO$163) + SUM(BWXBRS!BO$164) + SUM(BWXBRS!BO$165)</f>
        <v>740.97700000000066</v>
      </c>
      <c r="BP80" s="1179">
        <f>SUM(BWXBRS!BP$156) + SUM(BWXBRS!BP$163) + SUM(BWXBRS!BP$164) + SUM(BWXBRS!BP$165)</f>
        <v>697.85533199961515</v>
      </c>
      <c r="BQ80" s="1179">
        <f>SUM(BWXBRS!BQ$156) + SUM(BWXBRS!BQ$163) + SUM(BWXBRS!BQ$164) + SUM(BWXBRS!BQ$165)</f>
        <v>697.85533199961515</v>
      </c>
      <c r="BR80" s="1179">
        <f>SUM(BWXBRS!BR$156) + SUM(BWXBRS!BR$163) + SUM(BWXBRS!BR$164) + SUM(BWXBRS!BR$165)</f>
        <v>697.85533199961515</v>
      </c>
      <c r="BS80" s="1179">
        <f>SUM(BWXBRS!BS$156) + SUM(BWXBRS!BS$163) + SUM(BWXBRS!BS$164) + SUM(BWXBRS!BS$165)</f>
        <v>697.85533199961515</v>
      </c>
      <c r="BT80" s="1179">
        <f>SUM(BWXBRS!BT$156) + SUM(BWXBRS!BT$163) + SUM(BWXBRS!BT$164) + SUM(BWXBRS!BT$165)</f>
        <v>697.85533199961515</v>
      </c>
      <c r="BU80" s="1179">
        <f>SUM(BWXBRS!BU$156) + SUM(BWXBRS!BU$163) + SUM(BWXBRS!BU$164) + SUM(BWXBRS!BU$165)</f>
        <v>697.85533199961515</v>
      </c>
      <c r="BV80" s="1179">
        <f>SUM(BWXBRS!BV$156) + SUM(BWXBRS!BV$163) + SUM(BWXBRS!BV$164) + SUM(BWXBRS!BV$165)</f>
        <v>697.85533199961515</v>
      </c>
      <c r="BW80" s="1179">
        <f>SUM(BWXBRS!BW$156) + SUM(BWXBRS!BW$163) + SUM(BWXBRS!BW$164) + SUM(BWXBRS!BW$165)</f>
        <v>697.85533199961515</v>
      </c>
      <c r="BX80" s="1179">
        <f>SUM(BWXBRS!BX$156) + SUM(BWXBRS!BX$163) + SUM(BWXBRS!BX$164) + SUM(BWXBRS!BX$165)</f>
        <v>697.85533199961515</v>
      </c>
      <c r="BY80" s="1179">
        <f>SUM(BWXBRS!BY$156) + SUM(BWXBRS!BY$163) + SUM(BWXBRS!BY$164) + SUM(BWXBRS!BY$165)</f>
        <v>697.85533199961515</v>
      </c>
      <c r="BZ80" s="1179">
        <f>SUM(BWXBRS!BZ$156) + SUM(BWXBRS!BZ$163) + SUM(BWXBRS!BZ$164) + SUM(BWXBRS!BZ$165)</f>
        <v>697.85533199961515</v>
      </c>
      <c r="CA80" s="1179">
        <f>SUM(BWXBRS!CA$156) + SUM(BWXBRS!CA$163) + SUM(BWXBRS!CA$164) + SUM(BWXBRS!CA$165)</f>
        <v>697.85533199961515</v>
      </c>
      <c r="CB80" s="1179">
        <f>SUM(BWXBRS!CB$156) + SUM(BWXBRS!CB$163) + SUM(BWXBRS!CB$164) + SUM(BWXBRS!CB$165)</f>
        <v>697.85533199961515</v>
      </c>
      <c r="CC80" s="1179">
        <f>SUM(BWXBRS!CC$156) + SUM(BWXBRS!CC$163) + SUM(BWXBRS!CC$164) + SUM(BWXBRS!CC$165)</f>
        <v>697.85533199961515</v>
      </c>
      <c r="CD80" s="1179">
        <f>SUM(BWXBRS!CD$156) + SUM(BWXBRS!CD$163) + SUM(BWXBRS!CD$164) + SUM(BWXBRS!CD$165)</f>
        <v>697.85533199961515</v>
      </c>
      <c r="CE80" s="1179">
        <f>SUM(BWXBRS!CE$156) + SUM(BWXBRS!CE$163) + SUM(BWXBRS!CE$164) + SUM(BWXBRS!CE$165)</f>
        <v>697.85533199961515</v>
      </c>
      <c r="CF80" s="1179">
        <f>SUM(BWXBRS!CF$156) + SUM(BWXBRS!CF$163) + SUM(BWXBRS!CF$164) + SUM(BWXBRS!CF$165)</f>
        <v>697.85533199961515</v>
      </c>
      <c r="CG80" s="1179">
        <f>SUM(BWXBRS!CG$156) + SUM(BWXBRS!CG$163) + SUM(BWXBRS!CG$164) + SUM(BWXBRS!CG$165)</f>
        <v>697.85533199961515</v>
      </c>
      <c r="CH80" s="1179">
        <v>0</v>
      </c>
      <c r="CI80" s="1179">
        <v>0</v>
      </c>
      <c r="CJ80" s="1205">
        <v>0</v>
      </c>
    </row>
    <row r="81" spans="2:88" ht="14.7" customHeight="1" thickBot="1" x14ac:dyDescent="0.3">
      <c r="C81" s="1383" t="s">
        <v>115</v>
      </c>
    </row>
    <row r="82" spans="2:88" ht="62.25" customHeight="1" thickBot="1" x14ac:dyDescent="0.3">
      <c r="B82" s="434" t="s">
        <v>330</v>
      </c>
      <c r="C82" s="20"/>
    </row>
    <row r="83" spans="2:88" ht="14.7" customHeight="1" thickBot="1" x14ac:dyDescent="0.3">
      <c r="B83" s="497" t="s">
        <v>63</v>
      </c>
      <c r="C83" s="498" t="s">
        <v>116</v>
      </c>
      <c r="D83" s="498" t="s">
        <v>64</v>
      </c>
      <c r="E83" s="498" t="s">
        <v>117</v>
      </c>
      <c r="F83" s="499" t="s">
        <v>118</v>
      </c>
      <c r="G83" s="488" t="s">
        <v>119</v>
      </c>
      <c r="H83" s="486" t="s">
        <v>120</v>
      </c>
      <c r="I83" s="486" t="s">
        <v>121</v>
      </c>
      <c r="J83" s="486" t="s">
        <v>122</v>
      </c>
      <c r="K83" s="486" t="s">
        <v>123</v>
      </c>
      <c r="L83" s="486" t="s">
        <v>124</v>
      </c>
      <c r="M83" s="486" t="s">
        <v>125</v>
      </c>
      <c r="N83" s="486" t="s">
        <v>126</v>
      </c>
      <c r="O83" s="486" t="s">
        <v>127</v>
      </c>
      <c r="P83" s="486" t="s">
        <v>128</v>
      </c>
      <c r="Q83" s="486" t="s">
        <v>129</v>
      </c>
      <c r="R83" s="486" t="s">
        <v>130</v>
      </c>
      <c r="S83" s="486" t="s">
        <v>157</v>
      </c>
      <c r="T83" s="486" t="s">
        <v>158</v>
      </c>
      <c r="U83" s="486" t="s">
        <v>159</v>
      </c>
      <c r="V83" s="486" t="s">
        <v>160</v>
      </c>
      <c r="W83" s="486" t="s">
        <v>131</v>
      </c>
      <c r="X83" s="486" t="s">
        <v>161</v>
      </c>
      <c r="Y83" s="486" t="s">
        <v>162</v>
      </c>
      <c r="Z83" s="486" t="s">
        <v>163</v>
      </c>
      <c r="AA83" s="486" t="s">
        <v>164</v>
      </c>
      <c r="AB83" s="486" t="s">
        <v>132</v>
      </c>
      <c r="AC83" s="486" t="s">
        <v>165</v>
      </c>
      <c r="AD83" s="486" t="s">
        <v>166</v>
      </c>
      <c r="AE83" s="486" t="s">
        <v>167</v>
      </c>
      <c r="AF83" s="486" t="s">
        <v>168</v>
      </c>
      <c r="AG83" s="486" t="s">
        <v>133</v>
      </c>
      <c r="AH83" s="486" t="s">
        <v>169</v>
      </c>
      <c r="AI83" s="486" t="s">
        <v>170</v>
      </c>
      <c r="AJ83" s="486" t="s">
        <v>171</v>
      </c>
      <c r="AK83" s="486" t="s">
        <v>172</v>
      </c>
      <c r="AL83" s="486" t="s">
        <v>134</v>
      </c>
      <c r="AM83" s="486" t="s">
        <v>173</v>
      </c>
      <c r="AN83" s="486" t="s">
        <v>174</v>
      </c>
      <c r="AO83" s="486" t="s">
        <v>175</v>
      </c>
      <c r="AP83" s="486" t="s">
        <v>176</v>
      </c>
      <c r="AQ83" s="486" t="s">
        <v>135</v>
      </c>
      <c r="AR83" s="486" t="s">
        <v>177</v>
      </c>
      <c r="AS83" s="486" t="s">
        <v>178</v>
      </c>
      <c r="AT83" s="486" t="s">
        <v>179</v>
      </c>
      <c r="AU83" s="486" t="s">
        <v>180</v>
      </c>
      <c r="AV83" s="486" t="s">
        <v>136</v>
      </c>
      <c r="AW83" s="486" t="s">
        <v>181</v>
      </c>
      <c r="AX83" s="486" t="s">
        <v>182</v>
      </c>
      <c r="AY83" s="486" t="s">
        <v>183</v>
      </c>
      <c r="AZ83" s="486" t="s">
        <v>184</v>
      </c>
      <c r="BA83" s="486" t="s">
        <v>137</v>
      </c>
      <c r="BB83" s="486" t="s">
        <v>185</v>
      </c>
      <c r="BC83" s="486" t="s">
        <v>186</v>
      </c>
      <c r="BD83" s="486" t="s">
        <v>187</v>
      </c>
      <c r="BE83" s="486" t="s">
        <v>188</v>
      </c>
      <c r="BF83" s="486" t="s">
        <v>138</v>
      </c>
      <c r="BG83" s="486" t="s">
        <v>189</v>
      </c>
      <c r="BH83" s="486" t="s">
        <v>190</v>
      </c>
      <c r="BI83" s="486" t="s">
        <v>191</v>
      </c>
      <c r="BJ83" s="486" t="s">
        <v>192</v>
      </c>
      <c r="BK83" s="486" t="s">
        <v>139</v>
      </c>
      <c r="BL83" s="486" t="s">
        <v>193</v>
      </c>
      <c r="BM83" s="486" t="s">
        <v>194</v>
      </c>
      <c r="BN83" s="486" t="s">
        <v>195</v>
      </c>
      <c r="BO83" s="486" t="s">
        <v>196</v>
      </c>
      <c r="BP83" s="486" t="s">
        <v>140</v>
      </c>
      <c r="BQ83" s="486" t="s">
        <v>197</v>
      </c>
      <c r="BR83" s="486" t="s">
        <v>198</v>
      </c>
      <c r="BS83" s="486" t="s">
        <v>199</v>
      </c>
      <c r="BT83" s="486" t="s">
        <v>200</v>
      </c>
      <c r="BU83" s="486" t="s">
        <v>141</v>
      </c>
      <c r="BV83" s="486" t="s">
        <v>201</v>
      </c>
      <c r="BW83" s="486" t="s">
        <v>202</v>
      </c>
      <c r="BX83" s="486" t="s">
        <v>203</v>
      </c>
      <c r="BY83" s="486" t="s">
        <v>204</v>
      </c>
      <c r="BZ83" s="486" t="s">
        <v>142</v>
      </c>
      <c r="CA83" s="486" t="s">
        <v>205</v>
      </c>
      <c r="CB83" s="486" t="s">
        <v>206</v>
      </c>
      <c r="CC83" s="486" t="s">
        <v>207</v>
      </c>
      <c r="CD83" s="486" t="s">
        <v>208</v>
      </c>
      <c r="CE83" s="486" t="s">
        <v>143</v>
      </c>
      <c r="CF83" s="486" t="s">
        <v>209</v>
      </c>
      <c r="CG83" s="486" t="s">
        <v>210</v>
      </c>
      <c r="CH83" s="486" t="s">
        <v>211</v>
      </c>
      <c r="CI83" s="486" t="s">
        <v>212</v>
      </c>
      <c r="CJ83" s="486" t="s">
        <v>213</v>
      </c>
    </row>
    <row r="84" spans="2:88" ht="14.7" customHeight="1" x14ac:dyDescent="0.25">
      <c r="B84" s="551" t="s">
        <v>331</v>
      </c>
      <c r="C84" s="530" t="s">
        <v>332</v>
      </c>
      <c r="D84" s="531" t="s">
        <v>79</v>
      </c>
      <c r="E84" s="531" t="s">
        <v>333</v>
      </c>
      <c r="F84" s="532">
        <v>2</v>
      </c>
      <c r="G84" s="341"/>
      <c r="H84" s="342"/>
      <c r="I84" s="342">
        <v>0.01</v>
      </c>
      <c r="J84" s="342">
        <v>0.01</v>
      </c>
      <c r="K84" s="342">
        <v>0.01</v>
      </c>
      <c r="L84" s="342">
        <v>0.01</v>
      </c>
      <c r="M84" s="342">
        <v>0.01</v>
      </c>
      <c r="N84" s="342">
        <v>0.01</v>
      </c>
      <c r="O84" s="342">
        <v>0.01</v>
      </c>
      <c r="P84" s="342">
        <v>0.01</v>
      </c>
      <c r="Q84" s="342">
        <v>0.01</v>
      </c>
      <c r="R84" s="342">
        <v>0.01</v>
      </c>
      <c r="S84" s="342">
        <v>0.01</v>
      </c>
      <c r="T84" s="342">
        <v>0.01</v>
      </c>
      <c r="U84" s="342">
        <v>0.01</v>
      </c>
      <c r="V84" s="342">
        <v>0.01</v>
      </c>
      <c r="W84" s="342">
        <v>0.01</v>
      </c>
      <c r="X84" s="342">
        <v>0.01</v>
      </c>
      <c r="Y84" s="342">
        <v>0.01</v>
      </c>
      <c r="Z84" s="342">
        <v>0.01</v>
      </c>
      <c r="AA84" s="342">
        <v>0.01</v>
      </c>
      <c r="AB84" s="342">
        <v>0.01</v>
      </c>
      <c r="AC84" s="342">
        <v>0.01</v>
      </c>
      <c r="AD84" s="342">
        <v>0.01</v>
      </c>
      <c r="AE84" s="342">
        <v>0.01</v>
      </c>
      <c r="AF84" s="342">
        <v>0.01</v>
      </c>
      <c r="AG84" s="342">
        <v>0.01</v>
      </c>
      <c r="AH84" s="342">
        <v>0.01</v>
      </c>
      <c r="AI84" s="342">
        <v>0.01</v>
      </c>
      <c r="AJ84" s="342">
        <v>0.01</v>
      </c>
      <c r="AK84" s="342">
        <v>0.01</v>
      </c>
      <c r="AL84" s="342">
        <v>0.01</v>
      </c>
      <c r="AM84" s="342">
        <v>0.01</v>
      </c>
      <c r="AN84" s="342">
        <v>0.01</v>
      </c>
      <c r="AO84" s="342">
        <v>0.01</v>
      </c>
      <c r="AP84" s="342">
        <v>0.01</v>
      </c>
      <c r="AQ84" s="342">
        <v>0.01</v>
      </c>
      <c r="AR84" s="342">
        <v>0.01</v>
      </c>
      <c r="AS84" s="342">
        <v>0.01</v>
      </c>
      <c r="AT84" s="342">
        <v>0.01</v>
      </c>
      <c r="AU84" s="342">
        <v>0.01</v>
      </c>
      <c r="AV84" s="342">
        <v>0.01</v>
      </c>
      <c r="AW84" s="342">
        <v>0.01</v>
      </c>
      <c r="AX84" s="342">
        <v>0.01</v>
      </c>
      <c r="AY84" s="342">
        <v>0.01</v>
      </c>
      <c r="AZ84" s="342">
        <v>0.01</v>
      </c>
      <c r="BA84" s="342">
        <v>0.01</v>
      </c>
      <c r="BB84" s="342">
        <v>0.01</v>
      </c>
      <c r="BC84" s="342">
        <v>0.01</v>
      </c>
      <c r="BD84" s="342">
        <v>0.01</v>
      </c>
      <c r="BE84" s="342">
        <v>0.01</v>
      </c>
      <c r="BF84" s="342">
        <v>0.01</v>
      </c>
      <c r="BG84" s="342">
        <v>0.01</v>
      </c>
      <c r="BH84" s="342">
        <v>0.01</v>
      </c>
      <c r="BI84" s="342">
        <v>0.01</v>
      </c>
      <c r="BJ84" s="342">
        <v>0.01</v>
      </c>
      <c r="BK84" s="342">
        <v>0.01</v>
      </c>
      <c r="BL84" s="342">
        <v>0.01</v>
      </c>
      <c r="BM84" s="342">
        <v>0.01</v>
      </c>
      <c r="BN84" s="342">
        <v>0.01</v>
      </c>
      <c r="BO84" s="342">
        <v>0.01</v>
      </c>
      <c r="BP84" s="342"/>
      <c r="BQ84" s="342"/>
      <c r="BR84" s="342"/>
      <c r="BS84" s="342"/>
      <c r="BT84" s="342"/>
      <c r="BU84" s="342"/>
      <c r="BV84" s="342"/>
      <c r="BW84" s="342"/>
      <c r="BX84" s="342"/>
      <c r="BY84" s="342"/>
      <c r="BZ84" s="342"/>
      <c r="CA84" s="342"/>
      <c r="CB84" s="342"/>
      <c r="CC84" s="342"/>
      <c r="CD84" s="342"/>
      <c r="CE84" s="342"/>
      <c r="CF84" s="342"/>
      <c r="CG84" s="342"/>
      <c r="CH84" s="342"/>
      <c r="CI84" s="342"/>
      <c r="CJ84" s="342"/>
    </row>
    <row r="85" spans="2:88" ht="14.7" customHeight="1" x14ac:dyDescent="0.25">
      <c r="B85" s="552" t="s">
        <v>334</v>
      </c>
      <c r="C85" s="534" t="s">
        <v>335</v>
      </c>
      <c r="D85" s="535" t="s">
        <v>79</v>
      </c>
      <c r="E85" s="535" t="s">
        <v>333</v>
      </c>
      <c r="F85" s="536">
        <v>2</v>
      </c>
      <c r="G85" s="343"/>
      <c r="H85" s="344"/>
      <c r="I85" s="343">
        <v>6.6699999999999995E-2</v>
      </c>
      <c r="J85" s="344">
        <v>6.6699999999999995E-2</v>
      </c>
      <c r="K85" s="343">
        <v>6.6699999999999995E-2</v>
      </c>
      <c r="L85" s="344">
        <v>6.6699999999999995E-2</v>
      </c>
      <c r="M85" s="343">
        <v>6.6699999999999995E-2</v>
      </c>
      <c r="N85" s="344">
        <v>6.6699999999999995E-2</v>
      </c>
      <c r="O85" s="343">
        <v>6.6699999999999995E-2</v>
      </c>
      <c r="P85" s="344">
        <v>6.6699999999999995E-2</v>
      </c>
      <c r="Q85" s="343">
        <v>6.6699999999999995E-2</v>
      </c>
      <c r="R85" s="344">
        <v>6.6699999999999995E-2</v>
      </c>
      <c r="S85" s="343">
        <v>6.6699999999999995E-2</v>
      </c>
      <c r="T85" s="344">
        <v>6.6699999999999995E-2</v>
      </c>
      <c r="U85" s="343">
        <v>6.6699999999999995E-2</v>
      </c>
      <c r="V85" s="344">
        <v>6.6699999999999995E-2</v>
      </c>
      <c r="W85" s="343">
        <v>6.6699999999999995E-2</v>
      </c>
      <c r="X85" s="344">
        <v>6.6699999999999995E-2</v>
      </c>
      <c r="Y85" s="343">
        <v>6.6699999999999995E-2</v>
      </c>
      <c r="Z85" s="344">
        <v>6.6699999999999995E-2</v>
      </c>
      <c r="AA85" s="343">
        <v>6.6699999999999995E-2</v>
      </c>
      <c r="AB85" s="344">
        <v>6.6699999999999995E-2</v>
      </c>
      <c r="AC85" s="343">
        <v>6.6699999999999995E-2</v>
      </c>
      <c r="AD85" s="344">
        <v>6.6699999999999995E-2</v>
      </c>
      <c r="AE85" s="343">
        <v>6.6699999999999995E-2</v>
      </c>
      <c r="AF85" s="344">
        <v>6.6699999999999995E-2</v>
      </c>
      <c r="AG85" s="343">
        <v>6.6699999999999995E-2</v>
      </c>
      <c r="AH85" s="344">
        <v>6.6699999999999995E-2</v>
      </c>
      <c r="AI85" s="343">
        <v>6.6699999999999995E-2</v>
      </c>
      <c r="AJ85" s="344">
        <v>6.6699999999999995E-2</v>
      </c>
      <c r="AK85" s="343">
        <v>6.6699999999999995E-2</v>
      </c>
      <c r="AL85" s="344">
        <v>6.6699999999999995E-2</v>
      </c>
      <c r="AM85" s="343">
        <v>6.6699999999999995E-2</v>
      </c>
      <c r="AN85" s="344">
        <v>6.6699999999999995E-2</v>
      </c>
      <c r="AO85" s="343">
        <v>6.6699999999999995E-2</v>
      </c>
      <c r="AP85" s="344">
        <v>6.6699999999999995E-2</v>
      </c>
      <c r="AQ85" s="343">
        <v>6.6699999999999995E-2</v>
      </c>
      <c r="AR85" s="344">
        <v>6.6699999999999995E-2</v>
      </c>
      <c r="AS85" s="343">
        <v>6.6699999999999995E-2</v>
      </c>
      <c r="AT85" s="344">
        <v>6.6699999999999995E-2</v>
      </c>
      <c r="AU85" s="343">
        <v>6.6699999999999995E-2</v>
      </c>
      <c r="AV85" s="344">
        <v>6.6699999999999995E-2</v>
      </c>
      <c r="AW85" s="343">
        <v>6.6699999999999995E-2</v>
      </c>
      <c r="AX85" s="344">
        <v>6.6699999999999995E-2</v>
      </c>
      <c r="AY85" s="343">
        <v>6.6699999999999995E-2</v>
      </c>
      <c r="AZ85" s="344">
        <v>6.6699999999999995E-2</v>
      </c>
      <c r="BA85" s="343">
        <v>6.6699999999999995E-2</v>
      </c>
      <c r="BB85" s="344">
        <v>6.6699999999999995E-2</v>
      </c>
      <c r="BC85" s="343">
        <v>6.6699999999999995E-2</v>
      </c>
      <c r="BD85" s="344">
        <v>6.6699999999999995E-2</v>
      </c>
      <c r="BE85" s="343">
        <v>6.6699999999999995E-2</v>
      </c>
      <c r="BF85" s="344">
        <v>6.6699999999999995E-2</v>
      </c>
      <c r="BG85" s="343">
        <v>6.6699999999999995E-2</v>
      </c>
      <c r="BH85" s="344">
        <v>6.6699999999999995E-2</v>
      </c>
      <c r="BI85" s="343">
        <v>6.6699999999999995E-2</v>
      </c>
      <c r="BJ85" s="344">
        <v>6.6699999999999995E-2</v>
      </c>
      <c r="BK85" s="343">
        <v>6.6699999999999995E-2</v>
      </c>
      <c r="BL85" s="344">
        <v>6.6699999999999995E-2</v>
      </c>
      <c r="BM85" s="343">
        <v>6.6699999999999995E-2</v>
      </c>
      <c r="BN85" s="344">
        <v>6.6699999999999995E-2</v>
      </c>
      <c r="BO85" s="343">
        <v>6.6699999999999995E-2</v>
      </c>
      <c r="BP85" s="344"/>
      <c r="BQ85" s="344"/>
      <c r="BR85" s="344"/>
      <c r="BS85" s="344"/>
      <c r="BT85" s="344"/>
      <c r="BU85" s="344"/>
      <c r="BV85" s="344"/>
      <c r="BW85" s="344"/>
      <c r="BX85" s="344"/>
      <c r="BY85" s="344"/>
      <c r="BZ85" s="344"/>
      <c r="CA85" s="344"/>
      <c r="CB85" s="344"/>
      <c r="CC85" s="344"/>
      <c r="CD85" s="344"/>
      <c r="CE85" s="344"/>
      <c r="CF85" s="344"/>
      <c r="CG85" s="344"/>
      <c r="CH85" s="344"/>
      <c r="CI85" s="344"/>
      <c r="CJ85" s="344"/>
    </row>
    <row r="86" spans="2:88" ht="14.7" customHeight="1" x14ac:dyDescent="0.25">
      <c r="B86" s="552" t="s">
        <v>336</v>
      </c>
      <c r="C86" s="534" t="s">
        <v>337</v>
      </c>
      <c r="D86" s="535" t="s">
        <v>79</v>
      </c>
      <c r="E86" s="535" t="s">
        <v>285</v>
      </c>
      <c r="F86" s="536">
        <v>2</v>
      </c>
      <c r="G86" s="343"/>
      <c r="H86" s="344"/>
      <c r="I86" s="344" t="s">
        <v>1697</v>
      </c>
      <c r="J86" s="344" t="s">
        <v>1697</v>
      </c>
      <c r="K86" s="344" t="s">
        <v>1697</v>
      </c>
      <c r="L86" s="344" t="s">
        <v>1697</v>
      </c>
      <c r="M86" s="344" t="s">
        <v>1697</v>
      </c>
      <c r="N86" s="344" t="s">
        <v>1697</v>
      </c>
      <c r="O86" s="344" t="s">
        <v>1697</v>
      </c>
      <c r="P86" s="344" t="s">
        <v>1697</v>
      </c>
      <c r="Q86" s="344" t="s">
        <v>1697</v>
      </c>
      <c r="R86" s="344" t="s">
        <v>1697</v>
      </c>
      <c r="S86" s="344" t="s">
        <v>1697</v>
      </c>
      <c r="T86" s="344" t="s">
        <v>1697</v>
      </c>
      <c r="U86" s="344" t="s">
        <v>1697</v>
      </c>
      <c r="V86" s="344" t="s">
        <v>1697</v>
      </c>
      <c r="W86" s="344" t="s">
        <v>1697</v>
      </c>
      <c r="X86" s="344" t="s">
        <v>1697</v>
      </c>
      <c r="Y86" s="344" t="s">
        <v>1697</v>
      </c>
      <c r="Z86" s="344" t="s">
        <v>1697</v>
      </c>
      <c r="AA86" s="344" t="s">
        <v>1697</v>
      </c>
      <c r="AB86" s="344" t="s">
        <v>1697</v>
      </c>
      <c r="AC86" s="344" t="s">
        <v>1697</v>
      </c>
      <c r="AD86" s="344" t="s">
        <v>1697</v>
      </c>
      <c r="AE86" s="344" t="s">
        <v>1697</v>
      </c>
      <c r="AF86" s="344" t="s">
        <v>1697</v>
      </c>
      <c r="AG86" s="344" t="s">
        <v>1697</v>
      </c>
      <c r="AH86" s="344" t="s">
        <v>1697</v>
      </c>
      <c r="AI86" s="344" t="s">
        <v>1697</v>
      </c>
      <c r="AJ86" s="344" t="s">
        <v>1697</v>
      </c>
      <c r="AK86" s="344" t="s">
        <v>1697</v>
      </c>
      <c r="AL86" s="344" t="s">
        <v>1697</v>
      </c>
      <c r="AM86" s="344" t="s">
        <v>1697</v>
      </c>
      <c r="AN86" s="344" t="s">
        <v>1697</v>
      </c>
      <c r="AO86" s="344" t="s">
        <v>1697</v>
      </c>
      <c r="AP86" s="344" t="s">
        <v>1697</v>
      </c>
      <c r="AQ86" s="344" t="s">
        <v>1697</v>
      </c>
      <c r="AR86" s="344" t="s">
        <v>1697</v>
      </c>
      <c r="AS86" s="344" t="s">
        <v>1697</v>
      </c>
      <c r="AT86" s="344" t="s">
        <v>1697</v>
      </c>
      <c r="AU86" s="344" t="s">
        <v>1697</v>
      </c>
      <c r="AV86" s="344" t="s">
        <v>1697</v>
      </c>
      <c r="AW86" s="344" t="s">
        <v>1697</v>
      </c>
      <c r="AX86" s="344" t="s">
        <v>1697</v>
      </c>
      <c r="AY86" s="344" t="s">
        <v>1697</v>
      </c>
      <c r="AZ86" s="344" t="s">
        <v>1697</v>
      </c>
      <c r="BA86" s="344" t="s">
        <v>1697</v>
      </c>
      <c r="BB86" s="344" t="s">
        <v>1697</v>
      </c>
      <c r="BC86" s="344" t="s">
        <v>1697</v>
      </c>
      <c r="BD86" s="344" t="s">
        <v>1697</v>
      </c>
      <c r="BE86" s="344" t="s">
        <v>1697</v>
      </c>
      <c r="BF86" s="344" t="s">
        <v>1697</v>
      </c>
      <c r="BG86" s="344" t="s">
        <v>1697</v>
      </c>
      <c r="BH86" s="344" t="s">
        <v>1697</v>
      </c>
      <c r="BI86" s="344" t="s">
        <v>1697</v>
      </c>
      <c r="BJ86" s="344" t="s">
        <v>1697</v>
      </c>
      <c r="BK86" s="344" t="s">
        <v>1697</v>
      </c>
      <c r="BL86" s="344" t="s">
        <v>1697</v>
      </c>
      <c r="BM86" s="344" t="s">
        <v>1697</v>
      </c>
      <c r="BN86" s="344" t="s">
        <v>1697</v>
      </c>
      <c r="BO86" s="344" t="s">
        <v>1697</v>
      </c>
      <c r="BP86" s="344"/>
      <c r="BQ86" s="344"/>
      <c r="BR86" s="344"/>
      <c r="BS86" s="344"/>
      <c r="BT86" s="344"/>
      <c r="BU86" s="344"/>
      <c r="BV86" s="344"/>
      <c r="BW86" s="344"/>
      <c r="BX86" s="344"/>
      <c r="BY86" s="344"/>
      <c r="BZ86" s="344"/>
      <c r="CA86" s="344"/>
      <c r="CB86" s="344"/>
      <c r="CC86" s="344"/>
      <c r="CD86" s="344"/>
      <c r="CE86" s="344"/>
      <c r="CF86" s="344"/>
      <c r="CG86" s="344"/>
      <c r="CH86" s="344"/>
      <c r="CI86" s="344"/>
      <c r="CJ86" s="344"/>
    </row>
    <row r="87" spans="2:88" x14ac:dyDescent="0.25">
      <c r="B87" s="552" t="s">
        <v>338</v>
      </c>
      <c r="C87" s="534" t="s">
        <v>339</v>
      </c>
      <c r="D87" s="535" t="s">
        <v>79</v>
      </c>
      <c r="E87" s="535" t="s">
        <v>333</v>
      </c>
      <c r="F87" s="536">
        <v>2</v>
      </c>
      <c r="G87" s="343"/>
      <c r="H87" s="344"/>
      <c r="I87" s="344">
        <v>3.0300000000000001E-2</v>
      </c>
      <c r="J87" s="344">
        <v>3.0300000000000001E-2</v>
      </c>
      <c r="K87" s="344">
        <v>3.0300000000000001E-2</v>
      </c>
      <c r="L87" s="344">
        <v>3.0300000000000001E-2</v>
      </c>
      <c r="M87" s="344">
        <v>3.0300000000000001E-2</v>
      </c>
      <c r="N87" s="344">
        <v>3.0300000000000001E-2</v>
      </c>
      <c r="O87" s="344">
        <v>3.0300000000000001E-2</v>
      </c>
      <c r="P87" s="344">
        <v>3.0300000000000001E-2</v>
      </c>
      <c r="Q87" s="344">
        <v>3.0300000000000001E-2</v>
      </c>
      <c r="R87" s="344">
        <v>3.0300000000000001E-2</v>
      </c>
      <c r="S87" s="344">
        <v>3.0300000000000001E-2</v>
      </c>
      <c r="T87" s="344">
        <v>3.0300000000000001E-2</v>
      </c>
      <c r="U87" s="344">
        <v>3.0300000000000001E-2</v>
      </c>
      <c r="V87" s="344">
        <v>3.0300000000000001E-2</v>
      </c>
      <c r="W87" s="344">
        <v>3.0300000000000001E-2</v>
      </c>
      <c r="X87" s="344">
        <v>3.0300000000000001E-2</v>
      </c>
      <c r="Y87" s="344">
        <v>3.0300000000000001E-2</v>
      </c>
      <c r="Z87" s="344">
        <v>3.0300000000000001E-2</v>
      </c>
      <c r="AA87" s="344">
        <v>3.0300000000000001E-2</v>
      </c>
      <c r="AB87" s="344">
        <v>3.0300000000000001E-2</v>
      </c>
      <c r="AC87" s="344">
        <v>3.0300000000000001E-2</v>
      </c>
      <c r="AD87" s="344">
        <v>3.0300000000000001E-2</v>
      </c>
      <c r="AE87" s="344">
        <v>3.0300000000000001E-2</v>
      </c>
      <c r="AF87" s="344">
        <v>3.0300000000000001E-2</v>
      </c>
      <c r="AG87" s="344">
        <v>3.0300000000000001E-2</v>
      </c>
      <c r="AH87" s="344">
        <v>3.0300000000000001E-2</v>
      </c>
      <c r="AI87" s="344">
        <v>3.0300000000000001E-2</v>
      </c>
      <c r="AJ87" s="344">
        <v>3.0300000000000001E-2</v>
      </c>
      <c r="AK87" s="344">
        <v>3.0300000000000001E-2</v>
      </c>
      <c r="AL87" s="344">
        <v>3.0300000000000001E-2</v>
      </c>
      <c r="AM87" s="344">
        <v>3.0300000000000001E-2</v>
      </c>
      <c r="AN87" s="344">
        <v>3.0300000000000001E-2</v>
      </c>
      <c r="AO87" s="344">
        <v>3.0300000000000001E-2</v>
      </c>
      <c r="AP87" s="344">
        <v>3.0300000000000001E-2</v>
      </c>
      <c r="AQ87" s="344">
        <v>3.0300000000000001E-2</v>
      </c>
      <c r="AR87" s="344">
        <v>3.0300000000000001E-2</v>
      </c>
      <c r="AS87" s="344">
        <v>3.0300000000000001E-2</v>
      </c>
      <c r="AT87" s="344">
        <v>3.0300000000000001E-2</v>
      </c>
      <c r="AU87" s="344">
        <v>3.0300000000000001E-2</v>
      </c>
      <c r="AV87" s="344">
        <v>3.0300000000000001E-2</v>
      </c>
      <c r="AW87" s="344">
        <v>3.0300000000000001E-2</v>
      </c>
      <c r="AX87" s="344">
        <v>3.0300000000000001E-2</v>
      </c>
      <c r="AY87" s="344">
        <v>3.0300000000000001E-2</v>
      </c>
      <c r="AZ87" s="344">
        <v>3.0300000000000001E-2</v>
      </c>
      <c r="BA87" s="344">
        <v>3.0300000000000001E-2</v>
      </c>
      <c r="BB87" s="344">
        <v>3.0300000000000001E-2</v>
      </c>
      <c r="BC87" s="344">
        <v>3.0300000000000001E-2</v>
      </c>
      <c r="BD87" s="344">
        <v>3.0300000000000001E-2</v>
      </c>
      <c r="BE87" s="344">
        <v>3.0300000000000001E-2</v>
      </c>
      <c r="BF87" s="344">
        <v>3.0300000000000001E-2</v>
      </c>
      <c r="BG87" s="344">
        <v>3.0300000000000001E-2</v>
      </c>
      <c r="BH87" s="344">
        <v>3.0300000000000001E-2</v>
      </c>
      <c r="BI87" s="344">
        <v>3.0300000000000001E-2</v>
      </c>
      <c r="BJ87" s="344">
        <v>3.0300000000000001E-2</v>
      </c>
      <c r="BK87" s="344">
        <v>3.0300000000000001E-2</v>
      </c>
      <c r="BL87" s="344">
        <v>3.0300000000000001E-2</v>
      </c>
      <c r="BM87" s="344">
        <v>3.0300000000000001E-2</v>
      </c>
      <c r="BN87" s="344">
        <v>3.0300000000000001E-2</v>
      </c>
      <c r="BO87" s="344">
        <v>3.0300000000000001E-2</v>
      </c>
      <c r="BP87" s="344"/>
      <c r="BQ87" s="344"/>
      <c r="BR87" s="344"/>
      <c r="BS87" s="344"/>
      <c r="BT87" s="344"/>
      <c r="BU87" s="344"/>
      <c r="BV87" s="344"/>
      <c r="BW87" s="344"/>
      <c r="BX87" s="344"/>
      <c r="BY87" s="344"/>
      <c r="BZ87" s="344"/>
      <c r="CA87" s="344"/>
      <c r="CB87" s="344"/>
      <c r="CC87" s="344"/>
      <c r="CD87" s="344"/>
      <c r="CE87" s="344"/>
      <c r="CF87" s="344"/>
      <c r="CG87" s="344"/>
      <c r="CH87" s="344"/>
      <c r="CI87" s="344"/>
      <c r="CJ87" s="344"/>
    </row>
    <row r="88" spans="2:88" x14ac:dyDescent="0.25">
      <c r="B88" s="552" t="s">
        <v>340</v>
      </c>
      <c r="C88" s="534" t="s">
        <v>341</v>
      </c>
      <c r="D88" s="535" t="s">
        <v>79</v>
      </c>
      <c r="E88" s="535" t="s">
        <v>285</v>
      </c>
      <c r="F88" s="536">
        <v>2</v>
      </c>
      <c r="G88" s="343"/>
      <c r="H88" s="344"/>
      <c r="I88" s="344" t="s">
        <v>1697</v>
      </c>
      <c r="J88" s="344" t="s">
        <v>1697</v>
      </c>
      <c r="K88" s="344" t="s">
        <v>1697</v>
      </c>
      <c r="L88" s="344" t="s">
        <v>1697</v>
      </c>
      <c r="M88" s="344" t="s">
        <v>1697</v>
      </c>
      <c r="N88" s="344" t="s">
        <v>1697</v>
      </c>
      <c r="O88" s="344" t="s">
        <v>1697</v>
      </c>
      <c r="P88" s="344" t="s">
        <v>1697</v>
      </c>
      <c r="Q88" s="344" t="s">
        <v>1697</v>
      </c>
      <c r="R88" s="344" t="s">
        <v>1697</v>
      </c>
      <c r="S88" s="344" t="s">
        <v>1697</v>
      </c>
      <c r="T88" s="344" t="s">
        <v>1697</v>
      </c>
      <c r="U88" s="344" t="s">
        <v>1697</v>
      </c>
      <c r="V88" s="344" t="s">
        <v>1697</v>
      </c>
      <c r="W88" s="344" t="s">
        <v>1697</v>
      </c>
      <c r="X88" s="344" t="s">
        <v>1697</v>
      </c>
      <c r="Y88" s="344" t="s">
        <v>1697</v>
      </c>
      <c r="Z88" s="344" t="s">
        <v>1697</v>
      </c>
      <c r="AA88" s="344" t="s">
        <v>1697</v>
      </c>
      <c r="AB88" s="344" t="s">
        <v>1697</v>
      </c>
      <c r="AC88" s="344" t="s">
        <v>1697</v>
      </c>
      <c r="AD88" s="344" t="s">
        <v>1697</v>
      </c>
      <c r="AE88" s="344" t="s">
        <v>1697</v>
      </c>
      <c r="AF88" s="344" t="s">
        <v>1697</v>
      </c>
      <c r="AG88" s="344" t="s">
        <v>1697</v>
      </c>
      <c r="AH88" s="344" t="s">
        <v>1697</v>
      </c>
      <c r="AI88" s="344" t="s">
        <v>1697</v>
      </c>
      <c r="AJ88" s="344" t="s">
        <v>1697</v>
      </c>
      <c r="AK88" s="344" t="s">
        <v>1697</v>
      </c>
      <c r="AL88" s="344" t="s">
        <v>1697</v>
      </c>
      <c r="AM88" s="344" t="s">
        <v>1697</v>
      </c>
      <c r="AN88" s="344" t="s">
        <v>1697</v>
      </c>
      <c r="AO88" s="344" t="s">
        <v>1697</v>
      </c>
      <c r="AP88" s="344" t="s">
        <v>1697</v>
      </c>
      <c r="AQ88" s="344" t="s">
        <v>1697</v>
      </c>
      <c r="AR88" s="344" t="s">
        <v>1697</v>
      </c>
      <c r="AS88" s="344" t="s">
        <v>1697</v>
      </c>
      <c r="AT88" s="344" t="s">
        <v>1697</v>
      </c>
      <c r="AU88" s="344" t="s">
        <v>1697</v>
      </c>
      <c r="AV88" s="344" t="s">
        <v>1697</v>
      </c>
      <c r="AW88" s="344" t="s">
        <v>1697</v>
      </c>
      <c r="AX88" s="344" t="s">
        <v>1697</v>
      </c>
      <c r="AY88" s="344" t="s">
        <v>1697</v>
      </c>
      <c r="AZ88" s="344" t="s">
        <v>1697</v>
      </c>
      <c r="BA88" s="344" t="s">
        <v>1697</v>
      </c>
      <c r="BB88" s="344" t="s">
        <v>1697</v>
      </c>
      <c r="BC88" s="344" t="s">
        <v>1697</v>
      </c>
      <c r="BD88" s="344" t="s">
        <v>1697</v>
      </c>
      <c r="BE88" s="344" t="s">
        <v>1697</v>
      </c>
      <c r="BF88" s="344" t="s">
        <v>1697</v>
      </c>
      <c r="BG88" s="344" t="s">
        <v>1697</v>
      </c>
      <c r="BH88" s="344" t="s">
        <v>1697</v>
      </c>
      <c r="BI88" s="344" t="s">
        <v>1697</v>
      </c>
      <c r="BJ88" s="344" t="s">
        <v>1697</v>
      </c>
      <c r="BK88" s="344" t="s">
        <v>1697</v>
      </c>
      <c r="BL88" s="344" t="s">
        <v>1697</v>
      </c>
      <c r="BM88" s="344" t="s">
        <v>1697</v>
      </c>
      <c r="BN88" s="344" t="s">
        <v>1697</v>
      </c>
      <c r="BO88" s="344" t="s">
        <v>1697</v>
      </c>
      <c r="BP88" s="344"/>
      <c r="BQ88" s="344"/>
      <c r="BR88" s="344"/>
      <c r="BS88" s="344"/>
      <c r="BT88" s="344"/>
      <c r="BU88" s="344"/>
      <c r="BV88" s="344"/>
      <c r="BW88" s="344"/>
      <c r="BX88" s="344"/>
      <c r="BY88" s="344"/>
      <c r="BZ88" s="344"/>
      <c r="CA88" s="344"/>
      <c r="CB88" s="344"/>
      <c r="CC88" s="344"/>
      <c r="CD88" s="344"/>
      <c r="CE88" s="344"/>
      <c r="CF88" s="344"/>
      <c r="CG88" s="344"/>
      <c r="CH88" s="344"/>
      <c r="CI88" s="344"/>
      <c r="CJ88" s="344"/>
    </row>
    <row r="89" spans="2:88" x14ac:dyDescent="0.25">
      <c r="B89" s="552" t="s">
        <v>342</v>
      </c>
      <c r="C89" s="534" t="s">
        <v>343</v>
      </c>
      <c r="D89" s="535" t="s">
        <v>79</v>
      </c>
      <c r="E89" s="535" t="s">
        <v>333</v>
      </c>
      <c r="F89" s="536">
        <v>2</v>
      </c>
      <c r="G89" s="343"/>
      <c r="H89" s="344"/>
      <c r="I89" s="344">
        <v>3.0300000000000001E-2</v>
      </c>
      <c r="J89" s="344">
        <v>3.0300000000000001E-2</v>
      </c>
      <c r="K89" s="344">
        <v>3.0300000000000001E-2</v>
      </c>
      <c r="L89" s="344">
        <v>3.0300000000000001E-2</v>
      </c>
      <c r="M89" s="344">
        <v>3.0300000000000001E-2</v>
      </c>
      <c r="N89" s="344">
        <v>3.0300000000000001E-2</v>
      </c>
      <c r="O89" s="344">
        <v>3.0300000000000001E-2</v>
      </c>
      <c r="P89" s="344">
        <v>3.0300000000000001E-2</v>
      </c>
      <c r="Q89" s="344">
        <v>3.0300000000000001E-2</v>
      </c>
      <c r="R89" s="344">
        <v>3.0300000000000001E-2</v>
      </c>
      <c r="S89" s="344">
        <v>3.0300000000000001E-2</v>
      </c>
      <c r="T89" s="344">
        <v>3.0300000000000001E-2</v>
      </c>
      <c r="U89" s="344">
        <v>3.0300000000000001E-2</v>
      </c>
      <c r="V89" s="344">
        <v>3.0300000000000001E-2</v>
      </c>
      <c r="W89" s="344">
        <v>3.0300000000000001E-2</v>
      </c>
      <c r="X89" s="344">
        <v>3.0300000000000001E-2</v>
      </c>
      <c r="Y89" s="344">
        <v>3.0300000000000001E-2</v>
      </c>
      <c r="Z89" s="344">
        <v>3.0300000000000001E-2</v>
      </c>
      <c r="AA89" s="344">
        <v>3.0300000000000001E-2</v>
      </c>
      <c r="AB89" s="344">
        <v>3.0300000000000001E-2</v>
      </c>
      <c r="AC89" s="344">
        <v>3.0300000000000001E-2</v>
      </c>
      <c r="AD89" s="344">
        <v>3.0300000000000001E-2</v>
      </c>
      <c r="AE89" s="344">
        <v>3.0300000000000001E-2</v>
      </c>
      <c r="AF89" s="344">
        <v>3.0300000000000001E-2</v>
      </c>
      <c r="AG89" s="344">
        <v>3.0300000000000001E-2</v>
      </c>
      <c r="AH89" s="344">
        <v>3.0300000000000001E-2</v>
      </c>
      <c r="AI89" s="344">
        <v>3.0300000000000001E-2</v>
      </c>
      <c r="AJ89" s="344">
        <v>3.0300000000000001E-2</v>
      </c>
      <c r="AK89" s="344">
        <v>3.0300000000000001E-2</v>
      </c>
      <c r="AL89" s="344">
        <v>3.0300000000000001E-2</v>
      </c>
      <c r="AM89" s="344">
        <v>3.0300000000000001E-2</v>
      </c>
      <c r="AN89" s="344">
        <v>3.0300000000000001E-2</v>
      </c>
      <c r="AO89" s="344">
        <v>3.0300000000000001E-2</v>
      </c>
      <c r="AP89" s="344">
        <v>3.0300000000000001E-2</v>
      </c>
      <c r="AQ89" s="344">
        <v>3.0300000000000001E-2</v>
      </c>
      <c r="AR89" s="344">
        <v>3.0300000000000001E-2</v>
      </c>
      <c r="AS89" s="344">
        <v>3.0300000000000001E-2</v>
      </c>
      <c r="AT89" s="344">
        <v>3.0300000000000001E-2</v>
      </c>
      <c r="AU89" s="344">
        <v>3.0300000000000001E-2</v>
      </c>
      <c r="AV89" s="344">
        <v>3.0300000000000001E-2</v>
      </c>
      <c r="AW89" s="344">
        <v>3.0300000000000001E-2</v>
      </c>
      <c r="AX89" s="344">
        <v>3.0300000000000001E-2</v>
      </c>
      <c r="AY89" s="344">
        <v>3.0300000000000001E-2</v>
      </c>
      <c r="AZ89" s="344">
        <v>3.0300000000000001E-2</v>
      </c>
      <c r="BA89" s="344">
        <v>3.0300000000000001E-2</v>
      </c>
      <c r="BB89" s="344">
        <v>3.0300000000000001E-2</v>
      </c>
      <c r="BC89" s="344">
        <v>3.0300000000000001E-2</v>
      </c>
      <c r="BD89" s="344">
        <v>3.0300000000000001E-2</v>
      </c>
      <c r="BE89" s="344">
        <v>3.0300000000000001E-2</v>
      </c>
      <c r="BF89" s="344">
        <v>3.0300000000000001E-2</v>
      </c>
      <c r="BG89" s="344">
        <v>3.0300000000000001E-2</v>
      </c>
      <c r="BH89" s="344">
        <v>3.0300000000000001E-2</v>
      </c>
      <c r="BI89" s="344">
        <v>3.0300000000000001E-2</v>
      </c>
      <c r="BJ89" s="344">
        <v>3.0300000000000001E-2</v>
      </c>
      <c r="BK89" s="344">
        <v>3.0300000000000001E-2</v>
      </c>
      <c r="BL89" s="344">
        <v>3.0300000000000001E-2</v>
      </c>
      <c r="BM89" s="344">
        <v>3.0300000000000001E-2</v>
      </c>
      <c r="BN89" s="344">
        <v>3.0300000000000001E-2</v>
      </c>
      <c r="BO89" s="344">
        <v>3.0300000000000001E-2</v>
      </c>
      <c r="BP89" s="344"/>
      <c r="BQ89" s="344"/>
      <c r="BR89" s="344"/>
      <c r="BS89" s="344"/>
      <c r="BT89" s="344"/>
      <c r="BU89" s="344"/>
      <c r="BV89" s="344"/>
      <c r="BW89" s="344"/>
      <c r="BX89" s="344"/>
      <c r="BY89" s="344"/>
      <c r="BZ89" s="344"/>
      <c r="CA89" s="344"/>
      <c r="CB89" s="344"/>
      <c r="CC89" s="344"/>
      <c r="CD89" s="344"/>
      <c r="CE89" s="344"/>
      <c r="CF89" s="344"/>
      <c r="CG89" s="344"/>
      <c r="CH89" s="344"/>
      <c r="CI89" s="344"/>
      <c r="CJ89" s="344"/>
    </row>
    <row r="90" spans="2:88" x14ac:dyDescent="0.25">
      <c r="B90" s="552" t="s">
        <v>344</v>
      </c>
      <c r="C90" s="534" t="s">
        <v>345</v>
      </c>
      <c r="D90" s="535" t="s">
        <v>79</v>
      </c>
      <c r="E90" s="535" t="s">
        <v>333</v>
      </c>
      <c r="F90" s="536">
        <v>2</v>
      </c>
      <c r="G90" s="343"/>
      <c r="H90" s="344"/>
      <c r="I90" s="346">
        <v>2E-3</v>
      </c>
      <c r="J90" s="346">
        <v>2E-3</v>
      </c>
      <c r="K90" s="346">
        <v>2E-3</v>
      </c>
      <c r="L90" s="346">
        <v>2E-3</v>
      </c>
      <c r="M90" s="346">
        <v>2E-3</v>
      </c>
      <c r="N90" s="346">
        <v>2E-3</v>
      </c>
      <c r="O90" s="346">
        <v>2E-3</v>
      </c>
      <c r="P90" s="346">
        <v>2E-3</v>
      </c>
      <c r="Q90" s="346">
        <v>2E-3</v>
      </c>
      <c r="R90" s="346">
        <v>2E-3</v>
      </c>
      <c r="S90" s="346">
        <v>2E-3</v>
      </c>
      <c r="T90" s="346">
        <v>2E-3</v>
      </c>
      <c r="U90" s="346">
        <v>2E-3</v>
      </c>
      <c r="V90" s="346">
        <v>2E-3</v>
      </c>
      <c r="W90" s="346">
        <v>2E-3</v>
      </c>
      <c r="X90" s="346">
        <v>2E-3</v>
      </c>
      <c r="Y90" s="346">
        <v>2E-3</v>
      </c>
      <c r="Z90" s="346">
        <v>2E-3</v>
      </c>
      <c r="AA90" s="344">
        <v>2E-3</v>
      </c>
      <c r="AB90" s="344">
        <v>2E-3</v>
      </c>
      <c r="AC90" s="344">
        <v>2E-3</v>
      </c>
      <c r="AD90" s="344">
        <v>2E-3</v>
      </c>
      <c r="AE90" s="344">
        <v>2E-3</v>
      </c>
      <c r="AF90" s="344">
        <v>2E-3</v>
      </c>
      <c r="AG90" s="344">
        <v>2E-3</v>
      </c>
      <c r="AH90" s="344">
        <v>2E-3</v>
      </c>
      <c r="AI90" s="344">
        <v>2E-3</v>
      </c>
      <c r="AJ90" s="344">
        <v>2E-3</v>
      </c>
      <c r="AK90" s="344">
        <v>2E-3</v>
      </c>
      <c r="AL90" s="344">
        <v>2E-3</v>
      </c>
      <c r="AM90" s="344">
        <v>2E-3</v>
      </c>
      <c r="AN90" s="344">
        <v>2E-3</v>
      </c>
      <c r="AO90" s="344">
        <v>2E-3</v>
      </c>
      <c r="AP90" s="344">
        <v>2E-3</v>
      </c>
      <c r="AQ90" s="344">
        <v>2E-3</v>
      </c>
      <c r="AR90" s="344">
        <v>2E-3</v>
      </c>
      <c r="AS90" s="344">
        <v>2E-3</v>
      </c>
      <c r="AT90" s="344">
        <v>2E-3</v>
      </c>
      <c r="AU90" s="344">
        <v>2E-3</v>
      </c>
      <c r="AV90" s="344">
        <v>2E-3</v>
      </c>
      <c r="AW90" s="344">
        <v>2E-3</v>
      </c>
      <c r="AX90" s="344">
        <v>2E-3</v>
      </c>
      <c r="AY90" s="344">
        <v>2E-3</v>
      </c>
      <c r="AZ90" s="344">
        <v>2E-3</v>
      </c>
      <c r="BA90" s="344">
        <v>2E-3</v>
      </c>
      <c r="BB90" s="344">
        <v>2E-3</v>
      </c>
      <c r="BC90" s="344">
        <v>2E-3</v>
      </c>
      <c r="BD90" s="344">
        <v>2E-3</v>
      </c>
      <c r="BE90" s="344">
        <v>2E-3</v>
      </c>
      <c r="BF90" s="344">
        <v>2E-3</v>
      </c>
      <c r="BG90" s="344">
        <v>2E-3</v>
      </c>
      <c r="BH90" s="344">
        <v>2E-3</v>
      </c>
      <c r="BI90" s="344">
        <v>2E-3</v>
      </c>
      <c r="BJ90" s="344">
        <v>2E-3</v>
      </c>
      <c r="BK90" s="344">
        <v>2E-3</v>
      </c>
      <c r="BL90" s="344">
        <v>2E-3</v>
      </c>
      <c r="BM90" s="344">
        <v>2E-3</v>
      </c>
      <c r="BN90" s="344">
        <v>2E-3</v>
      </c>
      <c r="BO90" s="344">
        <v>2E-3</v>
      </c>
      <c r="BP90" s="344"/>
      <c r="BQ90" s="344"/>
      <c r="BR90" s="344"/>
      <c r="BS90" s="344"/>
      <c r="BT90" s="344"/>
      <c r="BU90" s="344"/>
      <c r="BV90" s="344"/>
      <c r="BW90" s="344"/>
      <c r="BX90" s="344"/>
      <c r="BY90" s="344"/>
      <c r="BZ90" s="344"/>
      <c r="CA90" s="344"/>
      <c r="CB90" s="344"/>
      <c r="CC90" s="344"/>
      <c r="CD90" s="344"/>
      <c r="CE90" s="344"/>
      <c r="CF90" s="344"/>
      <c r="CG90" s="344"/>
      <c r="CH90" s="344"/>
      <c r="CI90" s="344"/>
      <c r="CJ90" s="344"/>
    </row>
    <row r="91" spans="2:88" ht="14.4" thickBot="1" x14ac:dyDescent="0.3">
      <c r="B91" s="553" t="s">
        <v>346</v>
      </c>
      <c r="C91" s="554" t="s">
        <v>347</v>
      </c>
      <c r="D91" s="555" t="s">
        <v>79</v>
      </c>
      <c r="E91" s="555" t="s">
        <v>285</v>
      </c>
      <c r="F91" s="556">
        <v>2</v>
      </c>
      <c r="G91" s="345"/>
      <c r="H91" s="346"/>
      <c r="I91" s="346">
        <v>2E-3</v>
      </c>
      <c r="J91" s="346">
        <v>2E-3</v>
      </c>
      <c r="K91" s="346">
        <v>2E-3</v>
      </c>
      <c r="L91" s="346">
        <v>2E-3</v>
      </c>
      <c r="M91" s="346">
        <v>2E-3</v>
      </c>
      <c r="N91" s="346">
        <v>2E-3</v>
      </c>
      <c r="O91" s="346">
        <v>2E-3</v>
      </c>
      <c r="P91" s="346">
        <v>2E-3</v>
      </c>
      <c r="Q91" s="346">
        <v>2E-3</v>
      </c>
      <c r="R91" s="346">
        <v>2E-3</v>
      </c>
      <c r="S91" s="346">
        <v>2E-3</v>
      </c>
      <c r="T91" s="346">
        <v>2E-3</v>
      </c>
      <c r="U91" s="346">
        <v>2E-3</v>
      </c>
      <c r="V91" s="346">
        <v>2E-3</v>
      </c>
      <c r="W91" s="346">
        <v>2E-3</v>
      </c>
      <c r="X91" s="346">
        <v>2E-3</v>
      </c>
      <c r="Y91" s="346">
        <v>2E-3</v>
      </c>
      <c r="Z91" s="346">
        <v>2E-3</v>
      </c>
      <c r="AA91" s="346">
        <v>2E-3</v>
      </c>
      <c r="AB91" s="346">
        <v>2E-3</v>
      </c>
      <c r="AC91" s="346">
        <v>2E-3</v>
      </c>
      <c r="AD91" s="346">
        <v>2E-3</v>
      </c>
      <c r="AE91" s="346">
        <v>2E-3</v>
      </c>
      <c r="AF91" s="346">
        <v>2E-3</v>
      </c>
      <c r="AG91" s="346">
        <v>2E-3</v>
      </c>
      <c r="AH91" s="346">
        <v>2E-3</v>
      </c>
      <c r="AI91" s="346">
        <v>2E-3</v>
      </c>
      <c r="AJ91" s="346">
        <v>2E-3</v>
      </c>
      <c r="AK91" s="346">
        <v>2E-3</v>
      </c>
      <c r="AL91" s="346">
        <v>2E-3</v>
      </c>
      <c r="AM91" s="346">
        <v>2E-3</v>
      </c>
      <c r="AN91" s="346">
        <v>2E-3</v>
      </c>
      <c r="AO91" s="346">
        <v>2E-3</v>
      </c>
      <c r="AP91" s="346">
        <v>2E-3</v>
      </c>
      <c r="AQ91" s="346">
        <v>2E-3</v>
      </c>
      <c r="AR91" s="346">
        <v>2E-3</v>
      </c>
      <c r="AS91" s="346">
        <v>2E-3</v>
      </c>
      <c r="AT91" s="346">
        <v>2E-3</v>
      </c>
      <c r="AU91" s="346">
        <v>2E-3</v>
      </c>
      <c r="AV91" s="346">
        <v>2E-3</v>
      </c>
      <c r="AW91" s="346">
        <v>2E-3</v>
      </c>
      <c r="AX91" s="346">
        <v>2E-3</v>
      </c>
      <c r="AY91" s="346">
        <v>2E-3</v>
      </c>
      <c r="AZ91" s="346">
        <v>2E-3</v>
      </c>
      <c r="BA91" s="346">
        <v>2E-3</v>
      </c>
      <c r="BB91" s="346">
        <v>2E-3</v>
      </c>
      <c r="BC91" s="346">
        <v>2E-3</v>
      </c>
      <c r="BD91" s="346">
        <v>2E-3</v>
      </c>
      <c r="BE91" s="346">
        <v>2E-3</v>
      </c>
      <c r="BF91" s="346">
        <v>2E-3</v>
      </c>
      <c r="BG91" s="346">
        <v>2E-3</v>
      </c>
      <c r="BH91" s="346">
        <v>2E-3</v>
      </c>
      <c r="BI91" s="346">
        <v>2E-3</v>
      </c>
      <c r="BJ91" s="346">
        <v>2E-3</v>
      </c>
      <c r="BK91" s="346">
        <v>2E-3</v>
      </c>
      <c r="BL91" s="346">
        <v>2E-3</v>
      </c>
      <c r="BM91" s="346">
        <v>2E-3</v>
      </c>
      <c r="BN91" s="346">
        <v>2E-3</v>
      </c>
      <c r="BO91" s="346">
        <v>2E-3</v>
      </c>
      <c r="BP91" s="346"/>
      <c r="BQ91" s="346"/>
      <c r="BR91" s="346"/>
      <c r="BS91" s="346"/>
      <c r="BT91" s="346"/>
      <c r="BU91" s="346"/>
      <c r="BV91" s="346"/>
      <c r="BW91" s="346"/>
      <c r="BX91" s="346"/>
      <c r="BY91" s="346"/>
      <c r="BZ91" s="346"/>
      <c r="CA91" s="346"/>
      <c r="CB91" s="346"/>
      <c r="CC91" s="346"/>
      <c r="CD91" s="346"/>
      <c r="CE91" s="346"/>
      <c r="CF91" s="346"/>
      <c r="CG91" s="346"/>
      <c r="CH91" s="346"/>
      <c r="CI91" s="346"/>
      <c r="CJ91" s="346"/>
    </row>
  </sheetData>
  <phoneticPr fontId="38" type="noConversion"/>
  <hyperlinks>
    <hyperlink ref="F2" location="'2. WC Level Data'!B6" display="Table 2a: WC Level Normal Year planning scenario" xr:uid="{228D314B-6E7E-4B4B-B5F0-9ABB91FF7337}"/>
    <hyperlink ref="F3" location="'2. WC Level Data'!B17" display="Table 2b: WC Level DYAA - Microcomponents - Final planning" xr:uid="{637B39FA-E035-40CE-AC58-9A6F2EAB8130}"/>
    <hyperlink ref="C17" location="'2. WC Level Data'!$A$1" display="Back to top of sheet" xr:uid="{A999BAD9-78A2-4CE5-A8F5-DF414303F731}"/>
    <hyperlink ref="F4" location="'2. WC Level Data'!B40" display="Table 2c: WC Level DYAA -_x000a_Meter Installations (including meter upgrades) - Final Planning" xr:uid="{91ECD485-821F-4ED1-A5B8-C42F29D41365}"/>
    <hyperlink ref="C40" location="'2. WC Level Data'!$A$1" display="Back to top of sheet" xr:uid="{83B5183C-DB74-4167-BECF-8A6F9A236C7E}"/>
    <hyperlink ref="G2" location="'2. WC Level Data'!B53" display="'2. WC Level Data'!B53" xr:uid="{A4C0C970-A5CF-4CD8-9CE4-350EEF469DBD}"/>
    <hyperlink ref="C53" location="'2. WC Level Data'!$A$1" display="Back to top of sheet" xr:uid="{742B2D66-4EDB-4C78-987E-B6B4415AF18C}"/>
    <hyperlink ref="G3" location="'2. WC Level Data'!B66" display="'2. WC Level Data'!B66" xr:uid="{BC00FABF-AAA0-4496-A93A-53867BE5D1F5}"/>
    <hyperlink ref="C66" location="'2. WC Level Data'!$A$1" display="Back to top of sheet" xr:uid="{F12F2F08-3380-4278-8455-BC45A69419AD}"/>
    <hyperlink ref="G4" location="'2. WC Level Data'!B81" display="'2. WC Level Data'!B81" xr:uid="{E0C71D63-F048-45AF-9610-832598DDD5BD}"/>
    <hyperlink ref="C81" location="'2. WC Level Data'!$A$1" display="Back to top of sheet" xr:uid="{FD477DAB-EFC9-4272-B7C8-8B7CAB490A2E}"/>
    <hyperlink ref="C6" location="'2. WC Level Data'!$A$1" display="Back to top of sheet" xr:uid="{96B7DA72-5C54-4AC2-873C-AE3BA477BA9B}"/>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3C6A-6BE6-495C-919B-8107342E5E15}">
  <sheetPr codeName="Sheet1"/>
  <dimension ref="A1:DC402"/>
  <sheetViews>
    <sheetView zoomScale="80" zoomScaleNormal="80" workbookViewId="0">
      <selection activeCell="K301" sqref="K301"/>
    </sheetView>
  </sheetViews>
  <sheetFormatPr defaultColWidth="9" defaultRowHeight="13.8" x14ac:dyDescent="0.25"/>
  <cols>
    <col min="1" max="1" width="2.1796875" style="1353" customWidth="1"/>
    <col min="2" max="2" width="33.81640625" style="1353" customWidth="1"/>
    <col min="3" max="3" width="42.453125" style="1353" customWidth="1"/>
    <col min="4" max="4" width="33.08984375" style="1353" customWidth="1"/>
    <col min="5" max="5" width="7.453125" style="1353" customWidth="1"/>
    <col min="6" max="6" width="14" style="1353" customWidth="1"/>
    <col min="7" max="8" width="8" style="1353" customWidth="1"/>
    <col min="9" max="9" width="9.90625" style="1353" customWidth="1"/>
    <col min="10" max="86" width="8" style="1353" customWidth="1"/>
    <col min="87" max="87" width="8.90625" style="1353" customWidth="1"/>
    <col min="88" max="88" width="8" style="1353" bestFit="1" customWidth="1"/>
    <col min="89" max="89" width="10.36328125" style="1353" customWidth="1"/>
    <col min="90" max="90" width="42.6328125" style="1353" customWidth="1"/>
    <col min="91" max="91" width="4.1796875" style="1353" hidden="1" customWidth="1"/>
    <col min="92" max="92" width="0" style="1353" hidden="1" customWidth="1"/>
    <col min="93" max="93" width="6.81640625" style="1353" hidden="1" customWidth="1"/>
    <col min="94" max="94" width="4.36328125" style="1353" hidden="1" customWidth="1"/>
    <col min="95" max="96" width="4.54296875" style="1353" hidden="1" customWidth="1"/>
    <col min="97" max="97" width="4.6328125" style="1353" hidden="1" customWidth="1"/>
    <col min="98" max="98" width="7.54296875" style="1353" hidden="1" customWidth="1"/>
    <col min="99" max="99" width="6.6328125" style="1353" hidden="1" customWidth="1"/>
    <col min="100" max="100" width="4.54296875" style="1353" hidden="1" customWidth="1"/>
    <col min="101" max="103" width="5.1796875" style="1353" hidden="1" customWidth="1"/>
    <col min="104" max="104" width="4.81640625" style="1353" hidden="1" customWidth="1"/>
    <col min="105" max="105" width="3.54296875" style="1353" hidden="1" customWidth="1"/>
    <col min="106" max="107" width="5.1796875" style="1353" hidden="1" customWidth="1"/>
    <col min="108" max="235" width="9" style="1353"/>
    <col min="236" max="236" width="1.1796875" style="1353" customWidth="1"/>
    <col min="237" max="237" width="8" style="1353" customWidth="1"/>
    <col min="238" max="238" width="8.453125" style="1353" customWidth="1"/>
    <col min="239" max="239" width="23.81640625" style="1353" customWidth="1"/>
    <col min="240" max="240" width="21.81640625" style="1353" customWidth="1"/>
    <col min="241" max="241" width="9.453125" style="1353" customWidth="1"/>
    <col min="242" max="242" width="8.1796875" style="1353" bestFit="1" customWidth="1"/>
    <col min="243" max="243" width="16.1796875" style="1353" customWidth="1"/>
    <col min="244" max="271" width="11.6328125" style="1353" customWidth="1"/>
    <col min="272" max="491" width="9" style="1353"/>
    <col min="492" max="492" width="1.1796875" style="1353" customWidth="1"/>
    <col min="493" max="493" width="8" style="1353" customWidth="1"/>
    <col min="494" max="494" width="8.453125" style="1353" customWidth="1"/>
    <col min="495" max="495" width="23.81640625" style="1353" customWidth="1"/>
    <col min="496" max="496" width="21.81640625" style="1353" customWidth="1"/>
    <col min="497" max="497" width="9.453125" style="1353" customWidth="1"/>
    <col min="498" max="498" width="8.1796875" style="1353" bestFit="1" customWidth="1"/>
    <col min="499" max="499" width="16.1796875" style="1353" customWidth="1"/>
    <col min="500" max="527" width="11.6328125" style="1353" customWidth="1"/>
    <col min="528" max="747" width="9" style="1353"/>
    <col min="748" max="748" width="1.1796875" style="1353" customWidth="1"/>
    <col min="749" max="749" width="8" style="1353" customWidth="1"/>
    <col min="750" max="750" width="8.453125" style="1353" customWidth="1"/>
    <col min="751" max="751" width="23.81640625" style="1353" customWidth="1"/>
    <col min="752" max="752" width="21.81640625" style="1353" customWidth="1"/>
    <col min="753" max="753" width="9.453125" style="1353" customWidth="1"/>
    <col min="754" max="754" width="8.1796875" style="1353" bestFit="1" customWidth="1"/>
    <col min="755" max="755" width="16.1796875" style="1353" customWidth="1"/>
    <col min="756" max="783" width="11.6328125" style="1353" customWidth="1"/>
    <col min="784" max="1003" width="9" style="1353"/>
    <col min="1004" max="1004" width="1.1796875" style="1353" customWidth="1"/>
    <col min="1005" max="1005" width="8" style="1353" customWidth="1"/>
    <col min="1006" max="1006" width="8.453125" style="1353" customWidth="1"/>
    <col min="1007" max="1007" width="23.81640625" style="1353" customWidth="1"/>
    <col min="1008" max="1008" width="21.81640625" style="1353" customWidth="1"/>
    <col min="1009" max="1009" width="9.453125" style="1353" customWidth="1"/>
    <col min="1010" max="1010" width="8.1796875" style="1353" bestFit="1" customWidth="1"/>
    <col min="1011" max="1011" width="16.1796875" style="1353" customWidth="1"/>
    <col min="1012" max="1039" width="11.6328125" style="1353" customWidth="1"/>
    <col min="1040" max="1259" width="9" style="1353"/>
    <col min="1260" max="1260" width="1.1796875" style="1353" customWidth="1"/>
    <col min="1261" max="1261" width="8" style="1353" customWidth="1"/>
    <col min="1262" max="1262" width="8.453125" style="1353" customWidth="1"/>
    <col min="1263" max="1263" width="23.81640625" style="1353" customWidth="1"/>
    <col min="1264" max="1264" width="21.81640625" style="1353" customWidth="1"/>
    <col min="1265" max="1265" width="9.453125" style="1353" customWidth="1"/>
    <col min="1266" max="1266" width="8.1796875" style="1353" bestFit="1" customWidth="1"/>
    <col min="1267" max="1267" width="16.1796875" style="1353" customWidth="1"/>
    <col min="1268" max="1295" width="11.6328125" style="1353" customWidth="1"/>
    <col min="1296" max="1515" width="9" style="1353"/>
    <col min="1516" max="1516" width="1.1796875" style="1353" customWidth="1"/>
    <col min="1517" max="1517" width="8" style="1353" customWidth="1"/>
    <col min="1518" max="1518" width="8.453125" style="1353" customWidth="1"/>
    <col min="1519" max="1519" width="23.81640625" style="1353" customWidth="1"/>
    <col min="1520" max="1520" width="21.81640625" style="1353" customWidth="1"/>
    <col min="1521" max="1521" width="9.453125" style="1353" customWidth="1"/>
    <col min="1522" max="1522" width="8.1796875" style="1353" bestFit="1" customWidth="1"/>
    <col min="1523" max="1523" width="16.1796875" style="1353" customWidth="1"/>
    <col min="1524" max="1551" width="11.6328125" style="1353" customWidth="1"/>
    <col min="1552" max="1771" width="9" style="1353"/>
    <col min="1772" max="1772" width="1.1796875" style="1353" customWidth="1"/>
    <col min="1773" max="1773" width="8" style="1353" customWidth="1"/>
    <col min="1774" max="1774" width="8.453125" style="1353" customWidth="1"/>
    <col min="1775" max="1775" width="23.81640625" style="1353" customWidth="1"/>
    <col min="1776" max="1776" width="21.81640625" style="1353" customWidth="1"/>
    <col min="1777" max="1777" width="9.453125" style="1353" customWidth="1"/>
    <col min="1778" max="1778" width="8.1796875" style="1353" bestFit="1" customWidth="1"/>
    <col min="1779" max="1779" width="16.1796875" style="1353" customWidth="1"/>
    <col min="1780" max="1807" width="11.6328125" style="1353" customWidth="1"/>
    <col min="1808" max="2027" width="9" style="1353"/>
    <col min="2028" max="2028" width="1.1796875" style="1353" customWidth="1"/>
    <col min="2029" max="2029" width="8" style="1353" customWidth="1"/>
    <col min="2030" max="2030" width="8.453125" style="1353" customWidth="1"/>
    <col min="2031" max="2031" width="23.81640625" style="1353" customWidth="1"/>
    <col min="2032" max="2032" width="21.81640625" style="1353" customWidth="1"/>
    <col min="2033" max="2033" width="9.453125" style="1353" customWidth="1"/>
    <col min="2034" max="2034" width="8.1796875" style="1353" bestFit="1" customWidth="1"/>
    <col min="2035" max="2035" width="16.1796875" style="1353" customWidth="1"/>
    <col min="2036" max="2063" width="11.6328125" style="1353" customWidth="1"/>
    <col min="2064" max="2283" width="9" style="1353"/>
    <col min="2284" max="2284" width="1.1796875" style="1353" customWidth="1"/>
    <col min="2285" max="2285" width="8" style="1353" customWidth="1"/>
    <col min="2286" max="2286" width="8.453125" style="1353" customWidth="1"/>
    <col min="2287" max="2287" width="23.81640625" style="1353" customWidth="1"/>
    <col min="2288" max="2288" width="21.81640625" style="1353" customWidth="1"/>
    <col min="2289" max="2289" width="9.453125" style="1353" customWidth="1"/>
    <col min="2290" max="2290" width="8.1796875" style="1353" bestFit="1" customWidth="1"/>
    <col min="2291" max="2291" width="16.1796875" style="1353" customWidth="1"/>
    <col min="2292" max="2319" width="11.6328125" style="1353" customWidth="1"/>
    <col min="2320" max="2539" width="9" style="1353"/>
    <col min="2540" max="2540" width="1.1796875" style="1353" customWidth="1"/>
    <col min="2541" max="2541" width="8" style="1353" customWidth="1"/>
    <col min="2542" max="2542" width="8.453125" style="1353" customWidth="1"/>
    <col min="2543" max="2543" width="23.81640625" style="1353" customWidth="1"/>
    <col min="2544" max="2544" width="21.81640625" style="1353" customWidth="1"/>
    <col min="2545" max="2545" width="9.453125" style="1353" customWidth="1"/>
    <col min="2546" max="2546" width="8.1796875" style="1353" bestFit="1" customWidth="1"/>
    <col min="2547" max="2547" width="16.1796875" style="1353" customWidth="1"/>
    <col min="2548" max="2575" width="11.6328125" style="1353" customWidth="1"/>
    <col min="2576" max="2795" width="9" style="1353"/>
    <col min="2796" max="2796" width="1.1796875" style="1353" customWidth="1"/>
    <col min="2797" max="2797" width="8" style="1353" customWidth="1"/>
    <col min="2798" max="2798" width="8.453125" style="1353" customWidth="1"/>
    <col min="2799" max="2799" width="23.81640625" style="1353" customWidth="1"/>
    <col min="2800" max="2800" width="21.81640625" style="1353" customWidth="1"/>
    <col min="2801" max="2801" width="9.453125" style="1353" customWidth="1"/>
    <col min="2802" max="2802" width="8.1796875" style="1353" bestFit="1" customWidth="1"/>
    <col min="2803" max="2803" width="16.1796875" style="1353" customWidth="1"/>
    <col min="2804" max="2831" width="11.6328125" style="1353" customWidth="1"/>
    <col min="2832" max="3051" width="9" style="1353"/>
    <col min="3052" max="3052" width="1.1796875" style="1353" customWidth="1"/>
    <col min="3053" max="3053" width="8" style="1353" customWidth="1"/>
    <col min="3054" max="3054" width="8.453125" style="1353" customWidth="1"/>
    <col min="3055" max="3055" width="23.81640625" style="1353" customWidth="1"/>
    <col min="3056" max="3056" width="21.81640625" style="1353" customWidth="1"/>
    <col min="3057" max="3057" width="9.453125" style="1353" customWidth="1"/>
    <col min="3058" max="3058" width="8.1796875" style="1353" bestFit="1" customWidth="1"/>
    <col min="3059" max="3059" width="16.1796875" style="1353" customWidth="1"/>
    <col min="3060" max="3087" width="11.6328125" style="1353" customWidth="1"/>
    <col min="3088" max="3307" width="9" style="1353"/>
    <col min="3308" max="3308" width="1.1796875" style="1353" customWidth="1"/>
    <col min="3309" max="3309" width="8" style="1353" customWidth="1"/>
    <col min="3310" max="3310" width="8.453125" style="1353" customWidth="1"/>
    <col min="3311" max="3311" width="23.81640625" style="1353" customWidth="1"/>
    <col min="3312" max="3312" width="21.81640625" style="1353" customWidth="1"/>
    <col min="3313" max="3313" width="9.453125" style="1353" customWidth="1"/>
    <col min="3314" max="3314" width="8.1796875" style="1353" bestFit="1" customWidth="1"/>
    <col min="3315" max="3315" width="16.1796875" style="1353" customWidth="1"/>
    <col min="3316" max="3343" width="11.6328125" style="1353" customWidth="1"/>
    <col min="3344" max="3563" width="9" style="1353"/>
    <col min="3564" max="3564" width="1.1796875" style="1353" customWidth="1"/>
    <col min="3565" max="3565" width="8" style="1353" customWidth="1"/>
    <col min="3566" max="3566" width="8.453125" style="1353" customWidth="1"/>
    <col min="3567" max="3567" width="23.81640625" style="1353" customWidth="1"/>
    <col min="3568" max="3568" width="21.81640625" style="1353" customWidth="1"/>
    <col min="3569" max="3569" width="9.453125" style="1353" customWidth="1"/>
    <col min="3570" max="3570" width="8.1796875" style="1353" bestFit="1" customWidth="1"/>
    <col min="3571" max="3571" width="16.1796875" style="1353" customWidth="1"/>
    <col min="3572" max="3599" width="11.6328125" style="1353" customWidth="1"/>
    <col min="3600" max="3819" width="9" style="1353"/>
    <col min="3820" max="3820" width="1.1796875" style="1353" customWidth="1"/>
    <col min="3821" max="3821" width="8" style="1353" customWidth="1"/>
    <col min="3822" max="3822" width="8.453125" style="1353" customWidth="1"/>
    <col min="3823" max="3823" width="23.81640625" style="1353" customWidth="1"/>
    <col min="3824" max="3824" width="21.81640625" style="1353" customWidth="1"/>
    <col min="3825" max="3825" width="9.453125" style="1353" customWidth="1"/>
    <col min="3826" max="3826" width="8.1796875" style="1353" bestFit="1" customWidth="1"/>
    <col min="3827" max="3827" width="16.1796875" style="1353" customWidth="1"/>
    <col min="3828" max="3855" width="11.6328125" style="1353" customWidth="1"/>
    <col min="3856" max="4075" width="9" style="1353"/>
    <col min="4076" max="4076" width="1.1796875" style="1353" customWidth="1"/>
    <col min="4077" max="4077" width="8" style="1353" customWidth="1"/>
    <col min="4078" max="4078" width="8.453125" style="1353" customWidth="1"/>
    <col min="4079" max="4079" width="23.81640625" style="1353" customWidth="1"/>
    <col min="4080" max="4080" width="21.81640625" style="1353" customWidth="1"/>
    <col min="4081" max="4081" width="9.453125" style="1353" customWidth="1"/>
    <col min="4082" max="4082" width="8.1796875" style="1353" bestFit="1" customWidth="1"/>
    <col min="4083" max="4083" width="16.1796875" style="1353" customWidth="1"/>
    <col min="4084" max="4111" width="11.6328125" style="1353" customWidth="1"/>
    <col min="4112" max="4331" width="9" style="1353"/>
    <col min="4332" max="4332" width="1.1796875" style="1353" customWidth="1"/>
    <col min="4333" max="4333" width="8" style="1353" customWidth="1"/>
    <col min="4334" max="4334" width="8.453125" style="1353" customWidth="1"/>
    <col min="4335" max="4335" width="23.81640625" style="1353" customWidth="1"/>
    <col min="4336" max="4336" width="21.81640625" style="1353" customWidth="1"/>
    <col min="4337" max="4337" width="9.453125" style="1353" customWidth="1"/>
    <col min="4338" max="4338" width="8.1796875" style="1353" bestFit="1" customWidth="1"/>
    <col min="4339" max="4339" width="16.1796875" style="1353" customWidth="1"/>
    <col min="4340" max="4367" width="11.6328125" style="1353" customWidth="1"/>
    <col min="4368" max="4587" width="9" style="1353"/>
    <col min="4588" max="4588" width="1.1796875" style="1353" customWidth="1"/>
    <col min="4589" max="4589" width="8" style="1353" customWidth="1"/>
    <col min="4590" max="4590" width="8.453125" style="1353" customWidth="1"/>
    <col min="4591" max="4591" width="23.81640625" style="1353" customWidth="1"/>
    <col min="4592" max="4592" width="21.81640625" style="1353" customWidth="1"/>
    <col min="4593" max="4593" width="9.453125" style="1353" customWidth="1"/>
    <col min="4594" max="4594" width="8.1796875" style="1353" bestFit="1" customWidth="1"/>
    <col min="4595" max="4595" width="16.1796875" style="1353" customWidth="1"/>
    <col min="4596" max="4623" width="11.6328125" style="1353" customWidth="1"/>
    <col min="4624" max="4843" width="9" style="1353"/>
    <col min="4844" max="4844" width="1.1796875" style="1353" customWidth="1"/>
    <col min="4845" max="4845" width="8" style="1353" customWidth="1"/>
    <col min="4846" max="4846" width="8.453125" style="1353" customWidth="1"/>
    <col min="4847" max="4847" width="23.81640625" style="1353" customWidth="1"/>
    <col min="4848" max="4848" width="21.81640625" style="1353" customWidth="1"/>
    <col min="4849" max="4849" width="9.453125" style="1353" customWidth="1"/>
    <col min="4850" max="4850" width="8.1796875" style="1353" bestFit="1" customWidth="1"/>
    <col min="4851" max="4851" width="16.1796875" style="1353" customWidth="1"/>
    <col min="4852" max="4879" width="11.6328125" style="1353" customWidth="1"/>
    <col min="4880" max="5099" width="9" style="1353"/>
    <col min="5100" max="5100" width="1.1796875" style="1353" customWidth="1"/>
    <col min="5101" max="5101" width="8" style="1353" customWidth="1"/>
    <col min="5102" max="5102" width="8.453125" style="1353" customWidth="1"/>
    <col min="5103" max="5103" width="23.81640625" style="1353" customWidth="1"/>
    <col min="5104" max="5104" width="21.81640625" style="1353" customWidth="1"/>
    <col min="5105" max="5105" width="9.453125" style="1353" customWidth="1"/>
    <col min="5106" max="5106" width="8.1796875" style="1353" bestFit="1" customWidth="1"/>
    <col min="5107" max="5107" width="16.1796875" style="1353" customWidth="1"/>
    <col min="5108" max="5135" width="11.6328125" style="1353" customWidth="1"/>
    <col min="5136" max="5355" width="9" style="1353"/>
    <col min="5356" max="5356" width="1.1796875" style="1353" customWidth="1"/>
    <col min="5357" max="5357" width="8" style="1353" customWidth="1"/>
    <col min="5358" max="5358" width="8.453125" style="1353" customWidth="1"/>
    <col min="5359" max="5359" width="23.81640625" style="1353" customWidth="1"/>
    <col min="5360" max="5360" width="21.81640625" style="1353" customWidth="1"/>
    <col min="5361" max="5361" width="9.453125" style="1353" customWidth="1"/>
    <col min="5362" max="5362" width="8.1796875" style="1353" bestFit="1" customWidth="1"/>
    <col min="5363" max="5363" width="16.1796875" style="1353" customWidth="1"/>
    <col min="5364" max="5391" width="11.6328125" style="1353" customWidth="1"/>
    <col min="5392" max="5611" width="9" style="1353"/>
    <col min="5612" max="5612" width="1.1796875" style="1353" customWidth="1"/>
    <col min="5613" max="5613" width="8" style="1353" customWidth="1"/>
    <col min="5614" max="5614" width="8.453125" style="1353" customWidth="1"/>
    <col min="5615" max="5615" width="23.81640625" style="1353" customWidth="1"/>
    <col min="5616" max="5616" width="21.81640625" style="1353" customWidth="1"/>
    <col min="5617" max="5617" width="9.453125" style="1353" customWidth="1"/>
    <col min="5618" max="5618" width="8.1796875" style="1353" bestFit="1" customWidth="1"/>
    <col min="5619" max="5619" width="16.1796875" style="1353" customWidth="1"/>
    <col min="5620" max="5647" width="11.6328125" style="1353" customWidth="1"/>
    <col min="5648" max="5867" width="9" style="1353"/>
    <col min="5868" max="5868" width="1.1796875" style="1353" customWidth="1"/>
    <col min="5869" max="5869" width="8" style="1353" customWidth="1"/>
    <col min="5870" max="5870" width="8.453125" style="1353" customWidth="1"/>
    <col min="5871" max="5871" width="23.81640625" style="1353" customWidth="1"/>
    <col min="5872" max="5872" width="21.81640625" style="1353" customWidth="1"/>
    <col min="5873" max="5873" width="9.453125" style="1353" customWidth="1"/>
    <col min="5874" max="5874" width="8.1796875" style="1353" bestFit="1" customWidth="1"/>
    <col min="5875" max="5875" width="16.1796875" style="1353" customWidth="1"/>
    <col min="5876" max="5903" width="11.6328125" style="1353" customWidth="1"/>
    <col min="5904" max="6123" width="9" style="1353"/>
    <col min="6124" max="6124" width="1.1796875" style="1353" customWidth="1"/>
    <col min="6125" max="6125" width="8" style="1353" customWidth="1"/>
    <col min="6126" max="6126" width="8.453125" style="1353" customWidth="1"/>
    <col min="6127" max="6127" width="23.81640625" style="1353" customWidth="1"/>
    <col min="6128" max="6128" width="21.81640625" style="1353" customWidth="1"/>
    <col min="6129" max="6129" width="9.453125" style="1353" customWidth="1"/>
    <col min="6130" max="6130" width="8.1796875" style="1353" bestFit="1" customWidth="1"/>
    <col min="6131" max="6131" width="16.1796875" style="1353" customWidth="1"/>
    <col min="6132" max="6159" width="11.6328125" style="1353" customWidth="1"/>
    <col min="6160" max="6379" width="9" style="1353"/>
    <col min="6380" max="6380" width="1.1796875" style="1353" customWidth="1"/>
    <col min="6381" max="6381" width="8" style="1353" customWidth="1"/>
    <col min="6382" max="6382" width="8.453125" style="1353" customWidth="1"/>
    <col min="6383" max="6383" width="23.81640625" style="1353" customWidth="1"/>
    <col min="6384" max="6384" width="21.81640625" style="1353" customWidth="1"/>
    <col min="6385" max="6385" width="9.453125" style="1353" customWidth="1"/>
    <col min="6386" max="6386" width="8.1796875" style="1353" bestFit="1" customWidth="1"/>
    <col min="6387" max="6387" width="16.1796875" style="1353" customWidth="1"/>
    <col min="6388" max="6415" width="11.6328125" style="1353" customWidth="1"/>
    <col min="6416" max="6635" width="9" style="1353"/>
    <col min="6636" max="6636" width="1.1796875" style="1353" customWidth="1"/>
    <col min="6637" max="6637" width="8" style="1353" customWidth="1"/>
    <col min="6638" max="6638" width="8.453125" style="1353" customWidth="1"/>
    <col min="6639" max="6639" width="23.81640625" style="1353" customWidth="1"/>
    <col min="6640" max="6640" width="21.81640625" style="1353" customWidth="1"/>
    <col min="6641" max="6641" width="9.453125" style="1353" customWidth="1"/>
    <col min="6642" max="6642" width="8.1796875" style="1353" bestFit="1" customWidth="1"/>
    <col min="6643" max="6643" width="16.1796875" style="1353" customWidth="1"/>
    <col min="6644" max="6671" width="11.6328125" style="1353" customWidth="1"/>
    <col min="6672" max="6891" width="9" style="1353"/>
    <col min="6892" max="6892" width="1.1796875" style="1353" customWidth="1"/>
    <col min="6893" max="6893" width="8" style="1353" customWidth="1"/>
    <col min="6894" max="6894" width="8.453125" style="1353" customWidth="1"/>
    <col min="6895" max="6895" width="23.81640625" style="1353" customWidth="1"/>
    <col min="6896" max="6896" width="21.81640625" style="1353" customWidth="1"/>
    <col min="6897" max="6897" width="9.453125" style="1353" customWidth="1"/>
    <col min="6898" max="6898" width="8.1796875" style="1353" bestFit="1" customWidth="1"/>
    <col min="6899" max="6899" width="16.1796875" style="1353" customWidth="1"/>
    <col min="6900" max="6927" width="11.6328125" style="1353" customWidth="1"/>
    <col min="6928" max="7147" width="9" style="1353"/>
    <col min="7148" max="7148" width="1.1796875" style="1353" customWidth="1"/>
    <col min="7149" max="7149" width="8" style="1353" customWidth="1"/>
    <col min="7150" max="7150" width="8.453125" style="1353" customWidth="1"/>
    <col min="7151" max="7151" width="23.81640625" style="1353" customWidth="1"/>
    <col min="7152" max="7152" width="21.81640625" style="1353" customWidth="1"/>
    <col min="7153" max="7153" width="9.453125" style="1353" customWidth="1"/>
    <col min="7154" max="7154" width="8.1796875" style="1353" bestFit="1" customWidth="1"/>
    <col min="7155" max="7155" width="16.1796875" style="1353" customWidth="1"/>
    <col min="7156" max="7183" width="11.6328125" style="1353" customWidth="1"/>
    <col min="7184" max="7403" width="9" style="1353"/>
    <col min="7404" max="7404" width="1.1796875" style="1353" customWidth="1"/>
    <col min="7405" max="7405" width="8" style="1353" customWidth="1"/>
    <col min="7406" max="7406" width="8.453125" style="1353" customWidth="1"/>
    <col min="7407" max="7407" width="23.81640625" style="1353" customWidth="1"/>
    <col min="7408" max="7408" width="21.81640625" style="1353" customWidth="1"/>
    <col min="7409" max="7409" width="9.453125" style="1353" customWidth="1"/>
    <col min="7410" max="7410" width="8.1796875" style="1353" bestFit="1" customWidth="1"/>
    <col min="7411" max="7411" width="16.1796875" style="1353" customWidth="1"/>
    <col min="7412" max="7439" width="11.6328125" style="1353" customWidth="1"/>
    <col min="7440" max="7659" width="9" style="1353"/>
    <col min="7660" max="7660" width="1.1796875" style="1353" customWidth="1"/>
    <col min="7661" max="7661" width="8" style="1353" customWidth="1"/>
    <col min="7662" max="7662" width="8.453125" style="1353" customWidth="1"/>
    <col min="7663" max="7663" width="23.81640625" style="1353" customWidth="1"/>
    <col min="7664" max="7664" width="21.81640625" style="1353" customWidth="1"/>
    <col min="7665" max="7665" width="9.453125" style="1353" customWidth="1"/>
    <col min="7666" max="7666" width="8.1796875" style="1353" bestFit="1" customWidth="1"/>
    <col min="7667" max="7667" width="16.1796875" style="1353" customWidth="1"/>
    <col min="7668" max="7695" width="11.6328125" style="1353" customWidth="1"/>
    <col min="7696" max="7915" width="9" style="1353"/>
    <col min="7916" max="7916" width="1.1796875" style="1353" customWidth="1"/>
    <col min="7917" max="7917" width="8" style="1353" customWidth="1"/>
    <col min="7918" max="7918" width="8.453125" style="1353" customWidth="1"/>
    <col min="7919" max="7919" width="23.81640625" style="1353" customWidth="1"/>
    <col min="7920" max="7920" width="21.81640625" style="1353" customWidth="1"/>
    <col min="7921" max="7921" width="9.453125" style="1353" customWidth="1"/>
    <col min="7922" max="7922" width="8.1796875" style="1353" bestFit="1" customWidth="1"/>
    <col min="7923" max="7923" width="16.1796875" style="1353" customWidth="1"/>
    <col min="7924" max="7951" width="11.6328125" style="1353" customWidth="1"/>
    <col min="7952" max="8171" width="9" style="1353"/>
    <col min="8172" max="8172" width="1.1796875" style="1353" customWidth="1"/>
    <col min="8173" max="8173" width="8" style="1353" customWidth="1"/>
    <col min="8174" max="8174" width="8.453125" style="1353" customWidth="1"/>
    <col min="8175" max="8175" width="23.81640625" style="1353" customWidth="1"/>
    <col min="8176" max="8176" width="21.81640625" style="1353" customWidth="1"/>
    <col min="8177" max="8177" width="9.453125" style="1353" customWidth="1"/>
    <col min="8178" max="8178" width="8.1796875" style="1353" bestFit="1" customWidth="1"/>
    <col min="8179" max="8179" width="16.1796875" style="1353" customWidth="1"/>
    <col min="8180" max="8207" width="11.6328125" style="1353" customWidth="1"/>
    <col min="8208" max="8427" width="9" style="1353"/>
    <col min="8428" max="8428" width="1.1796875" style="1353" customWidth="1"/>
    <col min="8429" max="8429" width="8" style="1353" customWidth="1"/>
    <col min="8430" max="8430" width="8.453125" style="1353" customWidth="1"/>
    <col min="8431" max="8431" width="23.81640625" style="1353" customWidth="1"/>
    <col min="8432" max="8432" width="21.81640625" style="1353" customWidth="1"/>
    <col min="8433" max="8433" width="9.453125" style="1353" customWidth="1"/>
    <col min="8434" max="8434" width="8.1796875" style="1353" bestFit="1" customWidth="1"/>
    <col min="8435" max="8435" width="16.1796875" style="1353" customWidth="1"/>
    <col min="8436" max="8463" width="11.6328125" style="1353" customWidth="1"/>
    <col min="8464" max="8683" width="9" style="1353"/>
    <col min="8684" max="8684" width="1.1796875" style="1353" customWidth="1"/>
    <col min="8685" max="8685" width="8" style="1353" customWidth="1"/>
    <col min="8686" max="8686" width="8.453125" style="1353" customWidth="1"/>
    <col min="8687" max="8687" width="23.81640625" style="1353" customWidth="1"/>
    <col min="8688" max="8688" width="21.81640625" style="1353" customWidth="1"/>
    <col min="8689" max="8689" width="9.453125" style="1353" customWidth="1"/>
    <col min="8690" max="8690" width="8.1796875" style="1353" bestFit="1" customWidth="1"/>
    <col min="8691" max="8691" width="16.1796875" style="1353" customWidth="1"/>
    <col min="8692" max="8719" width="11.6328125" style="1353" customWidth="1"/>
    <col min="8720" max="8939" width="9" style="1353"/>
    <col min="8940" max="8940" width="1.1796875" style="1353" customWidth="1"/>
    <col min="8941" max="8941" width="8" style="1353" customWidth="1"/>
    <col min="8942" max="8942" width="8.453125" style="1353" customWidth="1"/>
    <col min="8943" max="8943" width="23.81640625" style="1353" customWidth="1"/>
    <col min="8944" max="8944" width="21.81640625" style="1353" customWidth="1"/>
    <col min="8945" max="8945" width="9.453125" style="1353" customWidth="1"/>
    <col min="8946" max="8946" width="8.1796875" style="1353" bestFit="1" customWidth="1"/>
    <col min="8947" max="8947" width="16.1796875" style="1353" customWidth="1"/>
    <col min="8948" max="8975" width="11.6328125" style="1353" customWidth="1"/>
    <col min="8976" max="9195" width="9" style="1353"/>
    <col min="9196" max="9196" width="1.1796875" style="1353" customWidth="1"/>
    <col min="9197" max="9197" width="8" style="1353" customWidth="1"/>
    <col min="9198" max="9198" width="8.453125" style="1353" customWidth="1"/>
    <col min="9199" max="9199" width="23.81640625" style="1353" customWidth="1"/>
    <col min="9200" max="9200" width="21.81640625" style="1353" customWidth="1"/>
    <col min="9201" max="9201" width="9.453125" style="1353" customWidth="1"/>
    <col min="9202" max="9202" width="8.1796875" style="1353" bestFit="1" customWidth="1"/>
    <col min="9203" max="9203" width="16.1796875" style="1353" customWidth="1"/>
    <col min="9204" max="9231" width="11.6328125" style="1353" customWidth="1"/>
    <col min="9232" max="9451" width="9" style="1353"/>
    <col min="9452" max="9452" width="1.1796875" style="1353" customWidth="1"/>
    <col min="9453" max="9453" width="8" style="1353" customWidth="1"/>
    <col min="9454" max="9454" width="8.453125" style="1353" customWidth="1"/>
    <col min="9455" max="9455" width="23.81640625" style="1353" customWidth="1"/>
    <col min="9456" max="9456" width="21.81640625" style="1353" customWidth="1"/>
    <col min="9457" max="9457" width="9.453125" style="1353" customWidth="1"/>
    <col min="9458" max="9458" width="8.1796875" style="1353" bestFit="1" customWidth="1"/>
    <col min="9459" max="9459" width="16.1796875" style="1353" customWidth="1"/>
    <col min="9460" max="9487" width="11.6328125" style="1353" customWidth="1"/>
    <col min="9488" max="9707" width="9" style="1353"/>
    <col min="9708" max="9708" width="1.1796875" style="1353" customWidth="1"/>
    <col min="9709" max="9709" width="8" style="1353" customWidth="1"/>
    <col min="9710" max="9710" width="8.453125" style="1353" customWidth="1"/>
    <col min="9711" max="9711" width="23.81640625" style="1353" customWidth="1"/>
    <col min="9712" max="9712" width="21.81640625" style="1353" customWidth="1"/>
    <col min="9713" max="9713" width="9.453125" style="1353" customWidth="1"/>
    <col min="9714" max="9714" width="8.1796875" style="1353" bestFit="1" customWidth="1"/>
    <col min="9715" max="9715" width="16.1796875" style="1353" customWidth="1"/>
    <col min="9716" max="9743" width="11.6328125" style="1353" customWidth="1"/>
    <col min="9744" max="9963" width="9" style="1353"/>
    <col min="9964" max="9964" width="1.1796875" style="1353" customWidth="1"/>
    <col min="9965" max="9965" width="8" style="1353" customWidth="1"/>
    <col min="9966" max="9966" width="8.453125" style="1353" customWidth="1"/>
    <col min="9967" max="9967" width="23.81640625" style="1353" customWidth="1"/>
    <col min="9968" max="9968" width="21.81640625" style="1353" customWidth="1"/>
    <col min="9969" max="9969" width="9.453125" style="1353" customWidth="1"/>
    <col min="9970" max="9970" width="8.1796875" style="1353" bestFit="1" customWidth="1"/>
    <col min="9971" max="9971" width="16.1796875" style="1353" customWidth="1"/>
    <col min="9972" max="9999" width="11.6328125" style="1353" customWidth="1"/>
    <col min="10000" max="10219" width="9" style="1353"/>
    <col min="10220" max="10220" width="1.1796875" style="1353" customWidth="1"/>
    <col min="10221" max="10221" width="8" style="1353" customWidth="1"/>
    <col min="10222" max="10222" width="8.453125" style="1353" customWidth="1"/>
    <col min="10223" max="10223" width="23.81640625" style="1353" customWidth="1"/>
    <col min="10224" max="10224" width="21.81640625" style="1353" customWidth="1"/>
    <col min="10225" max="10225" width="9.453125" style="1353" customWidth="1"/>
    <col min="10226" max="10226" width="8.1796875" style="1353" bestFit="1" customWidth="1"/>
    <col min="10227" max="10227" width="16.1796875" style="1353" customWidth="1"/>
    <col min="10228" max="10255" width="11.6328125" style="1353" customWidth="1"/>
    <col min="10256" max="10475" width="9" style="1353"/>
    <col min="10476" max="10476" width="1.1796875" style="1353" customWidth="1"/>
    <col min="10477" max="10477" width="8" style="1353" customWidth="1"/>
    <col min="10478" max="10478" width="8.453125" style="1353" customWidth="1"/>
    <col min="10479" max="10479" width="23.81640625" style="1353" customWidth="1"/>
    <col min="10480" max="10480" width="21.81640625" style="1353" customWidth="1"/>
    <col min="10481" max="10481" width="9.453125" style="1353" customWidth="1"/>
    <col min="10482" max="10482" width="8.1796875" style="1353" bestFit="1" customWidth="1"/>
    <col min="10483" max="10483" width="16.1796875" style="1353" customWidth="1"/>
    <col min="10484" max="10511" width="11.6328125" style="1353" customWidth="1"/>
    <col min="10512" max="10731" width="9" style="1353"/>
    <col min="10732" max="10732" width="1.1796875" style="1353" customWidth="1"/>
    <col min="10733" max="10733" width="8" style="1353" customWidth="1"/>
    <col min="10734" max="10734" width="8.453125" style="1353" customWidth="1"/>
    <col min="10735" max="10735" width="23.81640625" style="1353" customWidth="1"/>
    <col min="10736" max="10736" width="21.81640625" style="1353" customWidth="1"/>
    <col min="10737" max="10737" width="9.453125" style="1353" customWidth="1"/>
    <col min="10738" max="10738" width="8.1796875" style="1353" bestFit="1" customWidth="1"/>
    <col min="10739" max="10739" width="16.1796875" style="1353" customWidth="1"/>
    <col min="10740" max="10767" width="11.6328125" style="1353" customWidth="1"/>
    <col min="10768" max="10987" width="9" style="1353"/>
    <col min="10988" max="10988" width="1.1796875" style="1353" customWidth="1"/>
    <col min="10989" max="10989" width="8" style="1353" customWidth="1"/>
    <col min="10990" max="10990" width="8.453125" style="1353" customWidth="1"/>
    <col min="10991" max="10991" width="23.81640625" style="1353" customWidth="1"/>
    <col min="10992" max="10992" width="21.81640625" style="1353" customWidth="1"/>
    <col min="10993" max="10993" width="9.453125" style="1353" customWidth="1"/>
    <col min="10994" max="10994" width="8.1796875" style="1353" bestFit="1" customWidth="1"/>
    <col min="10995" max="10995" width="16.1796875" style="1353" customWidth="1"/>
    <col min="10996" max="11023" width="11.6328125" style="1353" customWidth="1"/>
    <col min="11024" max="11243" width="9" style="1353"/>
    <col min="11244" max="11244" width="1.1796875" style="1353" customWidth="1"/>
    <col min="11245" max="11245" width="8" style="1353" customWidth="1"/>
    <col min="11246" max="11246" width="8.453125" style="1353" customWidth="1"/>
    <col min="11247" max="11247" width="23.81640625" style="1353" customWidth="1"/>
    <col min="11248" max="11248" width="21.81640625" style="1353" customWidth="1"/>
    <col min="11249" max="11249" width="9.453125" style="1353" customWidth="1"/>
    <col min="11250" max="11250" width="8.1796875" style="1353" bestFit="1" customWidth="1"/>
    <col min="11251" max="11251" width="16.1796875" style="1353" customWidth="1"/>
    <col min="11252" max="11279" width="11.6328125" style="1353" customWidth="1"/>
    <col min="11280" max="11499" width="9" style="1353"/>
    <col min="11500" max="11500" width="1.1796875" style="1353" customWidth="1"/>
    <col min="11501" max="11501" width="8" style="1353" customWidth="1"/>
    <col min="11502" max="11502" width="8.453125" style="1353" customWidth="1"/>
    <col min="11503" max="11503" width="23.81640625" style="1353" customWidth="1"/>
    <col min="11504" max="11504" width="21.81640625" style="1353" customWidth="1"/>
    <col min="11505" max="11505" width="9.453125" style="1353" customWidth="1"/>
    <col min="11506" max="11506" width="8.1796875" style="1353" bestFit="1" customWidth="1"/>
    <col min="11507" max="11507" width="16.1796875" style="1353" customWidth="1"/>
    <col min="11508" max="11535" width="11.6328125" style="1353" customWidth="1"/>
    <col min="11536" max="11755" width="9" style="1353"/>
    <col min="11756" max="11756" width="1.1796875" style="1353" customWidth="1"/>
    <col min="11757" max="11757" width="8" style="1353" customWidth="1"/>
    <col min="11758" max="11758" width="8.453125" style="1353" customWidth="1"/>
    <col min="11759" max="11759" width="23.81640625" style="1353" customWidth="1"/>
    <col min="11760" max="11760" width="21.81640625" style="1353" customWidth="1"/>
    <col min="11761" max="11761" width="9.453125" style="1353" customWidth="1"/>
    <col min="11762" max="11762" width="8.1796875" style="1353" bestFit="1" customWidth="1"/>
    <col min="11763" max="11763" width="16.1796875" style="1353" customWidth="1"/>
    <col min="11764" max="11791" width="11.6328125" style="1353" customWidth="1"/>
    <col min="11792" max="12011" width="9" style="1353"/>
    <col min="12012" max="12012" width="1.1796875" style="1353" customWidth="1"/>
    <col min="12013" max="12013" width="8" style="1353" customWidth="1"/>
    <col min="12014" max="12014" width="8.453125" style="1353" customWidth="1"/>
    <col min="12015" max="12015" width="23.81640625" style="1353" customWidth="1"/>
    <col min="12016" max="12016" width="21.81640625" style="1353" customWidth="1"/>
    <col min="12017" max="12017" width="9.453125" style="1353" customWidth="1"/>
    <col min="12018" max="12018" width="8.1796875" style="1353" bestFit="1" customWidth="1"/>
    <col min="12019" max="12019" width="16.1796875" style="1353" customWidth="1"/>
    <col min="12020" max="12047" width="11.6328125" style="1353" customWidth="1"/>
    <col min="12048" max="12267" width="9" style="1353"/>
    <col min="12268" max="12268" width="1.1796875" style="1353" customWidth="1"/>
    <col min="12269" max="12269" width="8" style="1353" customWidth="1"/>
    <col min="12270" max="12270" width="8.453125" style="1353" customWidth="1"/>
    <col min="12271" max="12271" width="23.81640625" style="1353" customWidth="1"/>
    <col min="12272" max="12272" width="21.81640625" style="1353" customWidth="1"/>
    <col min="12273" max="12273" width="9.453125" style="1353" customWidth="1"/>
    <col min="12274" max="12274" width="8.1796875" style="1353" bestFit="1" customWidth="1"/>
    <col min="12275" max="12275" width="16.1796875" style="1353" customWidth="1"/>
    <col min="12276" max="12303" width="11.6328125" style="1353" customWidth="1"/>
    <col min="12304" max="12523" width="9" style="1353"/>
    <col min="12524" max="12524" width="1.1796875" style="1353" customWidth="1"/>
    <col min="12525" max="12525" width="8" style="1353" customWidth="1"/>
    <col min="12526" max="12526" width="8.453125" style="1353" customWidth="1"/>
    <col min="12527" max="12527" width="23.81640625" style="1353" customWidth="1"/>
    <col min="12528" max="12528" width="21.81640625" style="1353" customWidth="1"/>
    <col min="12529" max="12529" width="9.453125" style="1353" customWidth="1"/>
    <col min="12530" max="12530" width="8.1796875" style="1353" bestFit="1" customWidth="1"/>
    <col min="12531" max="12531" width="16.1796875" style="1353" customWidth="1"/>
    <col min="12532" max="12559" width="11.6328125" style="1353" customWidth="1"/>
    <col min="12560" max="12779" width="9" style="1353"/>
    <col min="12780" max="12780" width="1.1796875" style="1353" customWidth="1"/>
    <col min="12781" max="12781" width="8" style="1353" customWidth="1"/>
    <col min="12782" max="12782" width="8.453125" style="1353" customWidth="1"/>
    <col min="12783" max="12783" width="23.81640625" style="1353" customWidth="1"/>
    <col min="12784" max="12784" width="21.81640625" style="1353" customWidth="1"/>
    <col min="12785" max="12785" width="9.453125" style="1353" customWidth="1"/>
    <col min="12786" max="12786" width="8.1796875" style="1353" bestFit="1" customWidth="1"/>
    <col min="12787" max="12787" width="16.1796875" style="1353" customWidth="1"/>
    <col min="12788" max="12815" width="11.6328125" style="1353" customWidth="1"/>
    <col min="12816" max="13035" width="9" style="1353"/>
    <col min="13036" max="13036" width="1.1796875" style="1353" customWidth="1"/>
    <col min="13037" max="13037" width="8" style="1353" customWidth="1"/>
    <col min="13038" max="13038" width="8.453125" style="1353" customWidth="1"/>
    <col min="13039" max="13039" width="23.81640625" style="1353" customWidth="1"/>
    <col min="13040" max="13040" width="21.81640625" style="1353" customWidth="1"/>
    <col min="13041" max="13041" width="9.453125" style="1353" customWidth="1"/>
    <col min="13042" max="13042" width="8.1796875" style="1353" bestFit="1" customWidth="1"/>
    <col min="13043" max="13043" width="16.1796875" style="1353" customWidth="1"/>
    <col min="13044" max="13071" width="11.6328125" style="1353" customWidth="1"/>
    <col min="13072" max="13291" width="9" style="1353"/>
    <col min="13292" max="13292" width="1.1796875" style="1353" customWidth="1"/>
    <col min="13293" max="13293" width="8" style="1353" customWidth="1"/>
    <col min="13294" max="13294" width="8.453125" style="1353" customWidth="1"/>
    <col min="13295" max="13295" width="23.81640625" style="1353" customWidth="1"/>
    <col min="13296" max="13296" width="21.81640625" style="1353" customWidth="1"/>
    <col min="13297" max="13297" width="9.453125" style="1353" customWidth="1"/>
    <col min="13298" max="13298" width="8.1796875" style="1353" bestFit="1" customWidth="1"/>
    <col min="13299" max="13299" width="16.1796875" style="1353" customWidth="1"/>
    <col min="13300" max="13327" width="11.6328125" style="1353" customWidth="1"/>
    <col min="13328" max="13547" width="9" style="1353"/>
    <col min="13548" max="13548" width="1.1796875" style="1353" customWidth="1"/>
    <col min="13549" max="13549" width="8" style="1353" customWidth="1"/>
    <col min="13550" max="13550" width="8.453125" style="1353" customWidth="1"/>
    <col min="13551" max="13551" width="23.81640625" style="1353" customWidth="1"/>
    <col min="13552" max="13552" width="21.81640625" style="1353" customWidth="1"/>
    <col min="13553" max="13553" width="9.453125" style="1353" customWidth="1"/>
    <col min="13554" max="13554" width="8.1796875" style="1353" bestFit="1" customWidth="1"/>
    <col min="13555" max="13555" width="16.1796875" style="1353" customWidth="1"/>
    <col min="13556" max="13583" width="11.6328125" style="1353" customWidth="1"/>
    <col min="13584" max="13803" width="9" style="1353"/>
    <col min="13804" max="13804" width="1.1796875" style="1353" customWidth="1"/>
    <col min="13805" max="13805" width="8" style="1353" customWidth="1"/>
    <col min="13806" max="13806" width="8.453125" style="1353" customWidth="1"/>
    <col min="13807" max="13807" width="23.81640625" style="1353" customWidth="1"/>
    <col min="13808" max="13808" width="21.81640625" style="1353" customWidth="1"/>
    <col min="13809" max="13809" width="9.453125" style="1353" customWidth="1"/>
    <col min="13810" max="13810" width="8.1796875" style="1353" bestFit="1" customWidth="1"/>
    <col min="13811" max="13811" width="16.1796875" style="1353" customWidth="1"/>
    <col min="13812" max="13839" width="11.6328125" style="1353" customWidth="1"/>
    <col min="13840" max="14059" width="9" style="1353"/>
    <col min="14060" max="14060" width="1.1796875" style="1353" customWidth="1"/>
    <col min="14061" max="14061" width="8" style="1353" customWidth="1"/>
    <col min="14062" max="14062" width="8.453125" style="1353" customWidth="1"/>
    <col min="14063" max="14063" width="23.81640625" style="1353" customWidth="1"/>
    <col min="14064" max="14064" width="21.81640625" style="1353" customWidth="1"/>
    <col min="14065" max="14065" width="9.453125" style="1353" customWidth="1"/>
    <col min="14066" max="14066" width="8.1796875" style="1353" bestFit="1" customWidth="1"/>
    <col min="14067" max="14067" width="16.1796875" style="1353" customWidth="1"/>
    <col min="14068" max="14095" width="11.6328125" style="1353" customWidth="1"/>
    <col min="14096" max="14315" width="9" style="1353"/>
    <col min="14316" max="14316" width="1.1796875" style="1353" customWidth="1"/>
    <col min="14317" max="14317" width="8" style="1353" customWidth="1"/>
    <col min="14318" max="14318" width="8.453125" style="1353" customWidth="1"/>
    <col min="14319" max="14319" width="23.81640625" style="1353" customWidth="1"/>
    <col min="14320" max="14320" width="21.81640625" style="1353" customWidth="1"/>
    <col min="14321" max="14321" width="9.453125" style="1353" customWidth="1"/>
    <col min="14322" max="14322" width="8.1796875" style="1353" bestFit="1" customWidth="1"/>
    <col min="14323" max="14323" width="16.1796875" style="1353" customWidth="1"/>
    <col min="14324" max="14351" width="11.6328125" style="1353" customWidth="1"/>
    <col min="14352" max="14571" width="9" style="1353"/>
    <col min="14572" max="14572" width="1.1796875" style="1353" customWidth="1"/>
    <col min="14573" max="14573" width="8" style="1353" customWidth="1"/>
    <col min="14574" max="14574" width="8.453125" style="1353" customWidth="1"/>
    <col min="14575" max="14575" width="23.81640625" style="1353" customWidth="1"/>
    <col min="14576" max="14576" width="21.81640625" style="1353" customWidth="1"/>
    <col min="14577" max="14577" width="9.453125" style="1353" customWidth="1"/>
    <col min="14578" max="14578" width="8.1796875" style="1353" bestFit="1" customWidth="1"/>
    <col min="14579" max="14579" width="16.1796875" style="1353" customWidth="1"/>
    <col min="14580" max="14607" width="11.6328125" style="1353" customWidth="1"/>
    <col min="14608" max="14827" width="9" style="1353"/>
    <col min="14828" max="14828" width="1.1796875" style="1353" customWidth="1"/>
    <col min="14829" max="14829" width="8" style="1353" customWidth="1"/>
    <col min="14830" max="14830" width="8.453125" style="1353" customWidth="1"/>
    <col min="14831" max="14831" width="23.81640625" style="1353" customWidth="1"/>
    <col min="14832" max="14832" width="21.81640625" style="1353" customWidth="1"/>
    <col min="14833" max="14833" width="9.453125" style="1353" customWidth="1"/>
    <col min="14834" max="14834" width="8.1796875" style="1353" bestFit="1" customWidth="1"/>
    <col min="14835" max="14835" width="16.1796875" style="1353" customWidth="1"/>
    <col min="14836" max="14863" width="11.6328125" style="1353" customWidth="1"/>
    <col min="14864" max="15083" width="9" style="1353"/>
    <col min="15084" max="15084" width="1.1796875" style="1353" customWidth="1"/>
    <col min="15085" max="15085" width="8" style="1353" customWidth="1"/>
    <col min="15086" max="15086" width="8.453125" style="1353" customWidth="1"/>
    <col min="15087" max="15087" width="23.81640625" style="1353" customWidth="1"/>
    <col min="15088" max="15088" width="21.81640625" style="1353" customWidth="1"/>
    <col min="15089" max="15089" width="9.453125" style="1353" customWidth="1"/>
    <col min="15090" max="15090" width="8.1796875" style="1353" bestFit="1" customWidth="1"/>
    <col min="15091" max="15091" width="16.1796875" style="1353" customWidth="1"/>
    <col min="15092" max="15119" width="11.6328125" style="1353" customWidth="1"/>
    <col min="15120" max="15339" width="9" style="1353"/>
    <col min="15340" max="15340" width="1.1796875" style="1353" customWidth="1"/>
    <col min="15341" max="15341" width="8" style="1353" customWidth="1"/>
    <col min="15342" max="15342" width="8.453125" style="1353" customWidth="1"/>
    <col min="15343" max="15343" width="23.81640625" style="1353" customWidth="1"/>
    <col min="15344" max="15344" width="21.81640625" style="1353" customWidth="1"/>
    <col min="15345" max="15345" width="9.453125" style="1353" customWidth="1"/>
    <col min="15346" max="15346" width="8.1796875" style="1353" bestFit="1" customWidth="1"/>
    <col min="15347" max="15347" width="16.1796875" style="1353" customWidth="1"/>
    <col min="15348" max="15375" width="11.6328125" style="1353" customWidth="1"/>
    <col min="15376" max="15595" width="9" style="1353"/>
    <col min="15596" max="15596" width="1.1796875" style="1353" customWidth="1"/>
    <col min="15597" max="15597" width="8" style="1353" customWidth="1"/>
    <col min="15598" max="15598" width="8.453125" style="1353" customWidth="1"/>
    <col min="15599" max="15599" width="23.81640625" style="1353" customWidth="1"/>
    <col min="15600" max="15600" width="21.81640625" style="1353" customWidth="1"/>
    <col min="15601" max="15601" width="9.453125" style="1353" customWidth="1"/>
    <col min="15602" max="15602" width="8.1796875" style="1353" bestFit="1" customWidth="1"/>
    <col min="15603" max="15603" width="16.1796875" style="1353" customWidth="1"/>
    <col min="15604" max="15631" width="11.6328125" style="1353" customWidth="1"/>
    <col min="15632" max="15851" width="9" style="1353"/>
    <col min="15852" max="15852" width="1.1796875" style="1353" customWidth="1"/>
    <col min="15853" max="15853" width="8" style="1353" customWidth="1"/>
    <col min="15854" max="15854" width="8.453125" style="1353" customWidth="1"/>
    <col min="15855" max="15855" width="23.81640625" style="1353" customWidth="1"/>
    <col min="15856" max="15856" width="21.81640625" style="1353" customWidth="1"/>
    <col min="15857" max="15857" width="9.453125" style="1353" customWidth="1"/>
    <col min="15858" max="15858" width="8.1796875" style="1353" bestFit="1" customWidth="1"/>
    <col min="15859" max="15859" width="16.1796875" style="1353" customWidth="1"/>
    <col min="15860" max="15887" width="11.6328125" style="1353" customWidth="1"/>
    <col min="15888" max="16107" width="9" style="1353"/>
    <col min="16108" max="16108" width="1.1796875" style="1353" customWidth="1"/>
    <col min="16109" max="16109" width="8" style="1353" customWidth="1"/>
    <col min="16110" max="16110" width="8.453125" style="1353" customWidth="1"/>
    <col min="16111" max="16111" width="23.81640625" style="1353" customWidth="1"/>
    <col min="16112" max="16112" width="21.81640625" style="1353" customWidth="1"/>
    <col min="16113" max="16113" width="9.453125" style="1353" customWidth="1"/>
    <col min="16114" max="16114" width="8.1796875" style="1353" bestFit="1" customWidth="1"/>
    <col min="16115" max="16115" width="16.1796875" style="1353" customWidth="1"/>
    <col min="16116" max="16143" width="11.6328125" style="1353" customWidth="1"/>
    <col min="16144" max="16384" width="9" style="1353"/>
  </cols>
  <sheetData>
    <row r="1" spans="2:5" ht="14.4" thickBot="1" x14ac:dyDescent="0.3"/>
    <row r="2" spans="2:5" ht="14.4" thickBot="1" x14ac:dyDescent="0.3">
      <c r="B2" s="1197" t="s">
        <v>56</v>
      </c>
    </row>
    <row r="3" spans="2:5" ht="35.1" customHeight="1" x14ac:dyDescent="0.3">
      <c r="B3" s="557" t="s">
        <v>348</v>
      </c>
      <c r="C3" s="1354"/>
      <c r="D3" s="1354"/>
      <c r="E3" s="1354"/>
    </row>
    <row r="4" spans="2:5" ht="14.4" x14ac:dyDescent="0.3">
      <c r="B4" s="557" t="s">
        <v>349</v>
      </c>
      <c r="C4" s="1354"/>
      <c r="D4" s="1354"/>
      <c r="E4" s="1354"/>
    </row>
    <row r="5" spans="2:5" s="1354" customFormat="1" ht="14.4" x14ac:dyDescent="0.3">
      <c r="B5" s="1380" t="s">
        <v>350</v>
      </c>
    </row>
    <row r="6" spans="2:5" s="1354" customFormat="1" ht="14.4" x14ac:dyDescent="0.3">
      <c r="B6" s="557" t="s">
        <v>351</v>
      </c>
    </row>
    <row r="7" spans="2:5" s="1354" customFormat="1" ht="14.4" x14ac:dyDescent="0.3">
      <c r="B7" s="557" t="s">
        <v>352</v>
      </c>
    </row>
    <row r="8" spans="2:5" s="1354" customFormat="1" ht="14.4" x14ac:dyDescent="0.3">
      <c r="B8" s="557" t="s">
        <v>353</v>
      </c>
    </row>
    <row r="9" spans="2:5" s="1354" customFormat="1" ht="14.4" x14ac:dyDescent="0.3">
      <c r="B9" s="1355"/>
    </row>
    <row r="10" spans="2:5" s="1354" customFormat="1" ht="14.4" x14ac:dyDescent="0.3">
      <c r="B10" s="1355"/>
    </row>
    <row r="11" spans="2:5" s="1354" customFormat="1" ht="14.4" x14ac:dyDescent="0.3">
      <c r="B11" s="1355"/>
    </row>
    <row r="12" spans="2:5" s="1354" customFormat="1" ht="15" thickBot="1" x14ac:dyDescent="0.35">
      <c r="B12" s="1355"/>
    </row>
    <row r="13" spans="2:5" s="1354" customFormat="1" ht="14.4" x14ac:dyDescent="0.3">
      <c r="B13" s="1356" t="s">
        <v>57</v>
      </c>
      <c r="C13" s="1357" t="s">
        <v>15</v>
      </c>
      <c r="D13" s="1356" t="s">
        <v>2</v>
      </c>
      <c r="E13" s="1358">
        <v>1</v>
      </c>
    </row>
    <row r="14" spans="2:5" s="1354" customFormat="1" ht="15" thickBot="1" x14ac:dyDescent="0.35">
      <c r="B14" s="1359" t="s">
        <v>354</v>
      </c>
      <c r="C14" s="1360" t="s">
        <v>355</v>
      </c>
      <c r="D14" s="1361" t="s">
        <v>111</v>
      </c>
      <c r="E14" s="1360" t="s">
        <v>156</v>
      </c>
    </row>
    <row r="15" spans="2:5" s="1354" customFormat="1" ht="14.4" x14ac:dyDescent="0.3">
      <c r="B15" s="1355"/>
    </row>
    <row r="16" spans="2:5" s="1354" customFormat="1" ht="14.4" x14ac:dyDescent="0.3">
      <c r="B16" s="1355"/>
    </row>
    <row r="17" spans="1:89" s="1354" customFormat="1" ht="14.4" x14ac:dyDescent="0.3">
      <c r="B17" s="1355"/>
    </row>
    <row r="18" spans="1:89" s="1354" customFormat="1" ht="14.4" x14ac:dyDescent="0.3">
      <c r="B18" s="1355"/>
    </row>
    <row r="19" spans="1:89" s="1354" customFormat="1" ht="14.4" x14ac:dyDescent="0.3">
      <c r="B19" s="1355"/>
    </row>
    <row r="20" spans="1:89" s="1354" customFormat="1" ht="14.4" x14ac:dyDescent="0.3">
      <c r="B20" s="1355"/>
    </row>
    <row r="21" spans="1:89" ht="14.4" thickBot="1" x14ac:dyDescent="0.3"/>
    <row r="22" spans="1:89" ht="14.4" thickBot="1" x14ac:dyDescent="0.3">
      <c r="B22" s="558" t="s">
        <v>348</v>
      </c>
      <c r="C22" s="1378" t="s">
        <v>115</v>
      </c>
      <c r="D22" s="559"/>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c r="CB22" s="559"/>
      <c r="CC22" s="559"/>
      <c r="CD22" s="559"/>
      <c r="CE22" s="559"/>
      <c r="CF22" s="559"/>
      <c r="CG22" s="559"/>
      <c r="CH22" s="559"/>
      <c r="CI22" s="559"/>
      <c r="CJ22" s="559"/>
    </row>
    <row r="23" spans="1:89" ht="14.4" thickBot="1" x14ac:dyDescent="0.3">
      <c r="B23" s="560" t="s">
        <v>356</v>
      </c>
      <c r="C23" s="561" t="s">
        <v>116</v>
      </c>
      <c r="D23" s="561" t="s">
        <v>64</v>
      </c>
      <c r="E23" s="561" t="s">
        <v>117</v>
      </c>
      <c r="F23" s="562" t="s">
        <v>118</v>
      </c>
      <c r="G23" s="560" t="s">
        <v>119</v>
      </c>
      <c r="H23" s="560" t="s">
        <v>120</v>
      </c>
      <c r="I23" s="560" t="s">
        <v>121</v>
      </c>
      <c r="J23" s="560" t="s">
        <v>122</v>
      </c>
      <c r="K23" s="560" t="s">
        <v>123</v>
      </c>
      <c r="L23" s="560" t="s">
        <v>124</v>
      </c>
      <c r="M23" s="561" t="s">
        <v>125</v>
      </c>
      <c r="N23" s="561" t="s">
        <v>126</v>
      </c>
      <c r="O23" s="561" t="s">
        <v>127</v>
      </c>
      <c r="P23" s="561" t="s">
        <v>128</v>
      </c>
      <c r="Q23" s="561" t="s">
        <v>129</v>
      </c>
      <c r="R23" s="561" t="s">
        <v>130</v>
      </c>
      <c r="S23" s="561" t="s">
        <v>157</v>
      </c>
      <c r="T23" s="561" t="s">
        <v>158</v>
      </c>
      <c r="U23" s="561" t="s">
        <v>159</v>
      </c>
      <c r="V23" s="561" t="s">
        <v>160</v>
      </c>
      <c r="W23" s="561" t="s">
        <v>131</v>
      </c>
      <c r="X23" s="561" t="s">
        <v>161</v>
      </c>
      <c r="Y23" s="561" t="s">
        <v>162</v>
      </c>
      <c r="Z23" s="561" t="s">
        <v>163</v>
      </c>
      <c r="AA23" s="561" t="s">
        <v>164</v>
      </c>
      <c r="AB23" s="561" t="s">
        <v>132</v>
      </c>
      <c r="AC23" s="561" t="s">
        <v>165</v>
      </c>
      <c r="AD23" s="561" t="s">
        <v>166</v>
      </c>
      <c r="AE23" s="561" t="s">
        <v>167</v>
      </c>
      <c r="AF23" s="561" t="s">
        <v>168</v>
      </c>
      <c r="AG23" s="561" t="s">
        <v>133</v>
      </c>
      <c r="AH23" s="561" t="s">
        <v>169</v>
      </c>
      <c r="AI23" s="561" t="s">
        <v>170</v>
      </c>
      <c r="AJ23" s="561" t="s">
        <v>171</v>
      </c>
      <c r="AK23" s="561" t="s">
        <v>172</v>
      </c>
      <c r="AL23" s="561" t="s">
        <v>134</v>
      </c>
      <c r="AM23" s="561" t="s">
        <v>173</v>
      </c>
      <c r="AN23" s="561" t="s">
        <v>174</v>
      </c>
      <c r="AO23" s="561" t="s">
        <v>175</v>
      </c>
      <c r="AP23" s="561" t="s">
        <v>176</v>
      </c>
      <c r="AQ23" s="561" t="s">
        <v>135</v>
      </c>
      <c r="AR23" s="561" t="s">
        <v>177</v>
      </c>
      <c r="AS23" s="561" t="s">
        <v>178</v>
      </c>
      <c r="AT23" s="561" t="s">
        <v>179</v>
      </c>
      <c r="AU23" s="561" t="s">
        <v>180</v>
      </c>
      <c r="AV23" s="561" t="s">
        <v>136</v>
      </c>
      <c r="AW23" s="561" t="s">
        <v>181</v>
      </c>
      <c r="AX23" s="561" t="s">
        <v>182</v>
      </c>
      <c r="AY23" s="561" t="s">
        <v>183</v>
      </c>
      <c r="AZ23" s="561" t="s">
        <v>184</v>
      </c>
      <c r="BA23" s="561" t="s">
        <v>137</v>
      </c>
      <c r="BB23" s="561" t="s">
        <v>185</v>
      </c>
      <c r="BC23" s="561" t="s">
        <v>186</v>
      </c>
      <c r="BD23" s="561" t="s">
        <v>187</v>
      </c>
      <c r="BE23" s="561" t="s">
        <v>188</v>
      </c>
      <c r="BF23" s="561" t="s">
        <v>138</v>
      </c>
      <c r="BG23" s="561" t="s">
        <v>189</v>
      </c>
      <c r="BH23" s="561" t="s">
        <v>190</v>
      </c>
      <c r="BI23" s="561" t="s">
        <v>191</v>
      </c>
      <c r="BJ23" s="561" t="s">
        <v>192</v>
      </c>
      <c r="BK23" s="561" t="s">
        <v>139</v>
      </c>
      <c r="BL23" s="561" t="s">
        <v>193</v>
      </c>
      <c r="BM23" s="561" t="s">
        <v>194</v>
      </c>
      <c r="BN23" s="561" t="s">
        <v>195</v>
      </c>
      <c r="BO23" s="561" t="s">
        <v>196</v>
      </c>
      <c r="BP23" s="561" t="s">
        <v>140</v>
      </c>
      <c r="BQ23" s="561" t="s">
        <v>197</v>
      </c>
      <c r="BR23" s="561" t="s">
        <v>198</v>
      </c>
      <c r="BS23" s="561" t="s">
        <v>199</v>
      </c>
      <c r="BT23" s="561" t="s">
        <v>200</v>
      </c>
      <c r="BU23" s="561" t="s">
        <v>141</v>
      </c>
      <c r="BV23" s="561" t="s">
        <v>201</v>
      </c>
      <c r="BW23" s="561" t="s">
        <v>202</v>
      </c>
      <c r="BX23" s="561" t="s">
        <v>203</v>
      </c>
      <c r="BY23" s="561" t="s">
        <v>204</v>
      </c>
      <c r="BZ23" s="561" t="s">
        <v>142</v>
      </c>
      <c r="CA23" s="561" t="s">
        <v>205</v>
      </c>
      <c r="CB23" s="561" t="s">
        <v>206</v>
      </c>
      <c r="CC23" s="561" t="s">
        <v>207</v>
      </c>
      <c r="CD23" s="561" t="s">
        <v>208</v>
      </c>
      <c r="CE23" s="561" t="s">
        <v>143</v>
      </c>
      <c r="CF23" s="561" t="s">
        <v>209</v>
      </c>
      <c r="CG23" s="561" t="s">
        <v>210</v>
      </c>
      <c r="CH23" s="561" t="s">
        <v>211</v>
      </c>
      <c r="CI23" s="562" t="s">
        <v>212</v>
      </c>
    </row>
    <row r="24" spans="1:89" s="1362" customFormat="1" x14ac:dyDescent="0.25">
      <c r="A24" s="1353"/>
      <c r="B24" s="1068" t="s">
        <v>357</v>
      </c>
      <c r="C24" s="1069" t="s">
        <v>358</v>
      </c>
      <c r="D24" s="1070" t="s">
        <v>79</v>
      </c>
      <c r="E24" s="1071" t="s">
        <v>146</v>
      </c>
      <c r="F24" s="1072">
        <v>2</v>
      </c>
      <c r="G24" s="568"/>
      <c r="H24" s="568"/>
      <c r="I24" s="568">
        <v>317.70999999999998</v>
      </c>
      <c r="J24" s="568">
        <v>314.04476340616105</v>
      </c>
      <c r="K24" s="568">
        <v>314.66595006132638</v>
      </c>
      <c r="L24" s="568">
        <v>314.05527994757097</v>
      </c>
      <c r="M24" s="1423">
        <v>314.57685111398666</v>
      </c>
      <c r="N24" s="1423">
        <v>315.0097911253655</v>
      </c>
      <c r="O24" s="1423">
        <v>315.16748406217147</v>
      </c>
      <c r="P24" s="1423">
        <v>315.32878636484378</v>
      </c>
      <c r="Q24" s="1423">
        <v>315.53864068444193</v>
      </c>
      <c r="R24" s="1423">
        <v>315.63157266308656</v>
      </c>
      <c r="S24" s="1423">
        <v>315.73210081874527</v>
      </c>
      <c r="T24" s="1423">
        <v>315.84838257351316</v>
      </c>
      <c r="U24" s="1423">
        <v>315.97072150142606</v>
      </c>
      <c r="V24" s="1423">
        <v>316.03446300418608</v>
      </c>
      <c r="W24" s="1423">
        <v>316.71071354900801</v>
      </c>
      <c r="X24" s="1423">
        <v>317.335592943157</v>
      </c>
      <c r="Y24" s="1423">
        <v>318.08949564856044</v>
      </c>
      <c r="Z24" s="1423">
        <v>318.8912403732952</v>
      </c>
      <c r="AA24" s="1423">
        <v>319.69533411053993</v>
      </c>
      <c r="AB24" s="1423">
        <v>320.55531788416431</v>
      </c>
      <c r="AC24" s="1423">
        <v>321.39207876173282</v>
      </c>
      <c r="AD24" s="1423">
        <v>322.27165735055269</v>
      </c>
      <c r="AE24" s="1423">
        <v>323.15000692732565</v>
      </c>
      <c r="AF24" s="1423">
        <v>324.03936527949116</v>
      </c>
      <c r="AG24" s="1423">
        <v>324.85965722954614</v>
      </c>
      <c r="AH24" s="1423">
        <v>325.65753604733118</v>
      </c>
      <c r="AI24" s="1423">
        <v>326.49956044888188</v>
      </c>
      <c r="AJ24" s="1423">
        <v>327.35305638472192</v>
      </c>
      <c r="AK24" s="1423">
        <v>328.1855062326789</v>
      </c>
      <c r="AL24" s="1423">
        <v>329.06066189326907</v>
      </c>
      <c r="AM24" s="1423">
        <v>329.94869086863372</v>
      </c>
      <c r="AN24" s="1423">
        <v>330.80879980762001</v>
      </c>
      <c r="AO24" s="1423">
        <v>331.71322066506661</v>
      </c>
      <c r="AP24" s="1423">
        <v>332.62659997037457</v>
      </c>
      <c r="AQ24" s="1423">
        <v>333.51108647051905</v>
      </c>
      <c r="AR24" s="1423">
        <v>334.44163374717027</v>
      </c>
      <c r="AS24" s="1423">
        <v>335.34539759938303</v>
      </c>
      <c r="AT24" s="1423">
        <v>336.39012194437277</v>
      </c>
      <c r="AU24" s="1423">
        <v>337.44018789568787</v>
      </c>
      <c r="AV24" s="1423">
        <v>338.4553193611963</v>
      </c>
      <c r="AW24" s="1423">
        <v>339.50794829961325</v>
      </c>
      <c r="AX24" s="1423">
        <v>340.56581072937598</v>
      </c>
      <c r="AY24" s="1423">
        <v>341.58867736763381</v>
      </c>
      <c r="AZ24" s="1423">
        <v>342.64894325708428</v>
      </c>
      <c r="BA24" s="1423">
        <v>343.67693798685116</v>
      </c>
      <c r="BB24" s="1423">
        <v>344.74227753153633</v>
      </c>
      <c r="BC24" s="1423">
        <v>345.80735471805679</v>
      </c>
      <c r="BD24" s="1423">
        <v>346.84285174553861</v>
      </c>
      <c r="BE24" s="1423">
        <v>347.91562322343475</v>
      </c>
      <c r="BF24" s="1423">
        <v>348.98809212547405</v>
      </c>
      <c r="BG24" s="1423">
        <v>350.03092535565219</v>
      </c>
      <c r="BH24" s="1423">
        <v>351.1083210396867</v>
      </c>
      <c r="BI24" s="1423">
        <v>352.18810382580421</v>
      </c>
      <c r="BJ24" s="1423">
        <v>353.23820535642358</v>
      </c>
      <c r="BK24" s="1423">
        <v>354.3228349493578</v>
      </c>
      <c r="BL24" s="1423">
        <v>355.3751181948989</v>
      </c>
      <c r="BM24" s="1423">
        <v>356.46461480319994</v>
      </c>
      <c r="BN24" s="1423">
        <v>357.55644554362351</v>
      </c>
      <c r="BO24" s="1423">
        <v>358.61591015122974</v>
      </c>
      <c r="BP24" s="569"/>
      <c r="BQ24" s="569"/>
      <c r="BR24" s="569"/>
      <c r="BS24" s="569"/>
      <c r="BT24" s="569"/>
      <c r="BU24" s="569"/>
      <c r="BV24" s="569"/>
      <c r="BW24" s="569"/>
      <c r="BX24" s="569"/>
      <c r="BY24" s="569"/>
      <c r="BZ24" s="569"/>
      <c r="CA24" s="569"/>
      <c r="CB24" s="569"/>
      <c r="CC24" s="569"/>
      <c r="CD24" s="569"/>
      <c r="CE24" s="569"/>
      <c r="CF24" s="569"/>
      <c r="CG24" s="569"/>
      <c r="CH24" s="569"/>
      <c r="CI24" s="570"/>
      <c r="CK24" s="1363"/>
    </row>
    <row r="25" spans="1:89" s="1362" customFormat="1" x14ac:dyDescent="0.25">
      <c r="A25" s="1353"/>
      <c r="B25" s="1063" t="s">
        <v>359</v>
      </c>
      <c r="C25" s="1064" t="s">
        <v>360</v>
      </c>
      <c r="D25" s="1065" t="s">
        <v>79</v>
      </c>
      <c r="E25" s="1066" t="s">
        <v>146</v>
      </c>
      <c r="F25" s="1067">
        <v>2</v>
      </c>
      <c r="G25" s="1061"/>
      <c r="H25" s="1061"/>
      <c r="I25" s="1061">
        <v>0.27</v>
      </c>
      <c r="J25" s="1061">
        <v>0.31</v>
      </c>
      <c r="K25" s="1061">
        <v>0.31</v>
      </c>
      <c r="L25" s="1061">
        <v>0.31</v>
      </c>
      <c r="M25" s="1440">
        <v>0.31</v>
      </c>
      <c r="N25" s="1440">
        <v>0.31</v>
      </c>
      <c r="O25" s="1440">
        <v>0.31</v>
      </c>
      <c r="P25" s="1440">
        <v>0.31</v>
      </c>
      <c r="Q25" s="1440">
        <v>0.31</v>
      </c>
      <c r="R25" s="1440">
        <v>0.31</v>
      </c>
      <c r="S25" s="1440">
        <v>0.31</v>
      </c>
      <c r="T25" s="1440">
        <v>0.31</v>
      </c>
      <c r="U25" s="1440">
        <v>0.31</v>
      </c>
      <c r="V25" s="1440">
        <v>0.31</v>
      </c>
      <c r="W25" s="1440">
        <v>0.31</v>
      </c>
      <c r="X25" s="1440">
        <v>0.31</v>
      </c>
      <c r="Y25" s="1440">
        <v>0.31</v>
      </c>
      <c r="Z25" s="1440">
        <v>0.31</v>
      </c>
      <c r="AA25" s="1440">
        <v>0.31</v>
      </c>
      <c r="AB25" s="1440">
        <v>0.31</v>
      </c>
      <c r="AC25" s="1440">
        <v>0.31</v>
      </c>
      <c r="AD25" s="1440">
        <v>0.31</v>
      </c>
      <c r="AE25" s="1440">
        <v>0.31</v>
      </c>
      <c r="AF25" s="1440">
        <v>0.31</v>
      </c>
      <c r="AG25" s="1440">
        <v>0.31</v>
      </c>
      <c r="AH25" s="1440">
        <v>0.31</v>
      </c>
      <c r="AI25" s="1440">
        <v>0.31</v>
      </c>
      <c r="AJ25" s="1440">
        <v>0.31</v>
      </c>
      <c r="AK25" s="1440">
        <v>0.31</v>
      </c>
      <c r="AL25" s="1440">
        <v>0.31</v>
      </c>
      <c r="AM25" s="1440">
        <v>0.31</v>
      </c>
      <c r="AN25" s="1440">
        <v>0.31</v>
      </c>
      <c r="AO25" s="1440">
        <v>0.31</v>
      </c>
      <c r="AP25" s="1440">
        <v>0.31</v>
      </c>
      <c r="AQ25" s="1440">
        <v>0.31</v>
      </c>
      <c r="AR25" s="1440">
        <v>0.31</v>
      </c>
      <c r="AS25" s="1440">
        <v>0.31</v>
      </c>
      <c r="AT25" s="1440">
        <v>0.31</v>
      </c>
      <c r="AU25" s="1440">
        <v>0.31</v>
      </c>
      <c r="AV25" s="1440">
        <v>0.31</v>
      </c>
      <c r="AW25" s="1440">
        <v>0.31</v>
      </c>
      <c r="AX25" s="1440">
        <v>0.31</v>
      </c>
      <c r="AY25" s="1440">
        <v>0.31</v>
      </c>
      <c r="AZ25" s="1440">
        <v>0.31</v>
      </c>
      <c r="BA25" s="1440">
        <v>0.31</v>
      </c>
      <c r="BB25" s="1440">
        <v>0.31</v>
      </c>
      <c r="BC25" s="1440">
        <v>0.31</v>
      </c>
      <c r="BD25" s="1440">
        <v>0.31</v>
      </c>
      <c r="BE25" s="1440">
        <v>0.31</v>
      </c>
      <c r="BF25" s="1440">
        <v>0.31</v>
      </c>
      <c r="BG25" s="1440">
        <v>0.31</v>
      </c>
      <c r="BH25" s="1440">
        <v>0.31</v>
      </c>
      <c r="BI25" s="1440">
        <v>0.31</v>
      </c>
      <c r="BJ25" s="1440">
        <v>0.31</v>
      </c>
      <c r="BK25" s="1440">
        <v>0.31</v>
      </c>
      <c r="BL25" s="1440">
        <v>0.31</v>
      </c>
      <c r="BM25" s="1440">
        <v>0.31</v>
      </c>
      <c r="BN25" s="1440">
        <v>0.31</v>
      </c>
      <c r="BO25" s="1440">
        <v>0.31</v>
      </c>
      <c r="BP25" s="1059"/>
      <c r="BQ25" s="1059"/>
      <c r="BR25" s="1059"/>
      <c r="BS25" s="1059"/>
      <c r="BT25" s="1059"/>
      <c r="BU25" s="1059"/>
      <c r="BV25" s="1059"/>
      <c r="BW25" s="1059"/>
      <c r="BX25" s="1059"/>
      <c r="BY25" s="1059"/>
      <c r="BZ25" s="1059"/>
      <c r="CA25" s="1059"/>
      <c r="CB25" s="1059"/>
      <c r="CC25" s="1059"/>
      <c r="CD25" s="1059"/>
      <c r="CE25" s="1059"/>
      <c r="CF25" s="1059"/>
      <c r="CG25" s="1059"/>
      <c r="CH25" s="1059"/>
      <c r="CI25" s="1060"/>
      <c r="CK25" s="1363"/>
    </row>
    <row r="26" spans="1:89" s="1362" customFormat="1" x14ac:dyDescent="0.25">
      <c r="A26" s="1353"/>
      <c r="B26" s="1062" t="s">
        <v>361</v>
      </c>
      <c r="C26" s="1054" t="s">
        <v>362</v>
      </c>
      <c r="D26" s="1055" t="s">
        <v>79</v>
      </c>
      <c r="E26" s="1056" t="s">
        <v>146</v>
      </c>
      <c r="F26" s="1057">
        <v>2</v>
      </c>
      <c r="G26" s="576"/>
      <c r="H26" s="576"/>
      <c r="I26" s="576">
        <v>1.06</v>
      </c>
      <c r="J26" s="576">
        <v>1.06</v>
      </c>
      <c r="K26" s="576">
        <v>1.06</v>
      </c>
      <c r="L26" s="576">
        <v>1.06</v>
      </c>
      <c r="M26" s="1424">
        <v>1.06</v>
      </c>
      <c r="N26" s="1424">
        <v>1.06</v>
      </c>
      <c r="O26" s="1424">
        <v>1.06</v>
      </c>
      <c r="P26" s="1424">
        <v>1.06</v>
      </c>
      <c r="Q26" s="1424">
        <v>1.06</v>
      </c>
      <c r="R26" s="1424">
        <v>1.06</v>
      </c>
      <c r="S26" s="1424">
        <v>1.06</v>
      </c>
      <c r="T26" s="1424">
        <v>1.06</v>
      </c>
      <c r="U26" s="1424">
        <v>1.06</v>
      </c>
      <c r="V26" s="1424">
        <v>1.06</v>
      </c>
      <c r="W26" s="1424">
        <v>1.06</v>
      </c>
      <c r="X26" s="1424">
        <v>1.06</v>
      </c>
      <c r="Y26" s="1424">
        <v>1.06</v>
      </c>
      <c r="Z26" s="1424">
        <v>1.06</v>
      </c>
      <c r="AA26" s="1424">
        <v>1.06</v>
      </c>
      <c r="AB26" s="1424">
        <v>1.06</v>
      </c>
      <c r="AC26" s="1424">
        <v>1.06</v>
      </c>
      <c r="AD26" s="1424">
        <v>1.06</v>
      </c>
      <c r="AE26" s="1424">
        <v>1.06</v>
      </c>
      <c r="AF26" s="1424">
        <v>1.06</v>
      </c>
      <c r="AG26" s="1424">
        <v>1.06</v>
      </c>
      <c r="AH26" s="1424">
        <v>1.06</v>
      </c>
      <c r="AI26" s="1424">
        <v>1.06</v>
      </c>
      <c r="AJ26" s="1424">
        <v>1.06</v>
      </c>
      <c r="AK26" s="1424">
        <v>1.06</v>
      </c>
      <c r="AL26" s="1424">
        <v>1.06</v>
      </c>
      <c r="AM26" s="1424">
        <v>1.06</v>
      </c>
      <c r="AN26" s="1424">
        <v>1.06</v>
      </c>
      <c r="AO26" s="1424">
        <v>1.06</v>
      </c>
      <c r="AP26" s="1424">
        <v>1.06</v>
      </c>
      <c r="AQ26" s="1424">
        <v>1.06</v>
      </c>
      <c r="AR26" s="1424">
        <v>1.06</v>
      </c>
      <c r="AS26" s="1424">
        <v>1.06</v>
      </c>
      <c r="AT26" s="1424">
        <v>1.06</v>
      </c>
      <c r="AU26" s="1424">
        <v>1.06</v>
      </c>
      <c r="AV26" s="1424">
        <v>1.06</v>
      </c>
      <c r="AW26" s="1424">
        <v>1.06</v>
      </c>
      <c r="AX26" s="1424">
        <v>1.06</v>
      </c>
      <c r="AY26" s="1424">
        <v>1.06</v>
      </c>
      <c r="AZ26" s="1424">
        <v>1.06</v>
      </c>
      <c r="BA26" s="1424">
        <v>1.06</v>
      </c>
      <c r="BB26" s="1424">
        <v>1.06</v>
      </c>
      <c r="BC26" s="1424">
        <v>1.06</v>
      </c>
      <c r="BD26" s="1424">
        <v>1.06</v>
      </c>
      <c r="BE26" s="1424">
        <v>1.06</v>
      </c>
      <c r="BF26" s="1424">
        <v>1.06</v>
      </c>
      <c r="BG26" s="1424">
        <v>1.06</v>
      </c>
      <c r="BH26" s="1424">
        <v>1.06</v>
      </c>
      <c r="BI26" s="1424">
        <v>1.06</v>
      </c>
      <c r="BJ26" s="1424">
        <v>1.06</v>
      </c>
      <c r="BK26" s="1424">
        <v>1.06</v>
      </c>
      <c r="BL26" s="1424">
        <v>1.06</v>
      </c>
      <c r="BM26" s="1424">
        <v>1.06</v>
      </c>
      <c r="BN26" s="1424">
        <v>1.06</v>
      </c>
      <c r="BO26" s="1424">
        <v>1.06</v>
      </c>
      <c r="BP26" s="577"/>
      <c r="BQ26" s="577"/>
      <c r="BR26" s="577"/>
      <c r="BS26" s="577"/>
      <c r="BT26" s="577"/>
      <c r="BU26" s="577"/>
      <c r="BV26" s="577"/>
      <c r="BW26" s="577"/>
      <c r="BX26" s="577"/>
      <c r="BY26" s="577"/>
      <c r="BZ26" s="577"/>
      <c r="CA26" s="577"/>
      <c r="CB26" s="577"/>
      <c r="CC26" s="577"/>
      <c r="CD26" s="577"/>
      <c r="CE26" s="577"/>
      <c r="CF26" s="577"/>
      <c r="CG26" s="577"/>
      <c r="CH26" s="577"/>
      <c r="CI26" s="578"/>
      <c r="CK26" s="1363"/>
    </row>
    <row r="27" spans="1:89" s="1362" customFormat="1" x14ac:dyDescent="0.25">
      <c r="A27" s="1353"/>
      <c r="B27" s="571" t="s">
        <v>363</v>
      </c>
      <c r="C27" s="572" t="s">
        <v>364</v>
      </c>
      <c r="D27" s="573" t="s">
        <v>79</v>
      </c>
      <c r="E27" s="574" t="s">
        <v>146</v>
      </c>
      <c r="F27" s="575">
        <v>2</v>
      </c>
      <c r="G27" s="576"/>
      <c r="H27" s="576"/>
      <c r="I27" s="576">
        <v>0.53</v>
      </c>
      <c r="J27" s="576">
        <v>0.53</v>
      </c>
      <c r="K27" s="576">
        <v>0.53</v>
      </c>
      <c r="L27" s="576">
        <v>0.53</v>
      </c>
      <c r="M27" s="1424">
        <v>0.53</v>
      </c>
      <c r="N27" s="1424">
        <v>0.53</v>
      </c>
      <c r="O27" s="1424">
        <v>0.53</v>
      </c>
      <c r="P27" s="1424">
        <v>0.53</v>
      </c>
      <c r="Q27" s="1424">
        <v>0.53</v>
      </c>
      <c r="R27" s="1424">
        <v>0.53</v>
      </c>
      <c r="S27" s="1424">
        <v>0.53</v>
      </c>
      <c r="T27" s="1424">
        <v>0.53</v>
      </c>
      <c r="U27" s="1424">
        <v>0.53</v>
      </c>
      <c r="V27" s="1424">
        <v>0.53</v>
      </c>
      <c r="W27" s="1424">
        <v>0.53</v>
      </c>
      <c r="X27" s="1424">
        <v>0.53</v>
      </c>
      <c r="Y27" s="1424">
        <v>0.53</v>
      </c>
      <c r="Z27" s="1424">
        <v>0.53</v>
      </c>
      <c r="AA27" s="1424">
        <v>0.53</v>
      </c>
      <c r="AB27" s="1424">
        <v>0.53</v>
      </c>
      <c r="AC27" s="1424">
        <v>0.53</v>
      </c>
      <c r="AD27" s="1424">
        <v>0.53</v>
      </c>
      <c r="AE27" s="1424">
        <v>0.53</v>
      </c>
      <c r="AF27" s="1424">
        <v>0.53</v>
      </c>
      <c r="AG27" s="1424">
        <v>0.53</v>
      </c>
      <c r="AH27" s="1424">
        <v>0.53</v>
      </c>
      <c r="AI27" s="1424">
        <v>0.53</v>
      </c>
      <c r="AJ27" s="1424">
        <v>0.53</v>
      </c>
      <c r="AK27" s="1424">
        <v>0.53</v>
      </c>
      <c r="AL27" s="1424">
        <v>0.53</v>
      </c>
      <c r="AM27" s="1424">
        <v>0.53</v>
      </c>
      <c r="AN27" s="1424">
        <v>0.53</v>
      </c>
      <c r="AO27" s="1424">
        <v>0.53</v>
      </c>
      <c r="AP27" s="1424">
        <v>0.53</v>
      </c>
      <c r="AQ27" s="1424">
        <v>0.53</v>
      </c>
      <c r="AR27" s="1424">
        <v>0.53</v>
      </c>
      <c r="AS27" s="1424">
        <v>0.53</v>
      </c>
      <c r="AT27" s="1424">
        <v>0.53</v>
      </c>
      <c r="AU27" s="1424">
        <v>0.53</v>
      </c>
      <c r="AV27" s="1424">
        <v>0.53</v>
      </c>
      <c r="AW27" s="1424">
        <v>0.53</v>
      </c>
      <c r="AX27" s="1424">
        <v>0.53</v>
      </c>
      <c r="AY27" s="1424">
        <v>0.53</v>
      </c>
      <c r="AZ27" s="1424">
        <v>0.53</v>
      </c>
      <c r="BA27" s="1424">
        <v>0.53</v>
      </c>
      <c r="BB27" s="1424">
        <v>0.53</v>
      </c>
      <c r="BC27" s="1424">
        <v>0.53</v>
      </c>
      <c r="BD27" s="1424">
        <v>0.53</v>
      </c>
      <c r="BE27" s="1424">
        <v>0.53</v>
      </c>
      <c r="BF27" s="1424">
        <v>0.53</v>
      </c>
      <c r="BG27" s="1424">
        <v>0.53</v>
      </c>
      <c r="BH27" s="1424">
        <v>0.53</v>
      </c>
      <c r="BI27" s="1424">
        <v>0.53</v>
      </c>
      <c r="BJ27" s="1424">
        <v>0.53</v>
      </c>
      <c r="BK27" s="1424">
        <v>0.53</v>
      </c>
      <c r="BL27" s="1424">
        <v>0.53</v>
      </c>
      <c r="BM27" s="1424">
        <v>0.53</v>
      </c>
      <c r="BN27" s="1424">
        <v>0.53</v>
      </c>
      <c r="BO27" s="1424">
        <v>0.53</v>
      </c>
      <c r="BP27" s="577"/>
      <c r="BQ27" s="577"/>
      <c r="BR27" s="577"/>
      <c r="BS27" s="577"/>
      <c r="BT27" s="577"/>
      <c r="BU27" s="577"/>
      <c r="BV27" s="577"/>
      <c r="BW27" s="577"/>
      <c r="BX27" s="577"/>
      <c r="BY27" s="577"/>
      <c r="BZ27" s="577"/>
      <c r="CA27" s="577"/>
      <c r="CB27" s="577"/>
      <c r="CC27" s="577"/>
      <c r="CD27" s="577"/>
      <c r="CE27" s="577"/>
      <c r="CF27" s="577"/>
      <c r="CG27" s="577"/>
      <c r="CH27" s="577"/>
      <c r="CI27" s="578"/>
      <c r="CK27" s="1363"/>
    </row>
    <row r="28" spans="1:89" s="1362" customFormat="1" x14ac:dyDescent="0.25">
      <c r="A28" s="1353"/>
      <c r="B28" s="579" t="s">
        <v>365</v>
      </c>
      <c r="C28" s="572" t="s">
        <v>366</v>
      </c>
      <c r="D28" s="573" t="s">
        <v>79</v>
      </c>
      <c r="E28" s="574" t="s">
        <v>146</v>
      </c>
      <c r="F28" s="575">
        <v>2</v>
      </c>
      <c r="G28" s="576"/>
      <c r="H28" s="576"/>
      <c r="I28" s="576"/>
      <c r="J28" s="576"/>
      <c r="K28" s="576"/>
      <c r="L28" s="576"/>
      <c r="M28" s="1424">
        <v>0</v>
      </c>
      <c r="N28" s="1424">
        <v>0</v>
      </c>
      <c r="O28" s="1424">
        <v>0</v>
      </c>
      <c r="P28" s="1424">
        <v>0</v>
      </c>
      <c r="Q28" s="1424">
        <v>0</v>
      </c>
      <c r="R28" s="1424">
        <v>0</v>
      </c>
      <c r="S28" s="1424">
        <v>0</v>
      </c>
      <c r="T28" s="1424">
        <v>0</v>
      </c>
      <c r="U28" s="1424">
        <v>0</v>
      </c>
      <c r="V28" s="1424">
        <v>0</v>
      </c>
      <c r="W28" s="1424">
        <v>0</v>
      </c>
      <c r="X28" s="1424">
        <v>0</v>
      </c>
      <c r="Y28" s="1424">
        <v>0</v>
      </c>
      <c r="Z28" s="1424">
        <v>0</v>
      </c>
      <c r="AA28" s="1424">
        <v>0</v>
      </c>
      <c r="AB28" s="1424">
        <v>0</v>
      </c>
      <c r="AC28" s="1424">
        <v>0</v>
      </c>
      <c r="AD28" s="1424">
        <v>0</v>
      </c>
      <c r="AE28" s="1424">
        <v>0</v>
      </c>
      <c r="AF28" s="1424">
        <v>0</v>
      </c>
      <c r="AG28" s="1424">
        <v>0</v>
      </c>
      <c r="AH28" s="1424">
        <v>0</v>
      </c>
      <c r="AI28" s="1424">
        <v>0</v>
      </c>
      <c r="AJ28" s="1424">
        <v>0</v>
      </c>
      <c r="AK28" s="1424">
        <v>0</v>
      </c>
      <c r="AL28" s="1424">
        <v>0</v>
      </c>
      <c r="AM28" s="1424">
        <v>0</v>
      </c>
      <c r="AN28" s="1424">
        <v>0</v>
      </c>
      <c r="AO28" s="1424">
        <v>0</v>
      </c>
      <c r="AP28" s="1424">
        <v>0</v>
      </c>
      <c r="AQ28" s="1424">
        <v>0</v>
      </c>
      <c r="AR28" s="1424">
        <v>0</v>
      </c>
      <c r="AS28" s="1424">
        <v>0</v>
      </c>
      <c r="AT28" s="1424">
        <v>0</v>
      </c>
      <c r="AU28" s="1424">
        <v>0</v>
      </c>
      <c r="AV28" s="1424">
        <v>0</v>
      </c>
      <c r="AW28" s="1424">
        <v>0</v>
      </c>
      <c r="AX28" s="1424">
        <v>0</v>
      </c>
      <c r="AY28" s="1424">
        <v>0</v>
      </c>
      <c r="AZ28" s="1424">
        <v>0</v>
      </c>
      <c r="BA28" s="1424">
        <v>0</v>
      </c>
      <c r="BB28" s="1424">
        <v>0</v>
      </c>
      <c r="BC28" s="1424">
        <v>0</v>
      </c>
      <c r="BD28" s="1424">
        <v>0</v>
      </c>
      <c r="BE28" s="1424">
        <v>0</v>
      </c>
      <c r="BF28" s="1424">
        <v>0</v>
      </c>
      <c r="BG28" s="1424">
        <v>0</v>
      </c>
      <c r="BH28" s="1424">
        <v>0</v>
      </c>
      <c r="BI28" s="1424">
        <v>0</v>
      </c>
      <c r="BJ28" s="1424">
        <v>0</v>
      </c>
      <c r="BK28" s="1424">
        <v>0</v>
      </c>
      <c r="BL28" s="1424">
        <v>0</v>
      </c>
      <c r="BM28" s="1424">
        <v>0</v>
      </c>
      <c r="BN28" s="1424">
        <v>0</v>
      </c>
      <c r="BO28" s="1424">
        <v>0</v>
      </c>
      <c r="BP28" s="577"/>
      <c r="BQ28" s="577"/>
      <c r="BR28" s="577"/>
      <c r="BS28" s="577"/>
      <c r="BT28" s="577"/>
      <c r="BU28" s="577"/>
      <c r="BV28" s="577"/>
      <c r="BW28" s="577"/>
      <c r="BX28" s="577"/>
      <c r="BY28" s="577"/>
      <c r="BZ28" s="577"/>
      <c r="CA28" s="577"/>
      <c r="CB28" s="577"/>
      <c r="CC28" s="577"/>
      <c r="CD28" s="577"/>
      <c r="CE28" s="577"/>
      <c r="CF28" s="577"/>
      <c r="CG28" s="577"/>
      <c r="CH28" s="577"/>
      <c r="CI28" s="578"/>
      <c r="CK28" s="1363"/>
    </row>
    <row r="29" spans="1:89" s="1362" customFormat="1" x14ac:dyDescent="0.25">
      <c r="A29" s="1353"/>
      <c r="B29" s="579" t="s">
        <v>367</v>
      </c>
      <c r="C29" s="572" t="s">
        <v>368</v>
      </c>
      <c r="D29" s="573" t="s">
        <v>79</v>
      </c>
      <c r="E29" s="574" t="s">
        <v>146</v>
      </c>
      <c r="F29" s="575">
        <v>2</v>
      </c>
      <c r="G29" s="576"/>
      <c r="H29" s="576"/>
      <c r="I29" s="576">
        <f>-11.37-0.3-0.04</f>
        <v>-11.709999999999999</v>
      </c>
      <c r="J29" s="576">
        <f t="shared" ref="J29:L29" si="0">-11.37-0.3-0.04</f>
        <v>-11.709999999999999</v>
      </c>
      <c r="K29" s="576">
        <f t="shared" si="0"/>
        <v>-11.709999999999999</v>
      </c>
      <c r="L29" s="576">
        <f t="shared" si="0"/>
        <v>-11.709999999999999</v>
      </c>
      <c r="M29" s="576">
        <f t="shared" ref="M29:V29" si="1">-4.4-0.3-0.04</f>
        <v>-4.74</v>
      </c>
      <c r="N29" s="576">
        <f t="shared" si="1"/>
        <v>-4.74</v>
      </c>
      <c r="O29" s="576">
        <f t="shared" si="1"/>
        <v>-4.74</v>
      </c>
      <c r="P29" s="576">
        <f t="shared" si="1"/>
        <v>-4.74</v>
      </c>
      <c r="Q29" s="576">
        <f t="shared" si="1"/>
        <v>-4.74</v>
      </c>
      <c r="R29" s="576">
        <f t="shared" si="1"/>
        <v>-4.74</v>
      </c>
      <c r="S29" s="576">
        <f t="shared" si="1"/>
        <v>-4.74</v>
      </c>
      <c r="T29" s="576">
        <f t="shared" si="1"/>
        <v>-4.74</v>
      </c>
      <c r="U29" s="576">
        <f t="shared" si="1"/>
        <v>-4.74</v>
      </c>
      <c r="V29" s="576">
        <f t="shared" si="1"/>
        <v>-4.74</v>
      </c>
      <c r="W29" s="576">
        <f>-8.4-0.3-0.04</f>
        <v>-8.74</v>
      </c>
      <c r="X29" s="576">
        <f t="shared" ref="X29:BO29" si="2">-8.4-0.3-0.04</f>
        <v>-8.74</v>
      </c>
      <c r="Y29" s="576">
        <f t="shared" si="2"/>
        <v>-8.74</v>
      </c>
      <c r="Z29" s="576">
        <f t="shared" si="2"/>
        <v>-8.74</v>
      </c>
      <c r="AA29" s="576">
        <f t="shared" si="2"/>
        <v>-8.74</v>
      </c>
      <c r="AB29" s="576">
        <f t="shared" si="2"/>
        <v>-8.74</v>
      </c>
      <c r="AC29" s="576">
        <f t="shared" si="2"/>
        <v>-8.74</v>
      </c>
      <c r="AD29" s="576">
        <f t="shared" si="2"/>
        <v>-8.74</v>
      </c>
      <c r="AE29" s="576">
        <f t="shared" si="2"/>
        <v>-8.74</v>
      </c>
      <c r="AF29" s="576">
        <f t="shared" si="2"/>
        <v>-8.74</v>
      </c>
      <c r="AG29" s="576">
        <f t="shared" si="2"/>
        <v>-8.74</v>
      </c>
      <c r="AH29" s="576">
        <f t="shared" si="2"/>
        <v>-8.74</v>
      </c>
      <c r="AI29" s="576">
        <f t="shared" si="2"/>
        <v>-8.74</v>
      </c>
      <c r="AJ29" s="576">
        <f t="shared" si="2"/>
        <v>-8.74</v>
      </c>
      <c r="AK29" s="576">
        <f t="shared" si="2"/>
        <v>-8.74</v>
      </c>
      <c r="AL29" s="576">
        <f t="shared" si="2"/>
        <v>-8.74</v>
      </c>
      <c r="AM29" s="576">
        <f t="shared" si="2"/>
        <v>-8.74</v>
      </c>
      <c r="AN29" s="576">
        <f t="shared" si="2"/>
        <v>-8.74</v>
      </c>
      <c r="AO29" s="576">
        <f t="shared" si="2"/>
        <v>-8.74</v>
      </c>
      <c r="AP29" s="576">
        <f t="shared" si="2"/>
        <v>-8.74</v>
      </c>
      <c r="AQ29" s="576">
        <f t="shared" si="2"/>
        <v>-8.74</v>
      </c>
      <c r="AR29" s="576">
        <f t="shared" si="2"/>
        <v>-8.74</v>
      </c>
      <c r="AS29" s="576">
        <f t="shared" si="2"/>
        <v>-8.74</v>
      </c>
      <c r="AT29" s="576">
        <f t="shared" si="2"/>
        <v>-8.74</v>
      </c>
      <c r="AU29" s="576">
        <f t="shared" si="2"/>
        <v>-8.74</v>
      </c>
      <c r="AV29" s="576">
        <f t="shared" si="2"/>
        <v>-8.74</v>
      </c>
      <c r="AW29" s="576">
        <f t="shared" si="2"/>
        <v>-8.74</v>
      </c>
      <c r="AX29" s="576">
        <f t="shared" si="2"/>
        <v>-8.74</v>
      </c>
      <c r="AY29" s="576">
        <f t="shared" si="2"/>
        <v>-8.74</v>
      </c>
      <c r="AZ29" s="576">
        <f t="shared" si="2"/>
        <v>-8.74</v>
      </c>
      <c r="BA29" s="576">
        <f t="shared" si="2"/>
        <v>-8.74</v>
      </c>
      <c r="BB29" s="576">
        <f t="shared" si="2"/>
        <v>-8.74</v>
      </c>
      <c r="BC29" s="576">
        <f t="shared" si="2"/>
        <v>-8.74</v>
      </c>
      <c r="BD29" s="576">
        <f t="shared" si="2"/>
        <v>-8.74</v>
      </c>
      <c r="BE29" s="576">
        <f t="shared" si="2"/>
        <v>-8.74</v>
      </c>
      <c r="BF29" s="576">
        <f t="shared" si="2"/>
        <v>-8.74</v>
      </c>
      <c r="BG29" s="576">
        <f t="shared" si="2"/>
        <v>-8.74</v>
      </c>
      <c r="BH29" s="576">
        <f t="shared" si="2"/>
        <v>-8.74</v>
      </c>
      <c r="BI29" s="576">
        <f t="shared" si="2"/>
        <v>-8.74</v>
      </c>
      <c r="BJ29" s="576">
        <f t="shared" si="2"/>
        <v>-8.74</v>
      </c>
      <c r="BK29" s="576">
        <f t="shared" si="2"/>
        <v>-8.74</v>
      </c>
      <c r="BL29" s="576">
        <f t="shared" si="2"/>
        <v>-8.74</v>
      </c>
      <c r="BM29" s="576">
        <f t="shared" si="2"/>
        <v>-8.74</v>
      </c>
      <c r="BN29" s="576">
        <f t="shared" si="2"/>
        <v>-8.74</v>
      </c>
      <c r="BO29" s="576">
        <f t="shared" si="2"/>
        <v>-8.74</v>
      </c>
      <c r="BP29" s="577"/>
      <c r="BQ29" s="577"/>
      <c r="BR29" s="577"/>
      <c r="BS29" s="577"/>
      <c r="BT29" s="577"/>
      <c r="BU29" s="577"/>
      <c r="BV29" s="577"/>
      <c r="BW29" s="577"/>
      <c r="BX29" s="577"/>
      <c r="BY29" s="577"/>
      <c r="BZ29" s="577"/>
      <c r="CA29" s="577"/>
      <c r="CB29" s="577"/>
      <c r="CC29" s="577"/>
      <c r="CD29" s="577"/>
      <c r="CE29" s="577"/>
      <c r="CF29" s="577"/>
      <c r="CG29" s="577"/>
      <c r="CH29" s="577"/>
      <c r="CI29" s="578"/>
      <c r="CK29" s="1363"/>
    </row>
    <row r="30" spans="1:89" s="1362" customFormat="1" x14ac:dyDescent="0.25">
      <c r="A30" s="1353"/>
      <c r="B30" s="579" t="s">
        <v>369</v>
      </c>
      <c r="C30" s="572" t="s">
        <v>370</v>
      </c>
      <c r="D30" s="573" t="s">
        <v>79</v>
      </c>
      <c r="E30" s="574" t="s">
        <v>146</v>
      </c>
      <c r="F30" s="575">
        <v>2</v>
      </c>
      <c r="G30" s="576"/>
      <c r="H30" s="576"/>
      <c r="I30" s="576">
        <f>347+11.37</f>
        <v>358.37</v>
      </c>
      <c r="J30" s="576">
        <f t="shared" ref="J30:BO30" si="3">347+11.37</f>
        <v>358.37</v>
      </c>
      <c r="K30" s="576">
        <f t="shared" si="3"/>
        <v>358.37</v>
      </c>
      <c r="L30" s="576">
        <f t="shared" si="3"/>
        <v>358.37</v>
      </c>
      <c r="M30" s="576">
        <f t="shared" si="3"/>
        <v>358.37</v>
      </c>
      <c r="N30" s="576">
        <f t="shared" si="3"/>
        <v>358.37</v>
      </c>
      <c r="O30" s="576">
        <f t="shared" si="3"/>
        <v>358.37</v>
      </c>
      <c r="P30" s="576">
        <f t="shared" si="3"/>
        <v>358.37</v>
      </c>
      <c r="Q30" s="576">
        <f t="shared" si="3"/>
        <v>358.37</v>
      </c>
      <c r="R30" s="576">
        <f t="shared" si="3"/>
        <v>358.37</v>
      </c>
      <c r="S30" s="576">
        <f t="shared" si="3"/>
        <v>358.37</v>
      </c>
      <c r="T30" s="576">
        <f t="shared" si="3"/>
        <v>358.37</v>
      </c>
      <c r="U30" s="576">
        <f t="shared" si="3"/>
        <v>358.37</v>
      </c>
      <c r="V30" s="576">
        <f t="shared" si="3"/>
        <v>358.37</v>
      </c>
      <c r="W30" s="576">
        <f t="shared" si="3"/>
        <v>358.37</v>
      </c>
      <c r="X30" s="576">
        <f t="shared" si="3"/>
        <v>358.37</v>
      </c>
      <c r="Y30" s="576">
        <f t="shared" si="3"/>
        <v>358.37</v>
      </c>
      <c r="Z30" s="576">
        <f t="shared" si="3"/>
        <v>358.37</v>
      </c>
      <c r="AA30" s="576">
        <f t="shared" si="3"/>
        <v>358.37</v>
      </c>
      <c r="AB30" s="576">
        <f t="shared" si="3"/>
        <v>358.37</v>
      </c>
      <c r="AC30" s="576">
        <f t="shared" si="3"/>
        <v>358.37</v>
      </c>
      <c r="AD30" s="576">
        <f t="shared" si="3"/>
        <v>358.37</v>
      </c>
      <c r="AE30" s="576">
        <f t="shared" si="3"/>
        <v>358.37</v>
      </c>
      <c r="AF30" s="576">
        <f t="shared" si="3"/>
        <v>358.37</v>
      </c>
      <c r="AG30" s="576">
        <f t="shared" si="3"/>
        <v>358.37</v>
      </c>
      <c r="AH30" s="576">
        <f t="shared" si="3"/>
        <v>358.37</v>
      </c>
      <c r="AI30" s="576">
        <f t="shared" si="3"/>
        <v>358.37</v>
      </c>
      <c r="AJ30" s="576">
        <f t="shared" si="3"/>
        <v>358.37</v>
      </c>
      <c r="AK30" s="576">
        <f t="shared" si="3"/>
        <v>358.37</v>
      </c>
      <c r="AL30" s="576">
        <f t="shared" si="3"/>
        <v>358.37</v>
      </c>
      <c r="AM30" s="576">
        <f t="shared" si="3"/>
        <v>358.37</v>
      </c>
      <c r="AN30" s="576">
        <f t="shared" si="3"/>
        <v>358.37</v>
      </c>
      <c r="AO30" s="576">
        <f t="shared" si="3"/>
        <v>358.37</v>
      </c>
      <c r="AP30" s="576">
        <f t="shared" si="3"/>
        <v>358.37</v>
      </c>
      <c r="AQ30" s="576">
        <f t="shared" si="3"/>
        <v>358.37</v>
      </c>
      <c r="AR30" s="576">
        <f t="shared" si="3"/>
        <v>358.37</v>
      </c>
      <c r="AS30" s="576">
        <f t="shared" si="3"/>
        <v>358.37</v>
      </c>
      <c r="AT30" s="576">
        <f t="shared" si="3"/>
        <v>358.37</v>
      </c>
      <c r="AU30" s="576">
        <f t="shared" si="3"/>
        <v>358.37</v>
      </c>
      <c r="AV30" s="576">
        <f t="shared" si="3"/>
        <v>358.37</v>
      </c>
      <c r="AW30" s="576">
        <f t="shared" si="3"/>
        <v>358.37</v>
      </c>
      <c r="AX30" s="576">
        <f t="shared" si="3"/>
        <v>358.37</v>
      </c>
      <c r="AY30" s="576">
        <f t="shared" si="3"/>
        <v>358.37</v>
      </c>
      <c r="AZ30" s="576">
        <f t="shared" si="3"/>
        <v>358.37</v>
      </c>
      <c r="BA30" s="576">
        <f t="shared" si="3"/>
        <v>358.37</v>
      </c>
      <c r="BB30" s="576">
        <f t="shared" si="3"/>
        <v>358.37</v>
      </c>
      <c r="BC30" s="576">
        <f t="shared" si="3"/>
        <v>358.37</v>
      </c>
      <c r="BD30" s="576">
        <f t="shared" si="3"/>
        <v>358.37</v>
      </c>
      <c r="BE30" s="576">
        <f t="shared" si="3"/>
        <v>358.37</v>
      </c>
      <c r="BF30" s="576">
        <f t="shared" si="3"/>
        <v>358.37</v>
      </c>
      <c r="BG30" s="576">
        <f t="shared" si="3"/>
        <v>358.37</v>
      </c>
      <c r="BH30" s="576">
        <f t="shared" si="3"/>
        <v>358.37</v>
      </c>
      <c r="BI30" s="576">
        <f t="shared" si="3"/>
        <v>358.37</v>
      </c>
      <c r="BJ30" s="576">
        <f t="shared" si="3"/>
        <v>358.37</v>
      </c>
      <c r="BK30" s="576">
        <f t="shared" si="3"/>
        <v>358.37</v>
      </c>
      <c r="BL30" s="576">
        <f t="shared" si="3"/>
        <v>358.37</v>
      </c>
      <c r="BM30" s="576">
        <f t="shared" si="3"/>
        <v>358.37</v>
      </c>
      <c r="BN30" s="576">
        <f t="shared" si="3"/>
        <v>358.37</v>
      </c>
      <c r="BO30" s="576">
        <f t="shared" si="3"/>
        <v>358.37</v>
      </c>
      <c r="BP30" s="580"/>
      <c r="BQ30" s="580"/>
      <c r="BR30" s="580"/>
      <c r="BS30" s="580"/>
      <c r="BT30" s="580"/>
      <c r="BU30" s="580"/>
      <c r="BV30" s="580"/>
      <c r="BW30" s="580"/>
      <c r="BX30" s="580"/>
      <c r="BY30" s="580"/>
      <c r="BZ30" s="580"/>
      <c r="CA30" s="580"/>
      <c r="CB30" s="580"/>
      <c r="CC30" s="580"/>
      <c r="CD30" s="580"/>
      <c r="CE30" s="580"/>
      <c r="CF30" s="580"/>
      <c r="CG30" s="580"/>
      <c r="CH30" s="580"/>
      <c r="CI30" s="581"/>
      <c r="CK30" s="1363"/>
    </row>
    <row r="31" spans="1:89" s="1362" customFormat="1" x14ac:dyDescent="0.25">
      <c r="A31" s="1353"/>
      <c r="B31" s="579" t="s">
        <v>371</v>
      </c>
      <c r="C31" s="582" t="s">
        <v>372</v>
      </c>
      <c r="D31" s="573" t="s">
        <v>373</v>
      </c>
      <c r="E31" s="574" t="s">
        <v>146</v>
      </c>
      <c r="F31" s="575">
        <v>2</v>
      </c>
      <c r="G31" s="583"/>
      <c r="H31" s="583"/>
      <c r="I31" s="583">
        <f>I30+I32</f>
        <v>341.01625000000001</v>
      </c>
      <c r="J31" s="583">
        <f t="shared" ref="J31:BS31" si="4">J30+J32</f>
        <v>340.61</v>
      </c>
      <c r="K31" s="583">
        <f t="shared" si="4"/>
        <v>340.20375000000001</v>
      </c>
      <c r="L31" s="583">
        <f>L30+L32</f>
        <v>339.79750000000001</v>
      </c>
      <c r="M31" s="583">
        <f t="shared" si="4"/>
        <v>338.39125000000001</v>
      </c>
      <c r="N31" s="583">
        <f t="shared" si="4"/>
        <v>337.98500000000001</v>
      </c>
      <c r="O31" s="583">
        <f>O30+O32</f>
        <v>337.57875000000001</v>
      </c>
      <c r="P31" s="583">
        <f t="shared" si="4"/>
        <v>337.17250000000001</v>
      </c>
      <c r="Q31" s="583">
        <f t="shared" si="4"/>
        <v>336.76625000000001</v>
      </c>
      <c r="R31" s="583">
        <f t="shared" si="4"/>
        <v>334.74</v>
      </c>
      <c r="S31" s="583">
        <f t="shared" si="4"/>
        <v>334.33375000000001</v>
      </c>
      <c r="T31" s="583">
        <f t="shared" si="4"/>
        <v>333.92750000000001</v>
      </c>
      <c r="U31" s="583">
        <f t="shared" si="4"/>
        <v>333.52125000000001</v>
      </c>
      <c r="V31" s="583">
        <f t="shared" si="4"/>
        <v>333.11500000000001</v>
      </c>
      <c r="W31" s="583">
        <f t="shared" si="4"/>
        <v>332.70875000000001</v>
      </c>
      <c r="X31" s="583">
        <f t="shared" si="4"/>
        <v>332.30250000000001</v>
      </c>
      <c r="Y31" s="583">
        <f t="shared" si="4"/>
        <v>331.89625000000001</v>
      </c>
      <c r="Z31" s="583">
        <f t="shared" si="4"/>
        <v>331.49</v>
      </c>
      <c r="AA31" s="583">
        <f t="shared" si="4"/>
        <v>331.08375000000001</v>
      </c>
      <c r="AB31" s="583">
        <f t="shared" si="4"/>
        <v>330.67750000000001</v>
      </c>
      <c r="AC31" s="583">
        <f t="shared" si="4"/>
        <v>330.27125000000001</v>
      </c>
      <c r="AD31" s="583">
        <f t="shared" si="4"/>
        <v>329.86500000000001</v>
      </c>
      <c r="AE31" s="583">
        <f t="shared" si="4"/>
        <v>329.45875000000001</v>
      </c>
      <c r="AF31" s="583">
        <f t="shared" si="4"/>
        <v>329.05250000000001</v>
      </c>
      <c r="AG31" s="583">
        <f t="shared" si="4"/>
        <v>328.64625000000001</v>
      </c>
      <c r="AH31" s="583">
        <f t="shared" si="4"/>
        <v>328.24</v>
      </c>
      <c r="AI31" s="583">
        <f t="shared" si="4"/>
        <v>327.83375000000001</v>
      </c>
      <c r="AJ31" s="583">
        <f t="shared" si="4"/>
        <v>327.42750000000001</v>
      </c>
      <c r="AK31" s="583">
        <f t="shared" si="4"/>
        <v>327.02125000000001</v>
      </c>
      <c r="AL31" s="583">
        <f t="shared" si="4"/>
        <v>326.61500000000001</v>
      </c>
      <c r="AM31" s="583">
        <f t="shared" si="4"/>
        <v>326.20875000000001</v>
      </c>
      <c r="AN31" s="583">
        <f t="shared" si="4"/>
        <v>325.80250000000001</v>
      </c>
      <c r="AO31" s="583">
        <f t="shared" si="4"/>
        <v>325.39625000000001</v>
      </c>
      <c r="AP31" s="583">
        <f t="shared" si="4"/>
        <v>324.99</v>
      </c>
      <c r="AQ31" s="583">
        <f t="shared" si="4"/>
        <v>324.58375000000001</v>
      </c>
      <c r="AR31" s="583">
        <f t="shared" si="4"/>
        <v>324.17750000000001</v>
      </c>
      <c r="AS31" s="583">
        <f t="shared" si="4"/>
        <v>323.77125000000001</v>
      </c>
      <c r="AT31" s="583">
        <f t="shared" si="4"/>
        <v>323.36500000000001</v>
      </c>
      <c r="AU31" s="583">
        <f t="shared" si="4"/>
        <v>322.95875000000001</v>
      </c>
      <c r="AV31" s="583">
        <f t="shared" si="4"/>
        <v>322.55250000000001</v>
      </c>
      <c r="AW31" s="583">
        <f t="shared" si="4"/>
        <v>322.14625000000001</v>
      </c>
      <c r="AX31" s="583">
        <f t="shared" si="4"/>
        <v>321.74</v>
      </c>
      <c r="AY31" s="583">
        <f t="shared" si="4"/>
        <v>321.33375000000001</v>
      </c>
      <c r="AZ31" s="583">
        <f t="shared" si="4"/>
        <v>320.92750000000001</v>
      </c>
      <c r="BA31" s="583">
        <f t="shared" si="4"/>
        <v>320.52125000000001</v>
      </c>
      <c r="BB31" s="583">
        <f t="shared" si="4"/>
        <v>320.11500000000001</v>
      </c>
      <c r="BC31" s="583">
        <f t="shared" si="4"/>
        <v>319.70875000000001</v>
      </c>
      <c r="BD31" s="583">
        <f t="shared" si="4"/>
        <v>319.30250000000001</v>
      </c>
      <c r="BE31" s="583">
        <f t="shared" si="4"/>
        <v>318.89625000000001</v>
      </c>
      <c r="BF31" s="583">
        <f t="shared" si="4"/>
        <v>318.49</v>
      </c>
      <c r="BG31" s="583">
        <f t="shared" si="4"/>
        <v>318.08375000000001</v>
      </c>
      <c r="BH31" s="583">
        <f t="shared" si="4"/>
        <v>317.67750000000001</v>
      </c>
      <c r="BI31" s="583">
        <f t="shared" si="4"/>
        <v>317.27125000000001</v>
      </c>
      <c r="BJ31" s="583">
        <f t="shared" si="4"/>
        <v>316.86500000000001</v>
      </c>
      <c r="BK31" s="583">
        <f t="shared" si="4"/>
        <v>316.45875000000001</v>
      </c>
      <c r="BL31" s="583">
        <f t="shared" si="4"/>
        <v>316.05250000000001</v>
      </c>
      <c r="BM31" s="583">
        <f t="shared" si="4"/>
        <v>315.64625000000001</v>
      </c>
      <c r="BN31" s="583">
        <f t="shared" si="4"/>
        <v>315.24</v>
      </c>
      <c r="BO31" s="583">
        <f t="shared" si="4"/>
        <v>314.83375000000001</v>
      </c>
      <c r="BP31" s="583">
        <f t="shared" si="4"/>
        <v>0</v>
      </c>
      <c r="BQ31" s="583">
        <f t="shared" si="4"/>
        <v>0</v>
      </c>
      <c r="BR31" s="583">
        <f t="shared" si="4"/>
        <v>0</v>
      </c>
      <c r="BS31" s="583">
        <f t="shared" si="4"/>
        <v>0</v>
      </c>
      <c r="BT31" s="583">
        <f t="shared" ref="BT31:CI31" si="5">BT30+BT32</f>
        <v>0</v>
      </c>
      <c r="BU31" s="583">
        <f t="shared" si="5"/>
        <v>0</v>
      </c>
      <c r="BV31" s="583">
        <f t="shared" si="5"/>
        <v>0</v>
      </c>
      <c r="BW31" s="583">
        <f t="shared" si="5"/>
        <v>0</v>
      </c>
      <c r="BX31" s="583">
        <f t="shared" si="5"/>
        <v>0</v>
      </c>
      <c r="BY31" s="583">
        <f t="shared" si="5"/>
        <v>0</v>
      </c>
      <c r="BZ31" s="583">
        <f t="shared" si="5"/>
        <v>0</v>
      </c>
      <c r="CA31" s="583">
        <f t="shared" si="5"/>
        <v>0</v>
      </c>
      <c r="CB31" s="583">
        <f t="shared" si="5"/>
        <v>0</v>
      </c>
      <c r="CC31" s="583">
        <f t="shared" si="5"/>
        <v>0</v>
      </c>
      <c r="CD31" s="583">
        <f t="shared" si="5"/>
        <v>0</v>
      </c>
      <c r="CE31" s="583">
        <f t="shared" si="5"/>
        <v>0</v>
      </c>
      <c r="CF31" s="583">
        <f t="shared" si="5"/>
        <v>0</v>
      </c>
      <c r="CG31" s="583">
        <f t="shared" si="5"/>
        <v>0</v>
      </c>
      <c r="CH31" s="583">
        <f t="shared" si="5"/>
        <v>0</v>
      </c>
      <c r="CI31" s="584">
        <f t="shared" si="5"/>
        <v>0</v>
      </c>
      <c r="CK31" s="1363"/>
    </row>
    <row r="32" spans="1:89" s="1362" customFormat="1" x14ac:dyDescent="0.25">
      <c r="A32" s="1353"/>
      <c r="B32" s="585" t="s">
        <v>374</v>
      </c>
      <c r="C32" s="586" t="s">
        <v>375</v>
      </c>
      <c r="D32" s="586" t="s">
        <v>376</v>
      </c>
      <c r="E32" s="587" t="s">
        <v>146</v>
      </c>
      <c r="F32" s="575">
        <v>2</v>
      </c>
      <c r="G32" s="583"/>
      <c r="H32" s="583"/>
      <c r="I32" s="583">
        <f>SUM(I33:I38)</f>
        <v>-17.353749999999998</v>
      </c>
      <c r="J32" s="583">
        <f t="shared" ref="J32:BS32" si="6">SUM(J33:J38)</f>
        <v>-17.759999999999998</v>
      </c>
      <c r="K32" s="583">
        <f t="shared" si="6"/>
        <v>-18.166249999999998</v>
      </c>
      <c r="L32" s="583">
        <f t="shared" si="6"/>
        <v>-18.572499999999998</v>
      </c>
      <c r="M32" s="588">
        <f t="shared" si="6"/>
        <v>-19.978749999999998</v>
      </c>
      <c r="N32" s="588">
        <f t="shared" si="6"/>
        <v>-20.384999999999998</v>
      </c>
      <c r="O32" s="588">
        <f>SUM(O33:O38)</f>
        <v>-20.791249999999998</v>
      </c>
      <c r="P32" s="588">
        <f t="shared" si="6"/>
        <v>-21.197499999999998</v>
      </c>
      <c r="Q32" s="588">
        <f t="shared" si="6"/>
        <v>-21.603749999999998</v>
      </c>
      <c r="R32" s="588">
        <f t="shared" si="6"/>
        <v>-23.63</v>
      </c>
      <c r="S32" s="588">
        <f t="shared" si="6"/>
        <v>-24.036249999999999</v>
      </c>
      <c r="T32" s="588">
        <f t="shared" si="6"/>
        <v>-24.442499999999999</v>
      </c>
      <c r="U32" s="588">
        <f t="shared" si="6"/>
        <v>-24.848749999999999</v>
      </c>
      <c r="V32" s="588">
        <f t="shared" si="6"/>
        <v>-25.254999999999999</v>
      </c>
      <c r="W32" s="588">
        <f t="shared" si="6"/>
        <v>-25.661249999999999</v>
      </c>
      <c r="X32" s="588">
        <f t="shared" si="6"/>
        <v>-26.067499999999999</v>
      </c>
      <c r="Y32" s="588">
        <f t="shared" si="6"/>
        <v>-26.473749999999999</v>
      </c>
      <c r="Z32" s="588">
        <f t="shared" si="6"/>
        <v>-26.88</v>
      </c>
      <c r="AA32" s="588">
        <f t="shared" si="6"/>
        <v>-27.286249999999999</v>
      </c>
      <c r="AB32" s="588">
        <f t="shared" si="6"/>
        <v>-27.692499999999999</v>
      </c>
      <c r="AC32" s="588">
        <f t="shared" si="6"/>
        <v>-28.098749999999999</v>
      </c>
      <c r="AD32" s="588">
        <f t="shared" si="6"/>
        <v>-28.504999999999999</v>
      </c>
      <c r="AE32" s="588">
        <f t="shared" si="6"/>
        <v>-28.911249999999999</v>
      </c>
      <c r="AF32" s="588">
        <f t="shared" si="6"/>
        <v>-29.317499999999999</v>
      </c>
      <c r="AG32" s="588">
        <f t="shared" si="6"/>
        <v>-29.723749999999999</v>
      </c>
      <c r="AH32" s="588">
        <f t="shared" si="6"/>
        <v>-30.13</v>
      </c>
      <c r="AI32" s="588">
        <f t="shared" si="6"/>
        <v>-30.536249999999999</v>
      </c>
      <c r="AJ32" s="588">
        <f t="shared" si="6"/>
        <v>-30.942499999999999</v>
      </c>
      <c r="AK32" s="588">
        <f>SUM(AK33:AK38)</f>
        <v>-31.348749999999999</v>
      </c>
      <c r="AL32" s="588">
        <f t="shared" si="6"/>
        <v>-31.754999999999999</v>
      </c>
      <c r="AM32" s="588">
        <f t="shared" si="6"/>
        <v>-32.161249999999995</v>
      </c>
      <c r="AN32" s="588">
        <f t="shared" si="6"/>
        <v>-32.567499999999995</v>
      </c>
      <c r="AO32" s="588">
        <f t="shared" si="6"/>
        <v>-32.973749999999995</v>
      </c>
      <c r="AP32" s="588">
        <f t="shared" si="6"/>
        <v>-33.379999999999995</v>
      </c>
      <c r="AQ32" s="588">
        <f t="shared" si="6"/>
        <v>-33.786249999999995</v>
      </c>
      <c r="AR32" s="588">
        <f t="shared" si="6"/>
        <v>-34.192499999999995</v>
      </c>
      <c r="AS32" s="588">
        <f t="shared" si="6"/>
        <v>-34.598749999999995</v>
      </c>
      <c r="AT32" s="588">
        <f t="shared" si="6"/>
        <v>-35.004999999999995</v>
      </c>
      <c r="AU32" s="588">
        <f t="shared" si="6"/>
        <v>-35.411249999999995</v>
      </c>
      <c r="AV32" s="588">
        <f t="shared" si="6"/>
        <v>-35.817499999999995</v>
      </c>
      <c r="AW32" s="588">
        <f t="shared" si="6"/>
        <v>-36.223749999999995</v>
      </c>
      <c r="AX32" s="588">
        <f t="shared" si="6"/>
        <v>-36.629999999999995</v>
      </c>
      <c r="AY32" s="588">
        <f t="shared" si="6"/>
        <v>-37.036249999999995</v>
      </c>
      <c r="AZ32" s="588">
        <f t="shared" si="6"/>
        <v>-37.442499999999995</v>
      </c>
      <c r="BA32" s="588">
        <f t="shared" si="6"/>
        <v>-37.848749999999995</v>
      </c>
      <c r="BB32" s="588">
        <f t="shared" si="6"/>
        <v>-38.254999999999995</v>
      </c>
      <c r="BC32" s="588">
        <f t="shared" si="6"/>
        <v>-38.661249999999995</v>
      </c>
      <c r="BD32" s="588">
        <f t="shared" si="6"/>
        <v>-39.067499999999995</v>
      </c>
      <c r="BE32" s="588">
        <f t="shared" si="6"/>
        <v>-39.473749999999995</v>
      </c>
      <c r="BF32" s="588">
        <f t="shared" si="6"/>
        <v>-39.879999999999995</v>
      </c>
      <c r="BG32" s="588">
        <f t="shared" si="6"/>
        <v>-40.286249999999995</v>
      </c>
      <c r="BH32" s="588">
        <f t="shared" si="6"/>
        <v>-40.692499999999995</v>
      </c>
      <c r="BI32" s="588">
        <f t="shared" si="6"/>
        <v>-41.098749999999995</v>
      </c>
      <c r="BJ32" s="588">
        <f t="shared" si="6"/>
        <v>-41.504999999999995</v>
      </c>
      <c r="BK32" s="588">
        <f t="shared" si="6"/>
        <v>-41.911249999999995</v>
      </c>
      <c r="BL32" s="588">
        <f t="shared" si="6"/>
        <v>-42.317499999999995</v>
      </c>
      <c r="BM32" s="588">
        <f t="shared" si="6"/>
        <v>-42.723749999999995</v>
      </c>
      <c r="BN32" s="588">
        <f t="shared" si="6"/>
        <v>-43.129999999999995</v>
      </c>
      <c r="BO32" s="588">
        <f t="shared" si="6"/>
        <v>-43.536249999999995</v>
      </c>
      <c r="BP32" s="588">
        <f t="shared" si="6"/>
        <v>0</v>
      </c>
      <c r="BQ32" s="588">
        <f t="shared" si="6"/>
        <v>0</v>
      </c>
      <c r="BR32" s="588">
        <f t="shared" si="6"/>
        <v>0</v>
      </c>
      <c r="BS32" s="588">
        <f t="shared" si="6"/>
        <v>0</v>
      </c>
      <c r="BT32" s="588">
        <f t="shared" ref="BT32:CI32" si="7">SUM(BT33:BT38)</f>
        <v>0</v>
      </c>
      <c r="BU32" s="588">
        <f t="shared" si="7"/>
        <v>0</v>
      </c>
      <c r="BV32" s="588">
        <f t="shared" si="7"/>
        <v>0</v>
      </c>
      <c r="BW32" s="588">
        <f t="shared" si="7"/>
        <v>0</v>
      </c>
      <c r="BX32" s="588">
        <f t="shared" si="7"/>
        <v>0</v>
      </c>
      <c r="BY32" s="588">
        <f t="shared" si="7"/>
        <v>0</v>
      </c>
      <c r="BZ32" s="588">
        <f t="shared" si="7"/>
        <v>0</v>
      </c>
      <c r="CA32" s="588">
        <f t="shared" si="7"/>
        <v>0</v>
      </c>
      <c r="CB32" s="588">
        <f t="shared" si="7"/>
        <v>0</v>
      </c>
      <c r="CC32" s="588">
        <f t="shared" si="7"/>
        <v>0</v>
      </c>
      <c r="CD32" s="588">
        <f t="shared" si="7"/>
        <v>0</v>
      </c>
      <c r="CE32" s="588">
        <f t="shared" si="7"/>
        <v>0</v>
      </c>
      <c r="CF32" s="588">
        <f t="shared" si="7"/>
        <v>0</v>
      </c>
      <c r="CG32" s="588">
        <f t="shared" si="7"/>
        <v>0</v>
      </c>
      <c r="CH32" s="588">
        <f t="shared" si="7"/>
        <v>0</v>
      </c>
      <c r="CI32" s="584">
        <f t="shared" si="7"/>
        <v>0</v>
      </c>
      <c r="CK32" s="1363"/>
    </row>
    <row r="33" spans="1:89" s="1362" customFormat="1" x14ac:dyDescent="0.25">
      <c r="A33" s="1353"/>
      <c r="B33" s="579" t="s">
        <v>377</v>
      </c>
      <c r="C33" s="582" t="s">
        <v>378</v>
      </c>
      <c r="D33" s="573" t="s">
        <v>79</v>
      </c>
      <c r="E33" s="574" t="s">
        <v>146</v>
      </c>
      <c r="F33" s="575">
        <v>2</v>
      </c>
      <c r="G33" s="576"/>
      <c r="H33" s="576"/>
      <c r="I33" s="576">
        <f>TBL3a_DYAABL_10_BWXBRS[[#This Row],[2022-23]]+(32.5/80)</f>
        <v>-12.59375</v>
      </c>
      <c r="J33" s="576">
        <f>TBL3a_DYAABL_10_BWXBRS[[#This Row],[2023-24]]+(32.5/80)</f>
        <v>-13</v>
      </c>
      <c r="K33" s="576">
        <f>TBL3a_DYAABL_10_BWXBRS[[#This Row],[2024-25]]+(32.5/80)</f>
        <v>-13.40625</v>
      </c>
      <c r="L33" s="576">
        <f>TBL3a_DYAABL_10_BWXBRS[[#This Row],[2025-26]]+(32.5/80)</f>
        <v>-13.8125</v>
      </c>
      <c r="M33" s="580">
        <f>TBL3a_DYAABL_10_BWXBRS[[#This Row],[2026-27]]+(32.5/80)</f>
        <v>-14.21875</v>
      </c>
      <c r="N33" s="580">
        <f>TBL3a_DYAABL_10_BWXBRS[[#This Row],[2027-28]]+(32.5/80)</f>
        <v>-14.625</v>
      </c>
      <c r="O33" s="580">
        <f>TBL3a_DYAABL_10_BWXBRS[[#This Row],[2028-29]]+(32.5/80)</f>
        <v>-15.03125</v>
      </c>
      <c r="P33" s="580">
        <f>TBL3a_DYAABL_10_BWXBRS[[#This Row],[2029-30]]+(32.5/80)</f>
        <v>-15.4375</v>
      </c>
      <c r="Q33" s="580">
        <f>TBL3a_DYAABL_10_BWXBRS[[#This Row],[2030-31]]+(32.5/80)</f>
        <v>-15.84375</v>
      </c>
      <c r="R33" s="580">
        <f>TBL3a_DYAABL_10_BWXBRS[[#This Row],[2031-32]]+(32.5/80)</f>
        <v>-16.25</v>
      </c>
      <c r="S33" s="580">
        <f>TBL3a_DYAABL_10_BWXBRS[[#This Row],[2032-33]]+(32.5/80)</f>
        <v>-16.65625</v>
      </c>
      <c r="T33" s="580">
        <f>TBL3a_DYAABL_10_BWXBRS[[#This Row],[2033-34]]+(32.5/80)</f>
        <v>-17.0625</v>
      </c>
      <c r="U33" s="580">
        <f>TBL3a_DYAABL_10_BWXBRS[[#This Row],[2034-35]]+(32.5/80)</f>
        <v>-17.46875</v>
      </c>
      <c r="V33" s="580">
        <f>TBL3a_DYAABL_10_BWXBRS[[#This Row],[2035-36]]+(32.5/80)</f>
        <v>-17.875</v>
      </c>
      <c r="W33" s="580">
        <f>TBL3a_DYAABL_10_BWXBRS[[#This Row],[2036-37]]+(32.5/80)</f>
        <v>-18.28125</v>
      </c>
      <c r="X33" s="580">
        <f>TBL3a_DYAABL_10_BWXBRS[[#This Row],[2037-38]]+(32.5/80)</f>
        <v>-18.6875</v>
      </c>
      <c r="Y33" s="580">
        <f>TBL3a_DYAABL_10_BWXBRS[[#This Row],[2038-39]]+(32.5/80)</f>
        <v>-19.09375</v>
      </c>
      <c r="Z33" s="580">
        <f>TBL3a_DYAABL_10_BWXBRS[[#This Row],[2039-40]]+(32.5/80)</f>
        <v>-19.5</v>
      </c>
      <c r="AA33" s="580">
        <f>TBL3a_DYAABL_10_BWXBRS[[#This Row],[2040-41]]+(32.5/80)</f>
        <v>-19.90625</v>
      </c>
      <c r="AB33" s="580">
        <f>TBL3a_DYAABL_10_BWXBRS[[#This Row],[2041-42]]+(32.5/80)</f>
        <v>-20.3125</v>
      </c>
      <c r="AC33" s="580">
        <f>TBL3a_DYAABL_10_BWXBRS[[#This Row],[2042-43]]+(32.5/80)</f>
        <v>-20.71875</v>
      </c>
      <c r="AD33" s="580">
        <f>TBL3a_DYAABL_10_BWXBRS[[#This Row],[2043-44]]+(32.5/80)</f>
        <v>-21.125</v>
      </c>
      <c r="AE33" s="580">
        <f>TBL3a_DYAABL_10_BWXBRS[[#This Row],[2044-45]]+(32.5/80)</f>
        <v>-21.53125</v>
      </c>
      <c r="AF33" s="580">
        <f>TBL3a_DYAABL_10_BWXBRS[[#This Row],[2045-46]]+(32.5/80)</f>
        <v>-21.9375</v>
      </c>
      <c r="AG33" s="580">
        <f>TBL3a_DYAABL_10_BWXBRS[[#This Row],[2046-47]]+(32.5/80)</f>
        <v>-22.34375</v>
      </c>
      <c r="AH33" s="580">
        <f>TBL3a_DYAABL_10_BWXBRS[[#This Row],[2047-48]]+(32.5/80)</f>
        <v>-22.75</v>
      </c>
      <c r="AI33" s="580">
        <f>TBL3a_DYAABL_10_BWXBRS[[#This Row],[2048-49]]+(32.5/80)</f>
        <v>-23.15625</v>
      </c>
      <c r="AJ33" s="580">
        <f>TBL3a_DYAABL_10_BWXBRS[[#This Row],[2049-50]]+(32.5/80)</f>
        <v>-23.5625</v>
      </c>
      <c r="AK33" s="580">
        <f>TBL3a_DYAABL_10_BWXBRS[[#This Row],[2050-51]]+(32.5/80)</f>
        <v>-23.96875</v>
      </c>
      <c r="AL33" s="580">
        <f>TBL3a_DYAABL_10_BWXBRS[[#This Row],[2051-52]]+(32.5/80)</f>
        <v>-24.375</v>
      </c>
      <c r="AM33" s="580">
        <f>TBL3a_DYAABL_10_BWXBRS[[#This Row],[2052-53]]+(32.5/80)</f>
        <v>-24.78125</v>
      </c>
      <c r="AN33" s="580">
        <f>TBL3a_DYAABL_10_BWXBRS[[#This Row],[2053-54]]+(32.5/80)</f>
        <v>-25.1875</v>
      </c>
      <c r="AO33" s="580">
        <f>TBL3a_DYAABL_10_BWXBRS[[#This Row],[2054-55]]+(32.5/80)</f>
        <v>-25.59375</v>
      </c>
      <c r="AP33" s="580">
        <f>TBL3a_DYAABL_10_BWXBRS[[#This Row],[2055-56]]+(32.5/80)</f>
        <v>-26</v>
      </c>
      <c r="AQ33" s="580">
        <f>TBL3a_DYAABL_10_BWXBRS[[#This Row],[2056-57]]+(32.5/80)</f>
        <v>-26.40625</v>
      </c>
      <c r="AR33" s="580">
        <f>TBL3a_DYAABL_10_BWXBRS[[#This Row],[2057-58]]+(32.5/80)</f>
        <v>-26.8125</v>
      </c>
      <c r="AS33" s="580">
        <f>TBL3a_DYAABL_10_BWXBRS[[#This Row],[2058-59]]+(32.5/80)</f>
        <v>-27.21875</v>
      </c>
      <c r="AT33" s="580">
        <f>TBL3a_DYAABL_10_BWXBRS[[#This Row],[2059-60]]+(32.5/80)</f>
        <v>-27.625</v>
      </c>
      <c r="AU33" s="580">
        <f>TBL3a_DYAABL_10_BWXBRS[[#This Row],[2060-61]]+(32.5/80)</f>
        <v>-28.03125</v>
      </c>
      <c r="AV33" s="580">
        <f>TBL3a_DYAABL_10_BWXBRS[[#This Row],[2061-62]]+(32.5/80)</f>
        <v>-28.4375</v>
      </c>
      <c r="AW33" s="580">
        <f>TBL3a_DYAABL_10_BWXBRS[[#This Row],[2062-63]]+(32.5/80)</f>
        <v>-28.84375</v>
      </c>
      <c r="AX33" s="580">
        <f>TBL3a_DYAABL_10_BWXBRS[[#This Row],[2063-64]]+(32.5/80)</f>
        <v>-29.25</v>
      </c>
      <c r="AY33" s="580">
        <f>TBL3a_DYAABL_10_BWXBRS[[#This Row],[2064-65]]+(32.5/80)</f>
        <v>-29.65625</v>
      </c>
      <c r="AZ33" s="580">
        <f>TBL3a_DYAABL_10_BWXBRS[[#This Row],[2065-66]]+(32.5/80)</f>
        <v>-30.0625</v>
      </c>
      <c r="BA33" s="580">
        <f>TBL3a_DYAABL_10_BWXBRS[[#This Row],[2066-67]]+(32.5/80)</f>
        <v>-30.46875</v>
      </c>
      <c r="BB33" s="580">
        <f>TBL3a_DYAABL_10_BWXBRS[[#This Row],[2067-68]]+(32.5/80)</f>
        <v>-30.875</v>
      </c>
      <c r="BC33" s="580">
        <f>TBL3a_DYAABL_10_BWXBRS[[#This Row],[2068-69]]+(32.5/80)</f>
        <v>-31.28125</v>
      </c>
      <c r="BD33" s="580">
        <f>TBL3a_DYAABL_10_BWXBRS[[#This Row],[2069-70]]+(32.5/80)</f>
        <v>-31.6875</v>
      </c>
      <c r="BE33" s="580">
        <f>TBL3a_DYAABL_10_BWXBRS[[#This Row],[2070-71]]+(32.5/80)</f>
        <v>-32.09375</v>
      </c>
      <c r="BF33" s="580">
        <v>-32.5</v>
      </c>
      <c r="BG33" s="580">
        <f>TBL3a_DYAABL_10_BWXBRS[[#This Row],[2070-71]]-(32.5/80)</f>
        <v>-32.90625</v>
      </c>
      <c r="BH33" s="580">
        <f>TBL3a_DYAABL_10_BWXBRS[[#This Row],[2071-72]]-(32.5/80)</f>
        <v>-33.3125</v>
      </c>
      <c r="BI33" s="580">
        <f>TBL3a_DYAABL_10_BWXBRS[[#This Row],[2072-73]]-(32.5/80)</f>
        <v>-33.71875</v>
      </c>
      <c r="BJ33" s="580">
        <f>TBL3a_DYAABL_10_BWXBRS[[#This Row],[2073-74]]-(32.5/80)</f>
        <v>-34.125</v>
      </c>
      <c r="BK33" s="580">
        <f>TBL3a_DYAABL_10_BWXBRS[[#This Row],[2074-75]]-(32.5/80)</f>
        <v>-34.53125</v>
      </c>
      <c r="BL33" s="580">
        <f>TBL3a_DYAABL_10_BWXBRS[[#This Row],[2075-76]]-(32.5/80)</f>
        <v>-34.9375</v>
      </c>
      <c r="BM33" s="580">
        <f>TBL3a_DYAABL_10_BWXBRS[[#This Row],[2076-77]]-(32.5/80)</f>
        <v>-35.34375</v>
      </c>
      <c r="BN33" s="580">
        <f>TBL3a_DYAABL_10_BWXBRS[[#This Row],[2077-78]]-(32.5/80)</f>
        <v>-35.75</v>
      </c>
      <c r="BO33" s="580">
        <f>TBL3a_DYAABL_10_BWXBRS[[#This Row],[2078-79]]-(32.5/80)</f>
        <v>-36.15625</v>
      </c>
      <c r="BP33" s="580"/>
      <c r="BQ33" s="580"/>
      <c r="BR33" s="580"/>
      <c r="BS33" s="580"/>
      <c r="BT33" s="580"/>
      <c r="BU33" s="580"/>
      <c r="BV33" s="580"/>
      <c r="BW33" s="580"/>
      <c r="BX33" s="580"/>
      <c r="BY33" s="580"/>
      <c r="BZ33" s="580"/>
      <c r="CA33" s="580"/>
      <c r="CB33" s="580"/>
      <c r="CC33" s="580"/>
      <c r="CD33" s="580"/>
      <c r="CE33" s="580"/>
      <c r="CF33" s="580"/>
      <c r="CG33" s="580"/>
      <c r="CH33" s="580"/>
      <c r="CI33" s="581"/>
      <c r="CK33" s="1363"/>
    </row>
    <row r="34" spans="1:89" s="1362" customFormat="1" ht="27.6" x14ac:dyDescent="0.25">
      <c r="A34" s="1353"/>
      <c r="B34" s="579" t="s">
        <v>379</v>
      </c>
      <c r="C34" s="582" t="s">
        <v>380</v>
      </c>
      <c r="D34" s="573" t="s">
        <v>79</v>
      </c>
      <c r="E34" s="574" t="s">
        <v>146</v>
      </c>
      <c r="F34" s="575">
        <v>2</v>
      </c>
      <c r="G34" s="576"/>
      <c r="H34" s="576"/>
      <c r="I34" s="576">
        <v>0</v>
      </c>
      <c r="J34" s="576">
        <v>0</v>
      </c>
      <c r="K34" s="576">
        <v>0</v>
      </c>
      <c r="L34" s="576">
        <v>0</v>
      </c>
      <c r="M34" s="1424">
        <v>0</v>
      </c>
      <c r="N34" s="1424">
        <v>0</v>
      </c>
      <c r="O34" s="1424">
        <v>0</v>
      </c>
      <c r="P34" s="1424">
        <v>0</v>
      </c>
      <c r="Q34" s="1424">
        <v>0</v>
      </c>
      <c r="R34" s="1424">
        <v>0</v>
      </c>
      <c r="S34" s="1424">
        <v>0</v>
      </c>
      <c r="T34" s="1424">
        <v>0</v>
      </c>
      <c r="U34" s="1424">
        <v>0</v>
      </c>
      <c r="V34" s="1424">
        <v>0</v>
      </c>
      <c r="W34" s="1424">
        <v>0</v>
      </c>
      <c r="X34" s="1424">
        <v>0</v>
      </c>
      <c r="Y34" s="1424">
        <v>0</v>
      </c>
      <c r="Z34" s="1424">
        <v>0</v>
      </c>
      <c r="AA34" s="1424">
        <v>0</v>
      </c>
      <c r="AB34" s="1424">
        <v>0</v>
      </c>
      <c r="AC34" s="1424">
        <v>0</v>
      </c>
      <c r="AD34" s="1424">
        <v>0</v>
      </c>
      <c r="AE34" s="1424">
        <v>0</v>
      </c>
      <c r="AF34" s="1424">
        <v>0</v>
      </c>
      <c r="AG34" s="1424">
        <v>0</v>
      </c>
      <c r="AH34" s="1424">
        <v>0</v>
      </c>
      <c r="AI34" s="1424">
        <v>0</v>
      </c>
      <c r="AJ34" s="1424">
        <v>0</v>
      </c>
      <c r="AK34" s="1424">
        <v>0</v>
      </c>
      <c r="AL34" s="1424">
        <v>0</v>
      </c>
      <c r="AM34" s="1424">
        <v>0</v>
      </c>
      <c r="AN34" s="1424">
        <v>0</v>
      </c>
      <c r="AO34" s="1424">
        <v>0</v>
      </c>
      <c r="AP34" s="1424">
        <v>0</v>
      </c>
      <c r="AQ34" s="1424">
        <v>0</v>
      </c>
      <c r="AR34" s="1424">
        <v>0</v>
      </c>
      <c r="AS34" s="1424">
        <v>0</v>
      </c>
      <c r="AT34" s="1424">
        <v>0</v>
      </c>
      <c r="AU34" s="1424">
        <v>0</v>
      </c>
      <c r="AV34" s="1424">
        <v>0</v>
      </c>
      <c r="AW34" s="1424">
        <v>0</v>
      </c>
      <c r="AX34" s="1424">
        <v>0</v>
      </c>
      <c r="AY34" s="1424">
        <v>0</v>
      </c>
      <c r="AZ34" s="1424">
        <v>0</v>
      </c>
      <c r="BA34" s="1424">
        <v>0</v>
      </c>
      <c r="BB34" s="1424">
        <v>0</v>
      </c>
      <c r="BC34" s="1424">
        <v>0</v>
      </c>
      <c r="BD34" s="1424">
        <v>0</v>
      </c>
      <c r="BE34" s="1424">
        <v>0</v>
      </c>
      <c r="BF34" s="1424">
        <v>0</v>
      </c>
      <c r="BG34" s="1424">
        <v>0</v>
      </c>
      <c r="BH34" s="1424">
        <v>0</v>
      </c>
      <c r="BI34" s="1424">
        <v>0</v>
      </c>
      <c r="BJ34" s="1424">
        <v>0</v>
      </c>
      <c r="BK34" s="1424">
        <v>0</v>
      </c>
      <c r="BL34" s="1424">
        <v>0</v>
      </c>
      <c r="BM34" s="1424">
        <v>0</v>
      </c>
      <c r="BN34" s="1424">
        <v>0</v>
      </c>
      <c r="BO34" s="1424">
        <v>0</v>
      </c>
      <c r="BP34" s="580"/>
      <c r="BQ34" s="580"/>
      <c r="BR34" s="580"/>
      <c r="BS34" s="580"/>
      <c r="BT34" s="580"/>
      <c r="BU34" s="580"/>
      <c r="BV34" s="580"/>
      <c r="BW34" s="580"/>
      <c r="BX34" s="580"/>
      <c r="BY34" s="580"/>
      <c r="BZ34" s="580"/>
      <c r="CA34" s="580"/>
      <c r="CB34" s="580"/>
      <c r="CC34" s="580"/>
      <c r="CD34" s="580"/>
      <c r="CE34" s="580"/>
      <c r="CF34" s="580"/>
      <c r="CG34" s="580"/>
      <c r="CH34" s="580"/>
      <c r="CI34" s="581"/>
      <c r="CK34" s="1363"/>
    </row>
    <row r="35" spans="1:89" s="1362" customFormat="1" ht="41.4" x14ac:dyDescent="0.25">
      <c r="A35" s="1353"/>
      <c r="B35" s="579" t="s">
        <v>381</v>
      </c>
      <c r="C35" s="582" t="s">
        <v>382</v>
      </c>
      <c r="D35" s="573" t="s">
        <v>79</v>
      </c>
      <c r="E35" s="574" t="s">
        <v>146</v>
      </c>
      <c r="F35" s="575">
        <v>2</v>
      </c>
      <c r="G35" s="576"/>
      <c r="H35" s="576"/>
      <c r="I35" s="576">
        <v>0</v>
      </c>
      <c r="J35" s="576">
        <v>0</v>
      </c>
      <c r="K35" s="576">
        <v>0</v>
      </c>
      <c r="L35" s="576">
        <v>0</v>
      </c>
      <c r="M35" s="580">
        <v>-1</v>
      </c>
      <c r="N35" s="580">
        <v>-1</v>
      </c>
      <c r="O35" s="580">
        <v>-1</v>
      </c>
      <c r="P35" s="580">
        <v>-1</v>
      </c>
      <c r="Q35" s="580">
        <v>-1</v>
      </c>
      <c r="R35" s="580">
        <f t="shared" ref="R35:BO35" si="8">-1-3.1-3.28</f>
        <v>-7.379999999999999</v>
      </c>
      <c r="S35" s="580">
        <f t="shared" si="8"/>
        <v>-7.379999999999999</v>
      </c>
      <c r="T35" s="580">
        <f t="shared" si="8"/>
        <v>-7.379999999999999</v>
      </c>
      <c r="U35" s="580">
        <f t="shared" si="8"/>
        <v>-7.379999999999999</v>
      </c>
      <c r="V35" s="580">
        <f t="shared" si="8"/>
        <v>-7.379999999999999</v>
      </c>
      <c r="W35" s="580">
        <f t="shared" si="8"/>
        <v>-7.379999999999999</v>
      </c>
      <c r="X35" s="580">
        <f t="shared" si="8"/>
        <v>-7.379999999999999</v>
      </c>
      <c r="Y35" s="580">
        <f t="shared" si="8"/>
        <v>-7.379999999999999</v>
      </c>
      <c r="Z35" s="580">
        <f t="shared" si="8"/>
        <v>-7.379999999999999</v>
      </c>
      <c r="AA35" s="580">
        <f t="shared" si="8"/>
        <v>-7.379999999999999</v>
      </c>
      <c r="AB35" s="580">
        <f t="shared" si="8"/>
        <v>-7.379999999999999</v>
      </c>
      <c r="AC35" s="580">
        <f t="shared" si="8"/>
        <v>-7.379999999999999</v>
      </c>
      <c r="AD35" s="580">
        <f t="shared" si="8"/>
        <v>-7.379999999999999</v>
      </c>
      <c r="AE35" s="580">
        <f t="shared" si="8"/>
        <v>-7.379999999999999</v>
      </c>
      <c r="AF35" s="580">
        <f t="shared" si="8"/>
        <v>-7.379999999999999</v>
      </c>
      <c r="AG35" s="580">
        <f t="shared" si="8"/>
        <v>-7.379999999999999</v>
      </c>
      <c r="AH35" s="580">
        <f t="shared" si="8"/>
        <v>-7.379999999999999</v>
      </c>
      <c r="AI35" s="580">
        <f t="shared" si="8"/>
        <v>-7.379999999999999</v>
      </c>
      <c r="AJ35" s="580">
        <f t="shared" si="8"/>
        <v>-7.379999999999999</v>
      </c>
      <c r="AK35" s="580">
        <f t="shared" si="8"/>
        <v>-7.379999999999999</v>
      </c>
      <c r="AL35" s="580">
        <f t="shared" si="8"/>
        <v>-7.379999999999999</v>
      </c>
      <c r="AM35" s="580">
        <f t="shared" si="8"/>
        <v>-7.379999999999999</v>
      </c>
      <c r="AN35" s="580">
        <f t="shared" si="8"/>
        <v>-7.379999999999999</v>
      </c>
      <c r="AO35" s="580">
        <f t="shared" si="8"/>
        <v>-7.379999999999999</v>
      </c>
      <c r="AP35" s="580">
        <f t="shared" si="8"/>
        <v>-7.379999999999999</v>
      </c>
      <c r="AQ35" s="580">
        <f t="shared" si="8"/>
        <v>-7.379999999999999</v>
      </c>
      <c r="AR35" s="580">
        <f t="shared" si="8"/>
        <v>-7.379999999999999</v>
      </c>
      <c r="AS35" s="580">
        <f t="shared" si="8"/>
        <v>-7.379999999999999</v>
      </c>
      <c r="AT35" s="580">
        <f t="shared" si="8"/>
        <v>-7.379999999999999</v>
      </c>
      <c r="AU35" s="580">
        <f t="shared" si="8"/>
        <v>-7.379999999999999</v>
      </c>
      <c r="AV35" s="580">
        <f t="shared" si="8"/>
        <v>-7.379999999999999</v>
      </c>
      <c r="AW35" s="580">
        <f t="shared" si="8"/>
        <v>-7.379999999999999</v>
      </c>
      <c r="AX35" s="580">
        <f t="shared" si="8"/>
        <v>-7.379999999999999</v>
      </c>
      <c r="AY35" s="580">
        <f t="shared" si="8"/>
        <v>-7.379999999999999</v>
      </c>
      <c r="AZ35" s="580">
        <f t="shared" si="8"/>
        <v>-7.379999999999999</v>
      </c>
      <c r="BA35" s="580">
        <f t="shared" si="8"/>
        <v>-7.379999999999999</v>
      </c>
      <c r="BB35" s="580">
        <f t="shared" si="8"/>
        <v>-7.379999999999999</v>
      </c>
      <c r="BC35" s="580">
        <f t="shared" si="8"/>
        <v>-7.379999999999999</v>
      </c>
      <c r="BD35" s="580">
        <f t="shared" si="8"/>
        <v>-7.379999999999999</v>
      </c>
      <c r="BE35" s="580">
        <f t="shared" si="8"/>
        <v>-7.379999999999999</v>
      </c>
      <c r="BF35" s="580">
        <f t="shared" si="8"/>
        <v>-7.379999999999999</v>
      </c>
      <c r="BG35" s="580">
        <f t="shared" si="8"/>
        <v>-7.379999999999999</v>
      </c>
      <c r="BH35" s="580">
        <f t="shared" si="8"/>
        <v>-7.379999999999999</v>
      </c>
      <c r="BI35" s="580">
        <f t="shared" si="8"/>
        <v>-7.379999999999999</v>
      </c>
      <c r="BJ35" s="580">
        <f t="shared" si="8"/>
        <v>-7.379999999999999</v>
      </c>
      <c r="BK35" s="580">
        <f t="shared" si="8"/>
        <v>-7.379999999999999</v>
      </c>
      <c r="BL35" s="580">
        <f t="shared" si="8"/>
        <v>-7.379999999999999</v>
      </c>
      <c r="BM35" s="580">
        <f t="shared" si="8"/>
        <v>-7.379999999999999</v>
      </c>
      <c r="BN35" s="580">
        <f t="shared" si="8"/>
        <v>-7.379999999999999</v>
      </c>
      <c r="BO35" s="580">
        <f t="shared" si="8"/>
        <v>-7.379999999999999</v>
      </c>
      <c r="BP35" s="580"/>
      <c r="BQ35" s="580"/>
      <c r="BR35" s="580"/>
      <c r="BS35" s="580"/>
      <c r="BT35" s="580"/>
      <c r="BU35" s="580"/>
      <c r="BV35" s="580"/>
      <c r="BW35" s="580"/>
      <c r="BX35" s="580"/>
      <c r="BY35" s="580"/>
      <c r="BZ35" s="580"/>
      <c r="CA35" s="580"/>
      <c r="CB35" s="580"/>
      <c r="CC35" s="580"/>
      <c r="CD35" s="580"/>
      <c r="CE35" s="580"/>
      <c r="CF35" s="580"/>
      <c r="CG35" s="580"/>
      <c r="CH35" s="580"/>
      <c r="CI35" s="581"/>
      <c r="CK35" s="1363"/>
    </row>
    <row r="36" spans="1:89" s="1362" customFormat="1" ht="27.6" x14ac:dyDescent="0.25">
      <c r="A36" s="1353"/>
      <c r="B36" s="579" t="s">
        <v>383</v>
      </c>
      <c r="C36" s="582" t="s">
        <v>384</v>
      </c>
      <c r="D36" s="573" t="s">
        <v>79</v>
      </c>
      <c r="E36" s="574" t="s">
        <v>146</v>
      </c>
      <c r="F36" s="575">
        <v>2</v>
      </c>
      <c r="G36" s="576"/>
      <c r="H36" s="576"/>
      <c r="I36" s="576">
        <v>-4.76</v>
      </c>
      <c r="J36" s="576">
        <v>-4.76</v>
      </c>
      <c r="K36" s="576">
        <v>-4.76</v>
      </c>
      <c r="L36" s="576">
        <v>-4.76</v>
      </c>
      <c r="M36" s="580">
        <v>-4.76</v>
      </c>
      <c r="N36" s="580">
        <v>-4.76</v>
      </c>
      <c r="O36" s="580">
        <v>-4.76</v>
      </c>
      <c r="P36" s="580">
        <v>-4.76</v>
      </c>
      <c r="Q36" s="580">
        <v>-4.76</v>
      </c>
      <c r="R36" s="580">
        <v>0</v>
      </c>
      <c r="S36" s="580">
        <v>0</v>
      </c>
      <c r="T36" s="580">
        <v>0</v>
      </c>
      <c r="U36" s="580">
        <v>0</v>
      </c>
      <c r="V36" s="580">
        <v>0</v>
      </c>
      <c r="W36" s="580">
        <v>0</v>
      </c>
      <c r="X36" s="580">
        <v>0</v>
      </c>
      <c r="Y36" s="580">
        <v>0</v>
      </c>
      <c r="Z36" s="580">
        <v>0</v>
      </c>
      <c r="AA36" s="580">
        <v>0</v>
      </c>
      <c r="AB36" s="580">
        <v>0</v>
      </c>
      <c r="AC36" s="580">
        <v>0</v>
      </c>
      <c r="AD36" s="580">
        <v>0</v>
      </c>
      <c r="AE36" s="580">
        <v>0</v>
      </c>
      <c r="AF36" s="580">
        <v>0</v>
      </c>
      <c r="AG36" s="580">
        <v>0</v>
      </c>
      <c r="AH36" s="580">
        <v>0</v>
      </c>
      <c r="AI36" s="580">
        <v>0</v>
      </c>
      <c r="AJ36" s="580">
        <v>0</v>
      </c>
      <c r="AK36" s="580">
        <v>0</v>
      </c>
      <c r="AL36" s="580">
        <v>0</v>
      </c>
      <c r="AM36" s="580">
        <v>0</v>
      </c>
      <c r="AN36" s="580">
        <v>0</v>
      </c>
      <c r="AO36" s="580">
        <v>0</v>
      </c>
      <c r="AP36" s="580">
        <v>0</v>
      </c>
      <c r="AQ36" s="580">
        <v>0</v>
      </c>
      <c r="AR36" s="580">
        <v>0</v>
      </c>
      <c r="AS36" s="580">
        <v>0</v>
      </c>
      <c r="AT36" s="580">
        <v>0</v>
      </c>
      <c r="AU36" s="580">
        <v>0</v>
      </c>
      <c r="AV36" s="580">
        <v>0</v>
      </c>
      <c r="AW36" s="580">
        <v>0</v>
      </c>
      <c r="AX36" s="580">
        <v>0</v>
      </c>
      <c r="AY36" s="580">
        <v>0</v>
      </c>
      <c r="AZ36" s="580">
        <v>0</v>
      </c>
      <c r="BA36" s="580">
        <v>0</v>
      </c>
      <c r="BB36" s="580">
        <v>0</v>
      </c>
      <c r="BC36" s="580">
        <v>0</v>
      </c>
      <c r="BD36" s="580">
        <v>0</v>
      </c>
      <c r="BE36" s="580">
        <v>0</v>
      </c>
      <c r="BF36" s="580">
        <v>0</v>
      </c>
      <c r="BG36" s="580">
        <v>0</v>
      </c>
      <c r="BH36" s="580">
        <v>0</v>
      </c>
      <c r="BI36" s="580">
        <v>0</v>
      </c>
      <c r="BJ36" s="580">
        <v>0</v>
      </c>
      <c r="BK36" s="580">
        <v>0</v>
      </c>
      <c r="BL36" s="580">
        <v>0</v>
      </c>
      <c r="BM36" s="580">
        <v>0</v>
      </c>
      <c r="BN36" s="580">
        <v>0</v>
      </c>
      <c r="BO36" s="580">
        <v>0</v>
      </c>
      <c r="BP36" s="580"/>
      <c r="BQ36" s="580"/>
      <c r="BR36" s="580"/>
      <c r="BS36" s="580"/>
      <c r="BT36" s="580"/>
      <c r="BU36" s="580"/>
      <c r="BV36" s="580"/>
      <c r="BW36" s="580"/>
      <c r="BX36" s="580"/>
      <c r="BY36" s="580"/>
      <c r="BZ36" s="580"/>
      <c r="CA36" s="580"/>
      <c r="CB36" s="580"/>
      <c r="CC36" s="580"/>
      <c r="CD36" s="580"/>
      <c r="CE36" s="580"/>
      <c r="CF36" s="580"/>
      <c r="CG36" s="580"/>
      <c r="CH36" s="580"/>
      <c r="CI36" s="581"/>
      <c r="CK36" s="1363"/>
    </row>
    <row r="37" spans="1:89" s="1362" customFormat="1" x14ac:dyDescent="0.25">
      <c r="A37" s="1353"/>
      <c r="B37" s="579" t="s">
        <v>385</v>
      </c>
      <c r="C37" s="582" t="s">
        <v>386</v>
      </c>
      <c r="D37" s="573" t="s">
        <v>387</v>
      </c>
      <c r="E37" s="574" t="s">
        <v>146</v>
      </c>
      <c r="F37" s="575">
        <v>2</v>
      </c>
      <c r="G37" s="576"/>
      <c r="H37" s="576"/>
      <c r="I37" s="576">
        <v>0</v>
      </c>
      <c r="J37" s="576">
        <v>0</v>
      </c>
      <c r="K37" s="576">
        <v>0</v>
      </c>
      <c r="L37" s="576">
        <v>0</v>
      </c>
      <c r="M37" s="589">
        <v>0</v>
      </c>
      <c r="N37" s="589">
        <v>0</v>
      </c>
      <c r="O37" s="589">
        <v>0</v>
      </c>
      <c r="P37" s="589">
        <v>0</v>
      </c>
      <c r="Q37" s="589">
        <v>0</v>
      </c>
      <c r="R37" s="589">
        <v>0</v>
      </c>
      <c r="S37" s="589">
        <v>0</v>
      </c>
      <c r="T37" s="589">
        <v>0</v>
      </c>
      <c r="U37" s="589">
        <v>0</v>
      </c>
      <c r="V37" s="589">
        <v>0</v>
      </c>
      <c r="W37" s="589">
        <v>0</v>
      </c>
      <c r="X37" s="589">
        <v>0</v>
      </c>
      <c r="Y37" s="589">
        <v>0</v>
      </c>
      <c r="Z37" s="589">
        <v>0</v>
      </c>
      <c r="AA37" s="589">
        <v>0</v>
      </c>
      <c r="AB37" s="589">
        <v>0</v>
      </c>
      <c r="AC37" s="589">
        <v>0</v>
      </c>
      <c r="AD37" s="589">
        <v>0</v>
      </c>
      <c r="AE37" s="589">
        <v>0</v>
      </c>
      <c r="AF37" s="589">
        <v>0</v>
      </c>
      <c r="AG37" s="589">
        <v>0</v>
      </c>
      <c r="AH37" s="589">
        <v>0</v>
      </c>
      <c r="AI37" s="589">
        <v>0</v>
      </c>
      <c r="AJ37" s="589">
        <v>0</v>
      </c>
      <c r="AK37" s="589">
        <v>0</v>
      </c>
      <c r="AL37" s="589">
        <v>0</v>
      </c>
      <c r="AM37" s="589">
        <v>0</v>
      </c>
      <c r="AN37" s="589">
        <v>0</v>
      </c>
      <c r="AO37" s="589">
        <v>0</v>
      </c>
      <c r="AP37" s="589">
        <v>0</v>
      </c>
      <c r="AQ37" s="589">
        <v>0</v>
      </c>
      <c r="AR37" s="589">
        <v>0</v>
      </c>
      <c r="AS37" s="589">
        <v>0</v>
      </c>
      <c r="AT37" s="589">
        <v>0</v>
      </c>
      <c r="AU37" s="589">
        <v>0</v>
      </c>
      <c r="AV37" s="589">
        <v>0</v>
      </c>
      <c r="AW37" s="589">
        <v>0</v>
      </c>
      <c r="AX37" s="589">
        <v>0</v>
      </c>
      <c r="AY37" s="589">
        <v>0</v>
      </c>
      <c r="AZ37" s="589">
        <v>0</v>
      </c>
      <c r="BA37" s="589">
        <v>0</v>
      </c>
      <c r="BB37" s="589">
        <v>0</v>
      </c>
      <c r="BC37" s="589">
        <v>0</v>
      </c>
      <c r="BD37" s="589">
        <v>0</v>
      </c>
      <c r="BE37" s="589">
        <v>0</v>
      </c>
      <c r="BF37" s="589">
        <v>0</v>
      </c>
      <c r="BG37" s="589">
        <v>0</v>
      </c>
      <c r="BH37" s="589">
        <v>0</v>
      </c>
      <c r="BI37" s="589">
        <v>0</v>
      </c>
      <c r="BJ37" s="589">
        <v>0</v>
      </c>
      <c r="BK37" s="589">
        <v>0</v>
      </c>
      <c r="BL37" s="589">
        <v>0</v>
      </c>
      <c r="BM37" s="589">
        <v>0</v>
      </c>
      <c r="BN37" s="589">
        <v>0</v>
      </c>
      <c r="BO37" s="589">
        <v>0</v>
      </c>
      <c r="BP37" s="589">
        <v>0</v>
      </c>
      <c r="BQ37" s="589">
        <v>0</v>
      </c>
      <c r="BR37" s="589">
        <v>0</v>
      </c>
      <c r="BS37" s="589">
        <v>0</v>
      </c>
      <c r="BT37" s="589">
        <v>0</v>
      </c>
      <c r="BU37" s="589">
        <v>0</v>
      </c>
      <c r="BV37" s="589">
        <v>0</v>
      </c>
      <c r="BW37" s="589">
        <v>0</v>
      </c>
      <c r="BX37" s="589">
        <v>0</v>
      </c>
      <c r="BY37" s="589">
        <v>0</v>
      </c>
      <c r="BZ37" s="589">
        <v>0</v>
      </c>
      <c r="CA37" s="589">
        <v>0</v>
      </c>
      <c r="CB37" s="589">
        <v>0</v>
      </c>
      <c r="CC37" s="589">
        <v>0</v>
      </c>
      <c r="CD37" s="589">
        <v>0</v>
      </c>
      <c r="CE37" s="589">
        <v>0</v>
      </c>
      <c r="CF37" s="589">
        <v>0</v>
      </c>
      <c r="CG37" s="589">
        <v>0</v>
      </c>
      <c r="CH37" s="589">
        <v>0</v>
      </c>
      <c r="CI37" s="590">
        <v>0</v>
      </c>
      <c r="CK37" s="1363"/>
    </row>
    <row r="38" spans="1:89" s="1362" customFormat="1" ht="27.6" x14ac:dyDescent="0.25">
      <c r="A38" s="1353"/>
      <c r="B38" s="579" t="s">
        <v>388</v>
      </c>
      <c r="C38" s="582" t="s">
        <v>389</v>
      </c>
      <c r="D38" s="573" t="s">
        <v>79</v>
      </c>
      <c r="E38" s="574" t="s">
        <v>146</v>
      </c>
      <c r="F38" s="575">
        <v>2</v>
      </c>
      <c r="G38" s="576"/>
      <c r="H38" s="576"/>
      <c r="I38" s="576">
        <v>0</v>
      </c>
      <c r="J38" s="576">
        <v>0</v>
      </c>
      <c r="K38" s="576">
        <v>0</v>
      </c>
      <c r="L38" s="576">
        <v>0</v>
      </c>
      <c r="M38" s="580">
        <v>0</v>
      </c>
      <c r="N38" s="580">
        <v>0</v>
      </c>
      <c r="O38" s="580">
        <v>0</v>
      </c>
      <c r="P38" s="580">
        <v>0</v>
      </c>
      <c r="Q38" s="580">
        <v>0</v>
      </c>
      <c r="R38" s="580">
        <v>0</v>
      </c>
      <c r="S38" s="580">
        <v>0</v>
      </c>
      <c r="T38" s="580">
        <v>0</v>
      </c>
      <c r="U38" s="580">
        <v>0</v>
      </c>
      <c r="V38" s="580">
        <v>0</v>
      </c>
      <c r="W38" s="580">
        <v>0</v>
      </c>
      <c r="X38" s="580">
        <v>0</v>
      </c>
      <c r="Y38" s="580">
        <v>0</v>
      </c>
      <c r="Z38" s="580">
        <v>0</v>
      </c>
      <c r="AA38" s="580">
        <v>0</v>
      </c>
      <c r="AB38" s="580">
        <v>0</v>
      </c>
      <c r="AC38" s="580">
        <v>0</v>
      </c>
      <c r="AD38" s="580">
        <v>0</v>
      </c>
      <c r="AE38" s="580">
        <v>0</v>
      </c>
      <c r="AF38" s="580">
        <v>0</v>
      </c>
      <c r="AG38" s="580">
        <v>0</v>
      </c>
      <c r="AH38" s="580">
        <v>0</v>
      </c>
      <c r="AI38" s="580">
        <v>0</v>
      </c>
      <c r="AJ38" s="580">
        <v>0</v>
      </c>
      <c r="AK38" s="580">
        <v>0</v>
      </c>
      <c r="AL38" s="580">
        <v>0</v>
      </c>
      <c r="AM38" s="580">
        <v>0</v>
      </c>
      <c r="AN38" s="580">
        <v>0</v>
      </c>
      <c r="AO38" s="580">
        <v>0</v>
      </c>
      <c r="AP38" s="580">
        <v>0</v>
      </c>
      <c r="AQ38" s="580">
        <v>0</v>
      </c>
      <c r="AR38" s="580">
        <v>0</v>
      </c>
      <c r="AS38" s="580">
        <v>0</v>
      </c>
      <c r="AT38" s="580">
        <v>0</v>
      </c>
      <c r="AU38" s="580">
        <v>0</v>
      </c>
      <c r="AV38" s="580">
        <v>0</v>
      </c>
      <c r="AW38" s="580">
        <v>0</v>
      </c>
      <c r="AX38" s="580">
        <v>0</v>
      </c>
      <c r="AY38" s="580">
        <v>0</v>
      </c>
      <c r="AZ38" s="580">
        <v>0</v>
      </c>
      <c r="BA38" s="580">
        <v>0</v>
      </c>
      <c r="BB38" s="580">
        <v>0</v>
      </c>
      <c r="BC38" s="580">
        <v>0</v>
      </c>
      <c r="BD38" s="580">
        <v>0</v>
      </c>
      <c r="BE38" s="580">
        <v>0</v>
      </c>
      <c r="BF38" s="580">
        <v>0</v>
      </c>
      <c r="BG38" s="580">
        <v>0</v>
      </c>
      <c r="BH38" s="580">
        <v>0</v>
      </c>
      <c r="BI38" s="580">
        <v>0</v>
      </c>
      <c r="BJ38" s="580">
        <v>0</v>
      </c>
      <c r="BK38" s="580">
        <v>0</v>
      </c>
      <c r="BL38" s="580">
        <v>0</v>
      </c>
      <c r="BM38" s="580">
        <v>0</v>
      </c>
      <c r="BN38" s="580">
        <v>0</v>
      </c>
      <c r="BO38" s="580">
        <v>0</v>
      </c>
      <c r="BP38" s="580"/>
      <c r="BQ38" s="580"/>
      <c r="BR38" s="580"/>
      <c r="BS38" s="580"/>
      <c r="BT38" s="580"/>
      <c r="BU38" s="580"/>
      <c r="BV38" s="580"/>
      <c r="BW38" s="580"/>
      <c r="BX38" s="580"/>
      <c r="BY38" s="580"/>
      <c r="BZ38" s="580"/>
      <c r="CA38" s="580"/>
      <c r="CB38" s="580"/>
      <c r="CC38" s="580"/>
      <c r="CD38" s="580"/>
      <c r="CE38" s="580"/>
      <c r="CF38" s="580"/>
      <c r="CG38" s="580"/>
      <c r="CH38" s="580"/>
      <c r="CI38" s="581"/>
      <c r="CK38" s="1363"/>
    </row>
    <row r="39" spans="1:89" s="1362" customFormat="1" ht="27.6" x14ac:dyDescent="0.25">
      <c r="A39" s="1353"/>
      <c r="B39" s="579" t="s">
        <v>390</v>
      </c>
      <c r="C39" s="582" t="s">
        <v>391</v>
      </c>
      <c r="D39" s="573" t="s">
        <v>79</v>
      </c>
      <c r="E39" s="574" t="s">
        <v>146</v>
      </c>
      <c r="F39" s="575">
        <v>2</v>
      </c>
      <c r="G39" s="576"/>
      <c r="H39" s="576"/>
      <c r="I39" s="576">
        <v>13.71</v>
      </c>
      <c r="J39" s="576">
        <v>18.170000000000002</v>
      </c>
      <c r="K39" s="576">
        <v>18.170000000000002</v>
      </c>
      <c r="L39" s="576">
        <v>18.170000000000002</v>
      </c>
      <c r="M39" s="1424">
        <v>18.170000000000002</v>
      </c>
      <c r="N39" s="1424">
        <v>18.170000000000002</v>
      </c>
      <c r="O39" s="1424">
        <v>18.170000000000002</v>
      </c>
      <c r="P39" s="1424">
        <v>18.170000000000002</v>
      </c>
      <c r="Q39" s="1424">
        <v>18.170000000000002</v>
      </c>
      <c r="R39" s="1424">
        <v>18.170000000000002</v>
      </c>
      <c r="S39" s="1424">
        <v>18.170000000000002</v>
      </c>
      <c r="T39" s="1424">
        <v>18.170000000000002</v>
      </c>
      <c r="U39" s="1424">
        <v>18.170000000000002</v>
      </c>
      <c r="V39" s="1424">
        <v>18.170000000000002</v>
      </c>
      <c r="W39" s="1424">
        <v>18.170000000000002</v>
      </c>
      <c r="X39" s="1424">
        <v>18.170000000000002</v>
      </c>
      <c r="Y39" s="1424">
        <v>18.170000000000002</v>
      </c>
      <c r="Z39" s="1424">
        <v>18.170000000000002</v>
      </c>
      <c r="AA39" s="1424">
        <v>18.170000000000002</v>
      </c>
      <c r="AB39" s="1424">
        <v>18.170000000000002</v>
      </c>
      <c r="AC39" s="1424">
        <v>18.170000000000002</v>
      </c>
      <c r="AD39" s="1424">
        <v>18.170000000000002</v>
      </c>
      <c r="AE39" s="1424">
        <v>18.170000000000002</v>
      </c>
      <c r="AF39" s="1424">
        <v>18.170000000000002</v>
      </c>
      <c r="AG39" s="1424">
        <v>18.170000000000002</v>
      </c>
      <c r="AH39" s="1424">
        <v>18.170000000000002</v>
      </c>
      <c r="AI39" s="1424">
        <v>18.170000000000002</v>
      </c>
      <c r="AJ39" s="1424">
        <v>18.170000000000002</v>
      </c>
      <c r="AK39" s="1424">
        <v>18.170000000000002</v>
      </c>
      <c r="AL39" s="1424">
        <v>18.170000000000002</v>
      </c>
      <c r="AM39" s="1424">
        <v>18.170000000000002</v>
      </c>
      <c r="AN39" s="1424">
        <v>18.170000000000002</v>
      </c>
      <c r="AO39" s="1424">
        <v>18.170000000000002</v>
      </c>
      <c r="AP39" s="1424">
        <v>18.170000000000002</v>
      </c>
      <c r="AQ39" s="1424">
        <v>18.170000000000002</v>
      </c>
      <c r="AR39" s="1424">
        <v>18.170000000000002</v>
      </c>
      <c r="AS39" s="1424">
        <v>18.170000000000002</v>
      </c>
      <c r="AT39" s="1424">
        <v>18.170000000000002</v>
      </c>
      <c r="AU39" s="1424">
        <v>18.170000000000002</v>
      </c>
      <c r="AV39" s="1424">
        <v>18.170000000000002</v>
      </c>
      <c r="AW39" s="1424">
        <v>18.170000000000002</v>
      </c>
      <c r="AX39" s="1424">
        <v>18.170000000000002</v>
      </c>
      <c r="AY39" s="1424">
        <v>18.170000000000002</v>
      </c>
      <c r="AZ39" s="1424">
        <v>18.170000000000002</v>
      </c>
      <c r="BA39" s="1424">
        <v>18.170000000000002</v>
      </c>
      <c r="BB39" s="1424">
        <v>18.170000000000002</v>
      </c>
      <c r="BC39" s="1424">
        <v>18.170000000000002</v>
      </c>
      <c r="BD39" s="1424">
        <v>18.170000000000002</v>
      </c>
      <c r="BE39" s="1424">
        <v>18.170000000000002</v>
      </c>
      <c r="BF39" s="1424">
        <v>18.170000000000002</v>
      </c>
      <c r="BG39" s="1424">
        <v>18.170000000000002</v>
      </c>
      <c r="BH39" s="1424">
        <v>18.170000000000002</v>
      </c>
      <c r="BI39" s="1424">
        <v>18.170000000000002</v>
      </c>
      <c r="BJ39" s="1424">
        <v>18.170000000000002</v>
      </c>
      <c r="BK39" s="1424">
        <v>18.170000000000002</v>
      </c>
      <c r="BL39" s="1424">
        <v>18.170000000000002</v>
      </c>
      <c r="BM39" s="1424">
        <v>18.170000000000002</v>
      </c>
      <c r="BN39" s="1424">
        <v>18.170000000000002</v>
      </c>
      <c r="BO39" s="1424">
        <v>18.170000000000002</v>
      </c>
      <c r="BP39" s="580"/>
      <c r="BQ39" s="580"/>
      <c r="BR39" s="580"/>
      <c r="BS39" s="580"/>
      <c r="BT39" s="580"/>
      <c r="BU39" s="580"/>
      <c r="BV39" s="580"/>
      <c r="BW39" s="580"/>
      <c r="BX39" s="580"/>
      <c r="BY39" s="580"/>
      <c r="BZ39" s="580"/>
      <c r="CA39" s="580"/>
      <c r="CB39" s="580"/>
      <c r="CC39" s="580"/>
      <c r="CD39" s="580"/>
      <c r="CE39" s="580"/>
      <c r="CF39" s="580"/>
      <c r="CG39" s="580"/>
      <c r="CH39" s="580"/>
      <c r="CI39" s="581"/>
      <c r="CK39" s="1363"/>
    </row>
    <row r="40" spans="1:89" s="1362" customFormat="1" x14ac:dyDescent="0.25">
      <c r="A40" s="1353"/>
      <c r="B40" s="579" t="s">
        <v>392</v>
      </c>
      <c r="C40" s="582" t="s">
        <v>393</v>
      </c>
      <c r="D40" s="573" t="s">
        <v>79</v>
      </c>
      <c r="E40" s="574" t="s">
        <v>146</v>
      </c>
      <c r="F40" s="575">
        <v>2</v>
      </c>
      <c r="G40" s="576"/>
      <c r="H40" s="576"/>
      <c r="I40" s="576">
        <v>4.2699999999999996</v>
      </c>
      <c r="J40" s="576">
        <v>4.2699999999999996</v>
      </c>
      <c r="K40" s="576">
        <v>4.2699999999999996</v>
      </c>
      <c r="L40" s="576">
        <v>4.2699999999999996</v>
      </c>
      <c r="M40" s="1424">
        <v>4.2699999999999996</v>
      </c>
      <c r="N40" s="1424">
        <v>4.2699999999999996</v>
      </c>
      <c r="O40" s="1424">
        <v>4.2699999999999996</v>
      </c>
      <c r="P40" s="1424">
        <v>4.2699999999999996</v>
      </c>
      <c r="Q40" s="1424">
        <v>4.2699999999999996</v>
      </c>
      <c r="R40" s="1424">
        <v>4.2699999999999996</v>
      </c>
      <c r="S40" s="1424">
        <v>4.2699999999999996</v>
      </c>
      <c r="T40" s="1424">
        <v>4.2699999999999996</v>
      </c>
      <c r="U40" s="1424">
        <v>4.2699999999999996</v>
      </c>
      <c r="V40" s="1424">
        <v>4.2699999999999996</v>
      </c>
      <c r="W40" s="1424">
        <v>4.2699999999999996</v>
      </c>
      <c r="X40" s="1424">
        <v>4.2699999999999996</v>
      </c>
      <c r="Y40" s="1424">
        <v>4.2699999999999996</v>
      </c>
      <c r="Z40" s="1424">
        <v>4.2699999999999996</v>
      </c>
      <c r="AA40" s="1424">
        <v>4.2699999999999996</v>
      </c>
      <c r="AB40" s="1424">
        <v>4.22</v>
      </c>
      <c r="AC40" s="1424">
        <v>4.22</v>
      </c>
      <c r="AD40" s="1424">
        <v>4.22</v>
      </c>
      <c r="AE40" s="1424">
        <v>4.22</v>
      </c>
      <c r="AF40" s="1424">
        <v>4.22</v>
      </c>
      <c r="AG40" s="1424">
        <v>4.22</v>
      </c>
      <c r="AH40" s="1424">
        <v>4.22</v>
      </c>
      <c r="AI40" s="1424">
        <v>4.22</v>
      </c>
      <c r="AJ40" s="1424">
        <v>4.22</v>
      </c>
      <c r="AK40" s="1424">
        <v>4.22</v>
      </c>
      <c r="AL40" s="1424">
        <v>4.22</v>
      </c>
      <c r="AM40" s="1424">
        <v>4.22</v>
      </c>
      <c r="AN40" s="1424">
        <v>4.22</v>
      </c>
      <c r="AO40" s="1424">
        <v>4.22</v>
      </c>
      <c r="AP40" s="1424">
        <v>4.22</v>
      </c>
      <c r="AQ40" s="1424">
        <v>4.22</v>
      </c>
      <c r="AR40" s="1424">
        <v>4.22</v>
      </c>
      <c r="AS40" s="1424">
        <v>4.22</v>
      </c>
      <c r="AT40" s="1424">
        <v>4.22</v>
      </c>
      <c r="AU40" s="1424">
        <v>4.22</v>
      </c>
      <c r="AV40" s="1424">
        <v>4.22</v>
      </c>
      <c r="AW40" s="1424">
        <v>4.22</v>
      </c>
      <c r="AX40" s="1424">
        <v>4.22</v>
      </c>
      <c r="AY40" s="1424">
        <v>4.22</v>
      </c>
      <c r="AZ40" s="1424">
        <v>4.22</v>
      </c>
      <c r="BA40" s="1424">
        <v>4.22</v>
      </c>
      <c r="BB40" s="1424">
        <v>4.22</v>
      </c>
      <c r="BC40" s="1424">
        <v>4.22</v>
      </c>
      <c r="BD40" s="1424">
        <v>4.22</v>
      </c>
      <c r="BE40" s="1424">
        <v>4.22</v>
      </c>
      <c r="BF40" s="1424">
        <v>4.22</v>
      </c>
      <c r="BG40" s="1424">
        <v>4.22</v>
      </c>
      <c r="BH40" s="1424">
        <v>4.22</v>
      </c>
      <c r="BI40" s="1424">
        <v>4.22</v>
      </c>
      <c r="BJ40" s="1424">
        <v>4.22</v>
      </c>
      <c r="BK40" s="1424">
        <v>4.22</v>
      </c>
      <c r="BL40" s="1424">
        <v>4.22</v>
      </c>
      <c r="BM40" s="1424">
        <v>4.22</v>
      </c>
      <c r="BN40" s="1424">
        <v>4.22</v>
      </c>
      <c r="BO40" s="1424">
        <v>4.22</v>
      </c>
      <c r="BP40" s="580"/>
      <c r="BQ40" s="580"/>
      <c r="BR40" s="580"/>
      <c r="BS40" s="580"/>
      <c r="BT40" s="580"/>
      <c r="BU40" s="580"/>
      <c r="BV40" s="580"/>
      <c r="BW40" s="580"/>
      <c r="BX40" s="580"/>
      <c r="BY40" s="580"/>
      <c r="BZ40" s="580"/>
      <c r="CA40" s="580"/>
      <c r="CB40" s="580"/>
      <c r="CC40" s="580"/>
      <c r="CD40" s="580"/>
      <c r="CE40" s="580"/>
      <c r="CF40" s="580"/>
      <c r="CG40" s="580"/>
      <c r="CH40" s="580"/>
      <c r="CI40" s="581"/>
      <c r="CK40" s="1363"/>
    </row>
    <row r="41" spans="1:89" s="1362" customFormat="1" x14ac:dyDescent="0.25">
      <c r="A41" s="1353"/>
      <c r="B41" s="585" t="s">
        <v>394</v>
      </c>
      <c r="C41" s="586" t="s">
        <v>297</v>
      </c>
      <c r="D41" s="586" t="s">
        <v>395</v>
      </c>
      <c r="E41" s="587" t="s">
        <v>146</v>
      </c>
      <c r="F41" s="575">
        <v>2</v>
      </c>
      <c r="G41" s="583"/>
      <c r="H41" s="583"/>
      <c r="I41" s="583">
        <f>(I30+I32)-(I39+I40)</f>
        <v>323.03625</v>
      </c>
      <c r="J41" s="583">
        <f t="shared" ref="J41:BS41" si="9">(J30+J32)-(J39+J40)</f>
        <v>318.17</v>
      </c>
      <c r="K41" s="583">
        <f t="shared" si="9"/>
        <v>317.76375000000002</v>
      </c>
      <c r="L41" s="583">
        <f t="shared" si="9"/>
        <v>317.35750000000002</v>
      </c>
      <c r="M41" s="588">
        <f t="shared" si="9"/>
        <v>315.95125000000002</v>
      </c>
      <c r="N41" s="588">
        <f t="shared" si="9"/>
        <v>315.54500000000002</v>
      </c>
      <c r="O41" s="588">
        <f t="shared" si="9"/>
        <v>315.13875000000002</v>
      </c>
      <c r="P41" s="588">
        <f t="shared" si="9"/>
        <v>314.73250000000002</v>
      </c>
      <c r="Q41" s="588">
        <f t="shared" si="9"/>
        <v>314.32625000000002</v>
      </c>
      <c r="R41" s="588">
        <f t="shared" si="9"/>
        <v>312.3</v>
      </c>
      <c r="S41" s="588">
        <f t="shared" si="9"/>
        <v>311.89375000000001</v>
      </c>
      <c r="T41" s="588">
        <f t="shared" si="9"/>
        <v>311.48750000000001</v>
      </c>
      <c r="U41" s="588">
        <f t="shared" si="9"/>
        <v>311.08125000000001</v>
      </c>
      <c r="V41" s="588">
        <f t="shared" si="9"/>
        <v>310.67500000000001</v>
      </c>
      <c r="W41" s="588">
        <f t="shared" si="9"/>
        <v>310.26875000000001</v>
      </c>
      <c r="X41" s="588">
        <f t="shared" si="9"/>
        <v>309.86250000000001</v>
      </c>
      <c r="Y41" s="588">
        <f t="shared" si="9"/>
        <v>309.45625000000001</v>
      </c>
      <c r="Z41" s="588">
        <f t="shared" si="9"/>
        <v>309.05</v>
      </c>
      <c r="AA41" s="588">
        <f t="shared" si="9"/>
        <v>308.64375000000001</v>
      </c>
      <c r="AB41" s="588">
        <f t="shared" si="9"/>
        <v>308.28750000000002</v>
      </c>
      <c r="AC41" s="588">
        <f t="shared" si="9"/>
        <v>307.88125000000002</v>
      </c>
      <c r="AD41" s="588">
        <f t="shared" si="9"/>
        <v>307.47500000000002</v>
      </c>
      <c r="AE41" s="588">
        <f t="shared" si="9"/>
        <v>307.06875000000002</v>
      </c>
      <c r="AF41" s="588">
        <f t="shared" si="9"/>
        <v>306.66250000000002</v>
      </c>
      <c r="AG41" s="588">
        <f t="shared" si="9"/>
        <v>306.25625000000002</v>
      </c>
      <c r="AH41" s="588">
        <f t="shared" si="9"/>
        <v>305.85000000000002</v>
      </c>
      <c r="AI41" s="588">
        <f t="shared" si="9"/>
        <v>305.44375000000002</v>
      </c>
      <c r="AJ41" s="588">
        <f t="shared" si="9"/>
        <v>305.03750000000002</v>
      </c>
      <c r="AK41" s="588">
        <f t="shared" si="9"/>
        <v>304.63125000000002</v>
      </c>
      <c r="AL41" s="588">
        <f t="shared" si="9"/>
        <v>304.22500000000002</v>
      </c>
      <c r="AM41" s="588">
        <f t="shared" si="9"/>
        <v>303.81875000000002</v>
      </c>
      <c r="AN41" s="588">
        <f t="shared" si="9"/>
        <v>303.41250000000002</v>
      </c>
      <c r="AO41" s="588">
        <f t="shared" si="9"/>
        <v>303.00625000000002</v>
      </c>
      <c r="AP41" s="588">
        <f t="shared" si="9"/>
        <v>302.60000000000002</v>
      </c>
      <c r="AQ41" s="588">
        <f t="shared" si="9"/>
        <v>302.19375000000002</v>
      </c>
      <c r="AR41" s="588">
        <f t="shared" si="9"/>
        <v>301.78750000000002</v>
      </c>
      <c r="AS41" s="588">
        <f t="shared" si="9"/>
        <v>301.38125000000002</v>
      </c>
      <c r="AT41" s="588">
        <f t="shared" si="9"/>
        <v>300.97500000000002</v>
      </c>
      <c r="AU41" s="588">
        <f t="shared" si="9"/>
        <v>300.56875000000002</v>
      </c>
      <c r="AV41" s="588">
        <f t="shared" si="9"/>
        <v>300.16250000000002</v>
      </c>
      <c r="AW41" s="588">
        <f t="shared" si="9"/>
        <v>299.75625000000002</v>
      </c>
      <c r="AX41" s="588">
        <f t="shared" si="9"/>
        <v>299.35000000000002</v>
      </c>
      <c r="AY41" s="588">
        <f t="shared" si="9"/>
        <v>298.94375000000002</v>
      </c>
      <c r="AZ41" s="588">
        <f t="shared" si="9"/>
        <v>298.53750000000002</v>
      </c>
      <c r="BA41" s="588">
        <f t="shared" si="9"/>
        <v>298.13125000000002</v>
      </c>
      <c r="BB41" s="588">
        <f t="shared" si="9"/>
        <v>297.72500000000002</v>
      </c>
      <c r="BC41" s="588">
        <f t="shared" si="9"/>
        <v>297.31875000000002</v>
      </c>
      <c r="BD41" s="588">
        <f t="shared" si="9"/>
        <v>296.91250000000002</v>
      </c>
      <c r="BE41" s="588">
        <f t="shared" si="9"/>
        <v>296.50625000000002</v>
      </c>
      <c r="BF41" s="588">
        <f t="shared" si="9"/>
        <v>296.10000000000002</v>
      </c>
      <c r="BG41" s="588">
        <f t="shared" si="9"/>
        <v>295.69375000000002</v>
      </c>
      <c r="BH41" s="588">
        <f t="shared" si="9"/>
        <v>295.28750000000002</v>
      </c>
      <c r="BI41" s="588">
        <f t="shared" si="9"/>
        <v>294.88125000000002</v>
      </c>
      <c r="BJ41" s="588">
        <f t="shared" si="9"/>
        <v>294.47500000000002</v>
      </c>
      <c r="BK41" s="588">
        <f t="shared" si="9"/>
        <v>294.06875000000002</v>
      </c>
      <c r="BL41" s="588">
        <f t="shared" si="9"/>
        <v>293.66250000000002</v>
      </c>
      <c r="BM41" s="588">
        <f t="shared" si="9"/>
        <v>293.25625000000002</v>
      </c>
      <c r="BN41" s="588">
        <f t="shared" si="9"/>
        <v>292.85000000000002</v>
      </c>
      <c r="BO41" s="588">
        <f t="shared" si="9"/>
        <v>292.44375000000002</v>
      </c>
      <c r="BP41" s="588">
        <f t="shared" si="9"/>
        <v>0</v>
      </c>
      <c r="BQ41" s="588">
        <f t="shared" si="9"/>
        <v>0</v>
      </c>
      <c r="BR41" s="588">
        <f t="shared" si="9"/>
        <v>0</v>
      </c>
      <c r="BS41" s="588">
        <f t="shared" si="9"/>
        <v>0</v>
      </c>
      <c r="BT41" s="588">
        <f t="shared" ref="BT41:CI41" si="10">(BT30+BT32)-(BT39+BT40)</f>
        <v>0</v>
      </c>
      <c r="BU41" s="588">
        <f t="shared" si="10"/>
        <v>0</v>
      </c>
      <c r="BV41" s="588">
        <f t="shared" si="10"/>
        <v>0</v>
      </c>
      <c r="BW41" s="588">
        <f t="shared" si="10"/>
        <v>0</v>
      </c>
      <c r="BX41" s="588">
        <f t="shared" si="10"/>
        <v>0</v>
      </c>
      <c r="BY41" s="588">
        <f t="shared" si="10"/>
        <v>0</v>
      </c>
      <c r="BZ41" s="588">
        <f t="shared" si="10"/>
        <v>0</v>
      </c>
      <c r="CA41" s="588">
        <f t="shared" si="10"/>
        <v>0</v>
      </c>
      <c r="CB41" s="588">
        <f t="shared" si="10"/>
        <v>0</v>
      </c>
      <c r="CC41" s="588">
        <f t="shared" si="10"/>
        <v>0</v>
      </c>
      <c r="CD41" s="588">
        <f t="shared" si="10"/>
        <v>0</v>
      </c>
      <c r="CE41" s="588">
        <f t="shared" si="10"/>
        <v>0</v>
      </c>
      <c r="CF41" s="588">
        <f t="shared" si="10"/>
        <v>0</v>
      </c>
      <c r="CG41" s="588">
        <f t="shared" si="10"/>
        <v>0</v>
      </c>
      <c r="CH41" s="588">
        <f t="shared" si="10"/>
        <v>0</v>
      </c>
      <c r="CI41" s="584">
        <f t="shared" si="10"/>
        <v>0</v>
      </c>
      <c r="CK41" s="1363"/>
    </row>
    <row r="42" spans="1:89" s="1362" customFormat="1" ht="14.4" thickBot="1" x14ac:dyDescent="0.3">
      <c r="A42" s="1353"/>
      <c r="B42" s="591" t="s">
        <v>396</v>
      </c>
      <c r="C42" s="592" t="s">
        <v>300</v>
      </c>
      <c r="D42" s="592" t="s">
        <v>397</v>
      </c>
      <c r="E42" s="593" t="s">
        <v>146</v>
      </c>
      <c r="F42" s="594">
        <v>2</v>
      </c>
      <c r="G42" s="595"/>
      <c r="H42" s="595"/>
      <c r="I42" s="595">
        <f>I41+SUM(I26:I29)</f>
        <v>312.91624999999999</v>
      </c>
      <c r="J42" s="595">
        <f t="shared" ref="J42:BS42" si="11">J41+SUM(J26:J29)</f>
        <v>308.05</v>
      </c>
      <c r="K42" s="595">
        <f t="shared" si="11"/>
        <v>307.64375000000001</v>
      </c>
      <c r="L42" s="595">
        <f t="shared" si="11"/>
        <v>307.23750000000001</v>
      </c>
      <c r="M42" s="595">
        <f>M41+SUM(M26:M29)</f>
        <v>312.80125000000004</v>
      </c>
      <c r="N42" s="595">
        <f t="shared" si="11"/>
        <v>312.39500000000004</v>
      </c>
      <c r="O42" s="595">
        <f t="shared" si="11"/>
        <v>311.98875000000004</v>
      </c>
      <c r="P42" s="595">
        <f t="shared" si="11"/>
        <v>311.58250000000004</v>
      </c>
      <c r="Q42" s="595">
        <f t="shared" si="11"/>
        <v>311.17625000000004</v>
      </c>
      <c r="R42" s="595">
        <f t="shared" si="11"/>
        <v>309.15000000000003</v>
      </c>
      <c r="S42" s="595">
        <f t="shared" si="11"/>
        <v>308.74375000000003</v>
      </c>
      <c r="T42" s="595">
        <f t="shared" si="11"/>
        <v>308.33750000000003</v>
      </c>
      <c r="U42" s="595">
        <f t="shared" si="11"/>
        <v>307.93125000000003</v>
      </c>
      <c r="V42" s="595">
        <f t="shared" si="11"/>
        <v>307.52500000000003</v>
      </c>
      <c r="W42" s="595">
        <f t="shared" si="11"/>
        <v>303.11875000000003</v>
      </c>
      <c r="X42" s="595">
        <f t="shared" si="11"/>
        <v>302.71250000000003</v>
      </c>
      <c r="Y42" s="595">
        <f t="shared" si="11"/>
        <v>302.30625000000003</v>
      </c>
      <c r="Z42" s="595">
        <f t="shared" si="11"/>
        <v>301.90000000000003</v>
      </c>
      <c r="AA42" s="595">
        <f t="shared" si="11"/>
        <v>301.49375000000003</v>
      </c>
      <c r="AB42" s="595">
        <f t="shared" si="11"/>
        <v>301.13750000000005</v>
      </c>
      <c r="AC42" s="595">
        <f t="shared" si="11"/>
        <v>300.73125000000005</v>
      </c>
      <c r="AD42" s="595">
        <f t="shared" si="11"/>
        <v>300.32500000000005</v>
      </c>
      <c r="AE42" s="595">
        <f t="shared" si="11"/>
        <v>299.91875000000005</v>
      </c>
      <c r="AF42" s="595">
        <f t="shared" si="11"/>
        <v>299.51250000000005</v>
      </c>
      <c r="AG42" s="595">
        <f t="shared" si="11"/>
        <v>299.10625000000005</v>
      </c>
      <c r="AH42" s="595">
        <f t="shared" si="11"/>
        <v>298.70000000000005</v>
      </c>
      <c r="AI42" s="595">
        <f t="shared" si="11"/>
        <v>298.29375000000005</v>
      </c>
      <c r="AJ42" s="595">
        <f t="shared" si="11"/>
        <v>297.88750000000005</v>
      </c>
      <c r="AK42" s="595">
        <f t="shared" si="11"/>
        <v>297.48125000000005</v>
      </c>
      <c r="AL42" s="595">
        <f t="shared" si="11"/>
        <v>297.07500000000005</v>
      </c>
      <c r="AM42" s="595">
        <f t="shared" si="11"/>
        <v>296.66875000000005</v>
      </c>
      <c r="AN42" s="595">
        <f t="shared" si="11"/>
        <v>296.26250000000005</v>
      </c>
      <c r="AO42" s="595">
        <f t="shared" si="11"/>
        <v>295.85625000000005</v>
      </c>
      <c r="AP42" s="595">
        <f t="shared" si="11"/>
        <v>295.45000000000005</v>
      </c>
      <c r="AQ42" s="595">
        <f t="shared" si="11"/>
        <v>295.04375000000005</v>
      </c>
      <c r="AR42" s="595">
        <f t="shared" si="11"/>
        <v>294.63750000000005</v>
      </c>
      <c r="AS42" s="595">
        <f t="shared" si="11"/>
        <v>294.23125000000005</v>
      </c>
      <c r="AT42" s="595">
        <f t="shared" si="11"/>
        <v>293.82500000000005</v>
      </c>
      <c r="AU42" s="595">
        <f t="shared" si="11"/>
        <v>293.41875000000005</v>
      </c>
      <c r="AV42" s="595">
        <f t="shared" si="11"/>
        <v>293.01250000000005</v>
      </c>
      <c r="AW42" s="595">
        <f t="shared" si="11"/>
        <v>292.60625000000005</v>
      </c>
      <c r="AX42" s="595">
        <f t="shared" si="11"/>
        <v>292.20000000000005</v>
      </c>
      <c r="AY42" s="595">
        <f t="shared" si="11"/>
        <v>291.79375000000005</v>
      </c>
      <c r="AZ42" s="595">
        <f t="shared" si="11"/>
        <v>291.38750000000005</v>
      </c>
      <c r="BA42" s="595">
        <f t="shared" si="11"/>
        <v>290.98125000000005</v>
      </c>
      <c r="BB42" s="595">
        <f t="shared" si="11"/>
        <v>290.57500000000005</v>
      </c>
      <c r="BC42" s="595">
        <f t="shared" si="11"/>
        <v>290.16875000000005</v>
      </c>
      <c r="BD42" s="595">
        <f t="shared" si="11"/>
        <v>289.76250000000005</v>
      </c>
      <c r="BE42" s="595">
        <f t="shared" si="11"/>
        <v>289.35625000000005</v>
      </c>
      <c r="BF42" s="595">
        <f t="shared" si="11"/>
        <v>288.95000000000005</v>
      </c>
      <c r="BG42" s="595">
        <f t="shared" si="11"/>
        <v>288.54375000000005</v>
      </c>
      <c r="BH42" s="595">
        <f t="shared" si="11"/>
        <v>288.13750000000005</v>
      </c>
      <c r="BI42" s="595">
        <f t="shared" si="11"/>
        <v>287.73125000000005</v>
      </c>
      <c r="BJ42" s="595">
        <f t="shared" si="11"/>
        <v>287.32500000000005</v>
      </c>
      <c r="BK42" s="595">
        <f t="shared" si="11"/>
        <v>286.91875000000005</v>
      </c>
      <c r="BL42" s="595">
        <f t="shared" si="11"/>
        <v>286.51250000000005</v>
      </c>
      <c r="BM42" s="595">
        <f t="shared" si="11"/>
        <v>286.10625000000005</v>
      </c>
      <c r="BN42" s="595">
        <f t="shared" si="11"/>
        <v>285.70000000000005</v>
      </c>
      <c r="BO42" s="595">
        <f t="shared" si="11"/>
        <v>285.29375000000005</v>
      </c>
      <c r="BP42" s="595">
        <f t="shared" si="11"/>
        <v>0</v>
      </c>
      <c r="BQ42" s="595">
        <f t="shared" si="11"/>
        <v>0</v>
      </c>
      <c r="BR42" s="595">
        <f t="shared" si="11"/>
        <v>0</v>
      </c>
      <c r="BS42" s="595">
        <f t="shared" si="11"/>
        <v>0</v>
      </c>
      <c r="BT42" s="595">
        <f t="shared" ref="BT42:CI42" si="12">BT41+SUM(BT26:BT29)</f>
        <v>0</v>
      </c>
      <c r="BU42" s="595">
        <f t="shared" si="12"/>
        <v>0</v>
      </c>
      <c r="BV42" s="595">
        <f t="shared" si="12"/>
        <v>0</v>
      </c>
      <c r="BW42" s="595">
        <f t="shared" si="12"/>
        <v>0</v>
      </c>
      <c r="BX42" s="595">
        <f t="shared" si="12"/>
        <v>0</v>
      </c>
      <c r="BY42" s="595">
        <f t="shared" si="12"/>
        <v>0</v>
      </c>
      <c r="BZ42" s="595">
        <f t="shared" si="12"/>
        <v>0</v>
      </c>
      <c r="CA42" s="595">
        <f t="shared" si="12"/>
        <v>0</v>
      </c>
      <c r="CB42" s="595">
        <f t="shared" si="12"/>
        <v>0</v>
      </c>
      <c r="CC42" s="595">
        <f t="shared" si="12"/>
        <v>0</v>
      </c>
      <c r="CD42" s="595">
        <f t="shared" si="12"/>
        <v>0</v>
      </c>
      <c r="CE42" s="595">
        <f t="shared" si="12"/>
        <v>0</v>
      </c>
      <c r="CF42" s="595">
        <f t="shared" si="12"/>
        <v>0</v>
      </c>
      <c r="CG42" s="595">
        <f t="shared" si="12"/>
        <v>0</v>
      </c>
      <c r="CH42" s="595">
        <f t="shared" si="12"/>
        <v>0</v>
      </c>
      <c r="CI42" s="596">
        <f t="shared" si="12"/>
        <v>0</v>
      </c>
      <c r="CK42" s="1363"/>
    </row>
    <row r="43" spans="1:89" s="1362" customFormat="1" x14ac:dyDescent="0.25">
      <c r="A43" s="1353"/>
      <c r="B43" s="1076" t="s">
        <v>398</v>
      </c>
      <c r="C43" s="600" t="s">
        <v>399</v>
      </c>
      <c r="D43" s="1077" t="s">
        <v>79</v>
      </c>
      <c r="E43" s="1078" t="s">
        <v>146</v>
      </c>
      <c r="F43" s="1079">
        <v>2</v>
      </c>
      <c r="G43" s="568"/>
      <c r="H43" s="568"/>
      <c r="I43" s="568">
        <v>57.640997724184139</v>
      </c>
      <c r="J43" s="568">
        <v>57.782402056566205</v>
      </c>
      <c r="K43" s="568">
        <v>58.075564216048981</v>
      </c>
      <c r="L43" s="568">
        <v>58.241845668969383</v>
      </c>
      <c r="M43" s="1424">
        <v>58.382087970085024</v>
      </c>
      <c r="N43" s="1424">
        <v>58.485483767240197</v>
      </c>
      <c r="O43" s="1424">
        <v>58.583623077992179</v>
      </c>
      <c r="P43" s="1424">
        <v>58.699638025741031</v>
      </c>
      <c r="Q43" s="1424">
        <v>58.828235325398403</v>
      </c>
      <c r="R43" s="1424">
        <v>58.934290909186075</v>
      </c>
      <c r="S43" s="1424">
        <v>59.04458239393874</v>
      </c>
      <c r="T43" s="1424">
        <v>59.150588737615003</v>
      </c>
      <c r="U43" s="1424">
        <v>59.263790978754223</v>
      </c>
      <c r="V43" s="1424">
        <v>59.350777012019122</v>
      </c>
      <c r="W43" s="1424">
        <v>59.444345491690946</v>
      </c>
      <c r="X43" s="1424">
        <v>59.527503564269068</v>
      </c>
      <c r="Y43" s="1424">
        <v>59.716616300890138</v>
      </c>
      <c r="Z43" s="1424">
        <v>59.940570938496478</v>
      </c>
      <c r="AA43" s="1424">
        <v>60.118159409792739</v>
      </c>
      <c r="AB43" s="1424">
        <v>60.351742779991824</v>
      </c>
      <c r="AC43" s="1424">
        <v>60.51688368279725</v>
      </c>
      <c r="AD43" s="1424">
        <v>60.685671549849829</v>
      </c>
      <c r="AE43" s="1424">
        <v>60.857989949241897</v>
      </c>
      <c r="AF43" s="1424">
        <v>61.033728996631702</v>
      </c>
      <c r="AG43" s="1424">
        <v>61.2127869898437</v>
      </c>
      <c r="AH43" s="1424">
        <v>61.395069422839583</v>
      </c>
      <c r="AI43" s="1424">
        <v>61.580487685203728</v>
      </c>
      <c r="AJ43" s="1424">
        <v>61.768958946177769</v>
      </c>
      <c r="AK43" s="1424">
        <v>61.960404960033664</v>
      </c>
      <c r="AL43" s="1424">
        <v>62.154754339324434</v>
      </c>
      <c r="AM43" s="1424">
        <v>62.351938356576383</v>
      </c>
      <c r="AN43" s="1424">
        <v>62.551893306283098</v>
      </c>
      <c r="AO43" s="1424">
        <v>62.754559805078259</v>
      </c>
      <c r="AP43" s="1424">
        <v>62.959881378745791</v>
      </c>
      <c r="AQ43" s="1424">
        <v>63.167805351250252</v>
      </c>
      <c r="AR43" s="1424">
        <v>63.378282616810196</v>
      </c>
      <c r="AS43" s="1424">
        <v>63.591266656366038</v>
      </c>
      <c r="AT43" s="1424">
        <v>63.806713355218335</v>
      </c>
      <c r="AU43" s="1424">
        <v>64.024581578087052</v>
      </c>
      <c r="AV43" s="1424">
        <v>64.244833004445368</v>
      </c>
      <c r="AW43" s="1424">
        <v>64.467430835861308</v>
      </c>
      <c r="AX43" s="1424">
        <v>64.69234117658165</v>
      </c>
      <c r="AY43" s="1424">
        <v>64.919531766251367</v>
      </c>
      <c r="AZ43" s="1424">
        <v>65.148971850392826</v>
      </c>
      <c r="BA43" s="1424">
        <v>65.380633221423182</v>
      </c>
      <c r="BB43" s="1424">
        <v>65.614488585427111</v>
      </c>
      <c r="BC43" s="1424">
        <v>65.850512992321342</v>
      </c>
      <c r="BD43" s="1424">
        <v>66.08868260352844</v>
      </c>
      <c r="BE43" s="1424">
        <v>66.328974611334601</v>
      </c>
      <c r="BF43" s="1424">
        <v>66.571368677416103</v>
      </c>
      <c r="BG43" s="1424">
        <v>66.815844211444755</v>
      </c>
      <c r="BH43" s="1424">
        <v>67.062383325882834</v>
      </c>
      <c r="BI43" s="1424">
        <v>67.310967755560299</v>
      </c>
      <c r="BJ43" s="1424">
        <v>67.56158181948976</v>
      </c>
      <c r="BK43" s="1424">
        <v>67.814209716705989</v>
      </c>
      <c r="BL43" s="1424">
        <v>68.068836996628633</v>
      </c>
      <c r="BM43" s="1424">
        <v>68.325450123804259</v>
      </c>
      <c r="BN43" s="1424">
        <v>68.584036816064241</v>
      </c>
      <c r="BO43" s="1424">
        <v>68.844585240888335</v>
      </c>
      <c r="BP43" s="1423"/>
      <c r="BQ43" s="1423"/>
      <c r="BR43" s="1423"/>
      <c r="BS43" s="1423"/>
      <c r="BT43" s="1423"/>
      <c r="BU43" s="1423"/>
      <c r="BV43" s="1423"/>
      <c r="BW43" s="1423"/>
      <c r="BX43" s="1423"/>
      <c r="BY43" s="1423"/>
      <c r="BZ43" s="1423"/>
      <c r="CA43" s="1423"/>
      <c r="CB43" s="1423"/>
      <c r="CC43" s="1423"/>
      <c r="CD43" s="1423"/>
      <c r="CE43" s="1423"/>
      <c r="CF43" s="1423"/>
      <c r="CG43" s="1423"/>
      <c r="CH43" s="1423"/>
      <c r="CI43" s="1423"/>
      <c r="CK43" s="1363"/>
    </row>
    <row r="44" spans="1:89" s="1362" customFormat="1" x14ac:dyDescent="0.25">
      <c r="A44" s="1353"/>
      <c r="B44" s="1080" t="s">
        <v>400</v>
      </c>
      <c r="C44" s="600" t="s">
        <v>401</v>
      </c>
      <c r="D44" s="1073" t="s">
        <v>79</v>
      </c>
      <c r="E44" s="1074" t="s">
        <v>146</v>
      </c>
      <c r="F44" s="1075">
        <v>2</v>
      </c>
      <c r="G44" s="1061"/>
      <c r="H44" s="1061"/>
      <c r="I44" s="1061">
        <v>0.27</v>
      </c>
      <c r="J44" s="1061">
        <v>0.31</v>
      </c>
      <c r="K44" s="1061">
        <v>0.31</v>
      </c>
      <c r="L44" s="1061">
        <v>0.31</v>
      </c>
      <c r="M44" s="1425">
        <v>0.31</v>
      </c>
      <c r="N44" s="1425">
        <v>0.31</v>
      </c>
      <c r="O44" s="1425">
        <v>0.31</v>
      </c>
      <c r="P44" s="1425">
        <v>0.31</v>
      </c>
      <c r="Q44" s="1425">
        <v>0.31</v>
      </c>
      <c r="R44" s="1425">
        <v>0.31</v>
      </c>
      <c r="S44" s="1425">
        <v>0.31</v>
      </c>
      <c r="T44" s="1425">
        <v>0.31</v>
      </c>
      <c r="U44" s="1425">
        <v>0.31</v>
      </c>
      <c r="V44" s="1425">
        <v>0.31</v>
      </c>
      <c r="W44" s="1425">
        <v>0.31</v>
      </c>
      <c r="X44" s="1425">
        <v>0.31</v>
      </c>
      <c r="Y44" s="1425">
        <v>0.31</v>
      </c>
      <c r="Z44" s="1425">
        <v>0.31</v>
      </c>
      <c r="AA44" s="1425">
        <v>0.31</v>
      </c>
      <c r="AB44" s="1425">
        <v>0.31</v>
      </c>
      <c r="AC44" s="1425">
        <v>0.31</v>
      </c>
      <c r="AD44" s="1425">
        <v>0.31</v>
      </c>
      <c r="AE44" s="1425">
        <v>0.31</v>
      </c>
      <c r="AF44" s="1425">
        <v>0.31</v>
      </c>
      <c r="AG44" s="1425">
        <v>0.31</v>
      </c>
      <c r="AH44" s="1425">
        <v>0.31</v>
      </c>
      <c r="AI44" s="1425">
        <v>0.31</v>
      </c>
      <c r="AJ44" s="1425">
        <v>0.31</v>
      </c>
      <c r="AK44" s="1425">
        <v>0.31</v>
      </c>
      <c r="AL44" s="1425">
        <v>0.31</v>
      </c>
      <c r="AM44" s="1425">
        <v>0.31</v>
      </c>
      <c r="AN44" s="1425">
        <v>0.31</v>
      </c>
      <c r="AO44" s="1425">
        <v>0.31</v>
      </c>
      <c r="AP44" s="1425">
        <v>0.31</v>
      </c>
      <c r="AQ44" s="1425">
        <v>0.31</v>
      </c>
      <c r="AR44" s="1425">
        <v>0.31</v>
      </c>
      <c r="AS44" s="1425">
        <v>0.31</v>
      </c>
      <c r="AT44" s="1425">
        <v>0.31</v>
      </c>
      <c r="AU44" s="1425">
        <v>0.31</v>
      </c>
      <c r="AV44" s="1425">
        <v>0.31</v>
      </c>
      <c r="AW44" s="1425">
        <v>0.31</v>
      </c>
      <c r="AX44" s="1425">
        <v>0.31</v>
      </c>
      <c r="AY44" s="1425">
        <v>0.31</v>
      </c>
      <c r="AZ44" s="1425">
        <v>0.31</v>
      </c>
      <c r="BA44" s="1425">
        <v>0.31</v>
      </c>
      <c r="BB44" s="1425">
        <v>0.31</v>
      </c>
      <c r="BC44" s="1425">
        <v>0.31</v>
      </c>
      <c r="BD44" s="1425">
        <v>0.31</v>
      </c>
      <c r="BE44" s="1425">
        <v>0.31</v>
      </c>
      <c r="BF44" s="1425">
        <v>0.31</v>
      </c>
      <c r="BG44" s="1425">
        <v>0.31</v>
      </c>
      <c r="BH44" s="1425">
        <v>0.31</v>
      </c>
      <c r="BI44" s="1425">
        <v>0.31</v>
      </c>
      <c r="BJ44" s="1425">
        <v>0.31</v>
      </c>
      <c r="BK44" s="1425">
        <v>0.31</v>
      </c>
      <c r="BL44" s="1425">
        <v>0.31</v>
      </c>
      <c r="BM44" s="1425">
        <v>0.31</v>
      </c>
      <c r="BN44" s="1425">
        <v>0.31</v>
      </c>
      <c r="BO44" s="1425">
        <v>0.31</v>
      </c>
      <c r="BP44" s="1425"/>
      <c r="BQ44" s="1425"/>
      <c r="BR44" s="1425"/>
      <c r="BS44" s="1425"/>
      <c r="BT44" s="1425"/>
      <c r="BU44" s="1425"/>
      <c r="BV44" s="1425"/>
      <c r="BW44" s="1425"/>
      <c r="BX44" s="1425"/>
      <c r="BY44" s="1425"/>
      <c r="BZ44" s="1425"/>
      <c r="CA44" s="1425"/>
      <c r="CB44" s="1425"/>
      <c r="CC44" s="1425"/>
      <c r="CD44" s="1425"/>
      <c r="CE44" s="1425"/>
      <c r="CF44" s="1425"/>
      <c r="CG44" s="1425"/>
      <c r="CH44" s="1425"/>
      <c r="CI44" s="1425"/>
      <c r="CK44" s="1363"/>
    </row>
    <row r="45" spans="1:89" s="1362" customFormat="1" x14ac:dyDescent="0.25">
      <c r="A45" s="1353"/>
      <c r="B45" s="1081" t="s">
        <v>402</v>
      </c>
      <c r="C45" s="600" t="s">
        <v>403</v>
      </c>
      <c r="D45" s="1082" t="s">
        <v>79</v>
      </c>
      <c r="E45" s="1083" t="s">
        <v>146</v>
      </c>
      <c r="F45" s="1084">
        <v>2</v>
      </c>
      <c r="G45" s="576"/>
      <c r="H45" s="576"/>
      <c r="I45" s="576">
        <v>0.38238293997670225</v>
      </c>
      <c r="J45" s="576">
        <v>0.38696788527222897</v>
      </c>
      <c r="K45" s="576">
        <v>0.38938231282611263</v>
      </c>
      <c r="L45" s="576">
        <v>0.39017948035294636</v>
      </c>
      <c r="M45" s="1425">
        <v>0.39106386711709518</v>
      </c>
      <c r="N45" s="1425">
        <v>0.39171589488436864</v>
      </c>
      <c r="O45" s="1425">
        <v>0.39233477454322752</v>
      </c>
      <c r="P45" s="1425">
        <v>0.39306638036698671</v>
      </c>
      <c r="Q45" s="1425">
        <v>0.39387733218977927</v>
      </c>
      <c r="R45" s="1425">
        <v>0.39454613292835972</v>
      </c>
      <c r="S45" s="1425">
        <v>0.39524164582667054</v>
      </c>
      <c r="T45" s="1425">
        <v>0.39591013605050107</v>
      </c>
      <c r="U45" s="1425">
        <v>0.39662400456905345</v>
      </c>
      <c r="V45" s="1425">
        <v>0.3971725501638852</v>
      </c>
      <c r="W45" s="1425">
        <v>0.39776260554878262</v>
      </c>
      <c r="X45" s="1425">
        <v>0.39828701151000501</v>
      </c>
      <c r="Y45" s="1425">
        <v>0.39947958179636145</v>
      </c>
      <c r="Z45" s="1425">
        <v>0.40089186978432223</v>
      </c>
      <c r="AA45" s="1425">
        <v>0.40201176650757531</v>
      </c>
      <c r="AB45" s="1425">
        <v>0.4034847745749468</v>
      </c>
      <c r="AC45" s="1425">
        <v>0.4045261752614715</v>
      </c>
      <c r="AD45" s="1425">
        <v>0.40559057419377154</v>
      </c>
      <c r="AE45" s="1425">
        <v>0.40667723713662496</v>
      </c>
      <c r="AF45" s="1425">
        <v>0.40778547114462582</v>
      </c>
      <c r="AG45" s="1425">
        <v>0.4089146348702124</v>
      </c>
      <c r="AH45" s="1425">
        <v>0.41006413234562955</v>
      </c>
      <c r="AI45" s="1425">
        <v>0.41123340478170944</v>
      </c>
      <c r="AJ45" s="1425">
        <v>0.41242192983658099</v>
      </c>
      <c r="AK45" s="1425">
        <v>0.41362921408218312</v>
      </c>
      <c r="AL45" s="1425">
        <v>0.41485480733970603</v>
      </c>
      <c r="AM45" s="1425">
        <v>0.41609827620447049</v>
      </c>
      <c r="AN45" s="1425">
        <v>0.4173592189410138</v>
      </c>
      <c r="AO45" s="1425">
        <v>0.41863726106985211</v>
      </c>
      <c r="AP45" s="1425">
        <v>0.41993204645701865</v>
      </c>
      <c r="AQ45" s="1425">
        <v>0.42124324292035964</v>
      </c>
      <c r="AR45" s="1425">
        <v>0.42257054079222711</v>
      </c>
      <c r="AS45" s="1425">
        <v>0.4239136467171869</v>
      </c>
      <c r="AT45" s="1425">
        <v>0.42527228250204074</v>
      </c>
      <c r="AU45" s="1425">
        <v>0.42664618874218063</v>
      </c>
      <c r="AV45" s="1425">
        <v>0.42803512378323005</v>
      </c>
      <c r="AW45" s="1425">
        <v>0.42943885556934958</v>
      </c>
      <c r="AX45" s="1425">
        <v>0.43085717034935356</v>
      </c>
      <c r="AY45" s="1425">
        <v>0.43228986468512942</v>
      </c>
      <c r="AZ45" s="1425">
        <v>0.43373674463479772</v>
      </c>
      <c r="BA45" s="1425">
        <v>0.43519763231759412</v>
      </c>
      <c r="BB45" s="1425">
        <v>0.436672355614389</v>
      </c>
      <c r="BC45" s="1425">
        <v>0.43816075718662062</v>
      </c>
      <c r="BD45" s="1425">
        <v>0.43966268670503239</v>
      </c>
      <c r="BE45" s="1425">
        <v>0.44117800034110899</v>
      </c>
      <c r="BF45" s="1425">
        <v>0.44270656983866075</v>
      </c>
      <c r="BG45" s="1425">
        <v>0.44424826535231232</v>
      </c>
      <c r="BH45" s="1425">
        <v>0.44580297408084646</v>
      </c>
      <c r="BI45" s="1425">
        <v>0.44737058084167614</v>
      </c>
      <c r="BJ45" s="1425">
        <v>0.44895098674835565</v>
      </c>
      <c r="BK45" s="1425">
        <v>0.45054409215789604</v>
      </c>
      <c r="BL45" s="1425">
        <v>0.45214980594299248</v>
      </c>
      <c r="BM45" s="1425">
        <v>0.453768042747283</v>
      </c>
      <c r="BN45" s="1425">
        <v>0.45539872511772983</v>
      </c>
      <c r="BO45" s="1425">
        <v>0.45704177843690075</v>
      </c>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K45" s="1363"/>
    </row>
    <row r="46" spans="1:89" s="1362" customFormat="1" x14ac:dyDescent="0.25">
      <c r="A46" s="1353"/>
      <c r="B46" s="599" t="s">
        <v>404</v>
      </c>
      <c r="C46" s="600" t="s">
        <v>405</v>
      </c>
      <c r="D46" s="601" t="s">
        <v>79</v>
      </c>
      <c r="E46" s="602" t="s">
        <v>146</v>
      </c>
      <c r="F46" s="603">
        <v>2</v>
      </c>
      <c r="G46" s="576"/>
      <c r="H46" s="576"/>
      <c r="I46" s="576">
        <v>102.56518246599998</v>
      </c>
      <c r="J46" s="576">
        <v>110.34934611038358</v>
      </c>
      <c r="K46" s="576">
        <v>118.69887806594642</v>
      </c>
      <c r="L46" s="576">
        <v>126.11851703384869</v>
      </c>
      <c r="M46" s="576">
        <v>129.41655901276667</v>
      </c>
      <c r="N46" s="576">
        <v>132.65571544498442</v>
      </c>
      <c r="O46" s="576">
        <v>135.57482079298438</v>
      </c>
      <c r="P46" s="576">
        <v>138.34328323011218</v>
      </c>
      <c r="Q46" s="576">
        <v>141.01983497841766</v>
      </c>
      <c r="R46" s="576">
        <v>143.48233978229186</v>
      </c>
      <c r="S46" s="576">
        <v>145.83159265281381</v>
      </c>
      <c r="T46" s="576">
        <v>148.08548636378387</v>
      </c>
      <c r="U46" s="576">
        <v>150.23265102491172</v>
      </c>
      <c r="V46" s="576">
        <v>152.24685576249971</v>
      </c>
      <c r="W46" s="576">
        <v>154.77094426717795</v>
      </c>
      <c r="X46" s="576">
        <v>157.16296344271427</v>
      </c>
      <c r="Y46" s="576">
        <v>159.4890129998775</v>
      </c>
      <c r="Z46" s="576">
        <v>161.74510449455238</v>
      </c>
      <c r="AA46" s="576">
        <v>163.90254118963713</v>
      </c>
      <c r="AB46" s="576">
        <v>165.94011476537923</v>
      </c>
      <c r="AC46" s="576">
        <v>167.95792569348598</v>
      </c>
      <c r="AD46" s="576">
        <v>169.95328232567482</v>
      </c>
      <c r="AE46" s="576">
        <v>171.88676689365036</v>
      </c>
      <c r="AF46" s="576">
        <v>173.77522088629107</v>
      </c>
      <c r="AG46" s="576">
        <v>175.53639974206251</v>
      </c>
      <c r="AH46" s="576">
        <v>177.22096446640163</v>
      </c>
      <c r="AI46" s="576">
        <v>178.8970959719762</v>
      </c>
      <c r="AJ46" s="576">
        <v>180.53473065611112</v>
      </c>
      <c r="AK46" s="576">
        <v>182.10380608318968</v>
      </c>
      <c r="AL46" s="576">
        <v>183.66976666569144</v>
      </c>
      <c r="AM46" s="576">
        <v>185.20480925752881</v>
      </c>
      <c r="AN46" s="576">
        <v>186.67095503047159</v>
      </c>
      <c r="AO46" s="576">
        <v>188.14121630700959</v>
      </c>
      <c r="AP46" s="576">
        <v>189.582424763864</v>
      </c>
      <c r="AQ46" s="576">
        <v>190.95894263721874</v>
      </c>
      <c r="AR46" s="576">
        <v>192.34623352882255</v>
      </c>
      <c r="AS46" s="576">
        <v>193.67385145988891</v>
      </c>
      <c r="AT46" s="576">
        <v>194.51561956644869</v>
      </c>
      <c r="AU46" s="576">
        <v>195.3600351362943</v>
      </c>
      <c r="AV46" s="576">
        <v>196.1675017705831</v>
      </c>
      <c r="AW46" s="576">
        <v>197.00970792002715</v>
      </c>
      <c r="AX46" s="576">
        <v>197.85456869318054</v>
      </c>
      <c r="AY46" s="576">
        <v>198.66251595884165</v>
      </c>
      <c r="AZ46" s="576">
        <v>199.50520963698014</v>
      </c>
      <c r="BA46" s="576">
        <v>200.31360852443333</v>
      </c>
      <c r="BB46" s="576">
        <v>201.15676015788597</v>
      </c>
      <c r="BC46" s="576">
        <v>201.99753863584959</v>
      </c>
      <c r="BD46" s="576">
        <v>202.8066290579101</v>
      </c>
      <c r="BE46" s="576">
        <v>203.65048111332246</v>
      </c>
      <c r="BF46" s="576">
        <v>204.49198596286737</v>
      </c>
      <c r="BG46" s="576">
        <v>205.30181131344813</v>
      </c>
      <c r="BH46" s="576">
        <v>206.14390468872239</v>
      </c>
      <c r="BI46" s="576">
        <v>206.98624411106269</v>
      </c>
      <c r="BJ46" s="576">
        <v>207.79691051895423</v>
      </c>
      <c r="BK46" s="576">
        <v>208.63986439238172</v>
      </c>
      <c r="BL46" s="576">
        <v>209.44865879509931</v>
      </c>
      <c r="BM46" s="576">
        <v>210.29230822059952</v>
      </c>
      <c r="BN46" s="576">
        <v>211.13622590852495</v>
      </c>
      <c r="BO46" s="576">
        <v>211.94599921759232</v>
      </c>
      <c r="BP46" s="1426"/>
      <c r="BQ46" s="1426"/>
      <c r="BR46" s="1426"/>
      <c r="BS46" s="1426"/>
      <c r="BT46" s="1426"/>
      <c r="BU46" s="1426"/>
      <c r="BV46" s="1426"/>
      <c r="BW46" s="1426"/>
      <c r="BX46" s="1426"/>
      <c r="BY46" s="1426"/>
      <c r="BZ46" s="1426"/>
      <c r="CA46" s="1426"/>
      <c r="CB46" s="1426"/>
      <c r="CC46" s="1426"/>
      <c r="CD46" s="1426"/>
      <c r="CE46" s="1426"/>
      <c r="CF46" s="1426"/>
      <c r="CG46" s="1426"/>
      <c r="CH46" s="1426"/>
      <c r="CI46" s="1426"/>
      <c r="CK46" s="1363"/>
    </row>
    <row r="47" spans="1:89" s="1364" customFormat="1" x14ac:dyDescent="0.25">
      <c r="A47" s="1353"/>
      <c r="B47" s="599" t="s">
        <v>406</v>
      </c>
      <c r="C47" s="600" t="s">
        <v>407</v>
      </c>
      <c r="D47" s="601" t="s">
        <v>79</v>
      </c>
      <c r="E47" s="602" t="s">
        <v>146</v>
      </c>
      <c r="F47" s="603">
        <v>2</v>
      </c>
      <c r="G47" s="576"/>
      <c r="H47" s="576"/>
      <c r="I47" s="576">
        <v>93.433155516840003</v>
      </c>
      <c r="J47" s="576">
        <v>83.961200608204976</v>
      </c>
      <c r="K47" s="576">
        <v>75.257292390309829</v>
      </c>
      <c r="L47" s="576">
        <v>67.362120835076439</v>
      </c>
      <c r="M47" s="576">
        <v>64.214523334694377</v>
      </c>
      <c r="N47" s="576">
        <v>61.304259088933001</v>
      </c>
      <c r="O47" s="576">
        <v>58.444088487328145</v>
      </c>
      <c r="P47" s="576">
        <v>55.720181799300057</v>
      </c>
      <c r="Q47" s="576">
        <v>53.124076119112573</v>
      </c>
      <c r="R47" s="576">
        <v>50.647778909356752</v>
      </c>
      <c r="S47" s="576">
        <v>48.288067196842576</v>
      </c>
      <c r="T47" s="576">
        <v>46.043780406740268</v>
      </c>
      <c r="U47" s="576">
        <v>43.905038563867571</v>
      </c>
      <c r="V47" s="576">
        <v>41.867040750179861</v>
      </c>
      <c r="W47" s="576">
        <v>39.925044255266798</v>
      </c>
      <c r="X47" s="576">
        <v>38.074221995340139</v>
      </c>
      <c r="Y47" s="576">
        <v>36.311769836672944</v>
      </c>
      <c r="Z47" s="576">
        <v>34.632056141138506</v>
      </c>
      <c r="AA47" s="576">
        <v>33.100004815278957</v>
      </c>
      <c r="AB47" s="576">
        <v>31.687358634894814</v>
      </c>
      <c r="AC47" s="576">
        <v>30.340126280864624</v>
      </c>
      <c r="AD47" s="576">
        <v>29.054495971510786</v>
      </c>
      <c r="AE47" s="576">
        <v>27.82595591797325</v>
      </c>
      <c r="AF47" s="576">
        <v>26.650012996100291</v>
      </c>
      <c r="AG47" s="576">
        <v>25.528938933446227</v>
      </c>
      <c r="AH47" s="576">
        <v>24.458821096420838</v>
      </c>
      <c r="AI47" s="576">
        <v>23.438126457596706</v>
      </c>
      <c r="AJ47" s="576">
        <v>22.46432792327294</v>
      </c>
      <c r="AK47" s="576">
        <v>21.535049046049863</v>
      </c>
      <c r="AL47" s="576">
        <v>20.648669151589996</v>
      </c>
      <c r="AM47" s="576">
        <v>19.803228049000566</v>
      </c>
      <c r="AN47" s="576">
        <v>18.995975322600835</v>
      </c>
      <c r="AO47" s="576">
        <v>18.226190362585413</v>
      </c>
      <c r="AP47" s="576">
        <v>17.491744851984244</v>
      </c>
      <c r="AQ47" s="576">
        <v>16.7904783098062</v>
      </c>
      <c r="AR47" s="576">
        <v>16.121930131421763</v>
      </c>
      <c r="AS47" s="576">
        <v>15.48374890708741</v>
      </c>
      <c r="AT47" s="576">
        <v>15.469899810880204</v>
      </c>
      <c r="AU47" s="576">
        <v>15.456308063240858</v>
      </c>
      <c r="AV47" s="576">
        <v>15.442332533061109</v>
      </c>
      <c r="AW47" s="576">
        <v>15.428753758831931</v>
      </c>
      <c r="AX47" s="576">
        <v>15.415426759940905</v>
      </c>
      <c r="AY47" s="576">
        <v>15.401722848532147</v>
      </c>
      <c r="AZ47" s="576">
        <v>15.388408095753039</v>
      </c>
      <c r="BA47" s="576">
        <v>15.374881679353575</v>
      </c>
      <c r="BB47" s="576">
        <v>15.361739503285342</v>
      </c>
      <c r="BC47" s="576">
        <v>15.348525403375781</v>
      </c>
      <c r="BD47" s="576">
        <v>15.33526046807156</v>
      </c>
      <c r="BE47" s="576">
        <v>15.322372569113117</v>
      </c>
      <c r="BF47" s="576">
        <v>15.309413986028421</v>
      </c>
      <c r="BG47" s="576">
        <v>15.296404636083551</v>
      </c>
      <c r="BH47" s="576">
        <v>15.283613121677128</v>
      </c>
      <c r="BI47" s="576">
        <v>15.270904449016047</v>
      </c>
      <c r="BJ47" s="576">
        <v>15.258145101907703</v>
      </c>
      <c r="BK47" s="576">
        <v>15.245599818788696</v>
      </c>
      <c r="BL47" s="576">
        <v>15.232855667904447</v>
      </c>
      <c r="BM47" s="576">
        <v>15.220471486725391</v>
      </c>
      <c r="BN47" s="576">
        <v>15.208167164593064</v>
      </c>
      <c r="BO47" s="576">
        <v>15.195666984988694</v>
      </c>
      <c r="BP47" s="1426"/>
      <c r="BQ47" s="1426"/>
      <c r="BR47" s="1426"/>
      <c r="BS47" s="1426"/>
      <c r="BT47" s="1426"/>
      <c r="BU47" s="1426"/>
      <c r="BV47" s="1426"/>
      <c r="BW47" s="1426"/>
      <c r="BX47" s="1426"/>
      <c r="BY47" s="1426"/>
      <c r="BZ47" s="1426"/>
      <c r="CA47" s="1426"/>
      <c r="CB47" s="1426"/>
      <c r="CC47" s="1426"/>
      <c r="CD47" s="1426"/>
      <c r="CE47" s="1426"/>
      <c r="CF47" s="1426"/>
      <c r="CG47" s="1426"/>
      <c r="CH47" s="1426"/>
      <c r="CI47" s="1426"/>
      <c r="CK47" s="1365"/>
    </row>
    <row r="48" spans="1:89" s="1362" customFormat="1" x14ac:dyDescent="0.25">
      <c r="A48" s="1353"/>
      <c r="B48" s="599" t="s">
        <v>408</v>
      </c>
      <c r="C48" s="600" t="s">
        <v>409</v>
      </c>
      <c r="D48" s="601" t="s">
        <v>79</v>
      </c>
      <c r="E48" s="602" t="s">
        <v>285</v>
      </c>
      <c r="F48" s="603">
        <v>1</v>
      </c>
      <c r="G48" s="604"/>
      <c r="H48" s="604"/>
      <c r="I48" s="1471">
        <v>0.13407657142856522</v>
      </c>
      <c r="J48" s="1471">
        <v>0.16759571428570652</v>
      </c>
      <c r="K48" s="1471">
        <v>0.20111485714284782</v>
      </c>
      <c r="L48" s="1471">
        <v>0.23463399999998913</v>
      </c>
      <c r="M48" s="1471">
        <v>0.26815314285715264</v>
      </c>
      <c r="N48" s="1471">
        <v>0.30167228571429394</v>
      </c>
      <c r="O48" s="1471">
        <v>0.33519142857143525</v>
      </c>
      <c r="P48" s="1471">
        <v>0.36871057142857655</v>
      </c>
      <c r="Q48" s="1471">
        <v>0.40222971428571785</v>
      </c>
      <c r="R48" s="1471">
        <v>0.43574885714285916</v>
      </c>
      <c r="S48" s="1471">
        <v>0.46926800000000046</v>
      </c>
      <c r="T48" s="1471">
        <v>0.50278714285714177</v>
      </c>
      <c r="U48" s="1471">
        <v>0.53630628571428307</v>
      </c>
      <c r="V48" s="1471">
        <v>0.56982542857142437</v>
      </c>
      <c r="W48" s="1471">
        <v>0.60334457142856568</v>
      </c>
      <c r="X48" s="1471">
        <v>0.63686371428570698</v>
      </c>
      <c r="Y48" s="1471">
        <v>0.67038285714284829</v>
      </c>
      <c r="Z48" s="1471">
        <v>0.70390199999998959</v>
      </c>
      <c r="AA48" s="1471">
        <v>0.7374211428571531</v>
      </c>
      <c r="AB48" s="1471">
        <v>0.7709402857142944</v>
      </c>
      <c r="AC48" s="1471">
        <v>0.80445942857143571</v>
      </c>
      <c r="AD48" s="1471">
        <v>0.83797857142857701</v>
      </c>
      <c r="AE48" s="1471">
        <v>0.87149771428571832</v>
      </c>
      <c r="AF48" s="1471">
        <v>0.90501685714285962</v>
      </c>
      <c r="AG48" s="1471">
        <v>0.93853600000000093</v>
      </c>
      <c r="AH48" s="1471">
        <v>0.97205514285714223</v>
      </c>
      <c r="AI48" s="1471">
        <v>1.0055742857142835</v>
      </c>
      <c r="AJ48" s="1471">
        <v>1.0390934285714248</v>
      </c>
      <c r="AK48" s="1471">
        <v>1.0726125714285661</v>
      </c>
      <c r="AL48" s="1471">
        <v>1.1061317142857074</v>
      </c>
      <c r="AM48" s="1471">
        <v>1.1396508571428487</v>
      </c>
      <c r="AN48" s="1471">
        <v>1.1731699999999901</v>
      </c>
      <c r="AO48" s="1471">
        <v>1.2066891428571314</v>
      </c>
      <c r="AP48" s="1471">
        <v>1.2402082857142727</v>
      </c>
      <c r="AQ48" s="1471">
        <v>1.273727428571414</v>
      </c>
      <c r="AR48" s="1471">
        <v>1.3072465714285553</v>
      </c>
      <c r="AS48" s="1471">
        <v>1.3407657142856966</v>
      </c>
      <c r="AT48" s="1471">
        <v>1.3742848571428379</v>
      </c>
      <c r="AU48" s="1471">
        <v>1.4078039999999792</v>
      </c>
      <c r="AV48" s="1471">
        <v>1.4413231428571205</v>
      </c>
      <c r="AW48" s="1471">
        <v>1.4748422857142618</v>
      </c>
      <c r="AX48" s="1471">
        <v>1.5083614285714031</v>
      </c>
      <c r="AY48" s="1471">
        <v>1.5418805714285444</v>
      </c>
      <c r="AZ48" s="1471">
        <v>1.5753997142856857</v>
      </c>
      <c r="BA48" s="1471">
        <v>1.608918857142827</v>
      </c>
      <c r="BB48" s="1471">
        <v>1.6424379999999683</v>
      </c>
      <c r="BC48" s="1471">
        <v>1.6759571428571096</v>
      </c>
      <c r="BD48" s="1471">
        <v>1.7094762857142509</v>
      </c>
      <c r="BE48" s="1471">
        <v>1.7429954285713922</v>
      </c>
      <c r="BF48" s="1471">
        <v>1.7765145714285335</v>
      </c>
      <c r="BG48" s="1471">
        <v>1.8100337142856748</v>
      </c>
      <c r="BH48" s="1471">
        <v>1.8435528571428161</v>
      </c>
      <c r="BI48" s="1471">
        <v>1.8770719999999574</v>
      </c>
      <c r="BJ48" s="1471">
        <v>1.9105911428570987</v>
      </c>
      <c r="BK48" s="1471">
        <v>1.94411028571424</v>
      </c>
      <c r="BL48" s="1471">
        <v>1.9776294285713814</v>
      </c>
      <c r="BM48" s="1471">
        <v>2.0111485714285227</v>
      </c>
      <c r="BN48" s="1471">
        <v>2.044667714285664</v>
      </c>
      <c r="BO48" s="1471">
        <v>2.0781868571428053</v>
      </c>
      <c r="BP48" s="1427"/>
      <c r="BQ48" s="1427"/>
      <c r="BR48" s="1427"/>
      <c r="BS48" s="1427"/>
      <c r="BT48" s="1427"/>
      <c r="BU48" s="1427"/>
      <c r="BV48" s="1427"/>
      <c r="BW48" s="1427"/>
      <c r="BX48" s="1427"/>
      <c r="BY48" s="1427"/>
      <c r="BZ48" s="1427"/>
      <c r="CA48" s="1427"/>
      <c r="CB48" s="1427"/>
      <c r="CC48" s="1427"/>
      <c r="CD48" s="1427"/>
      <c r="CE48" s="1427"/>
      <c r="CF48" s="1427"/>
      <c r="CG48" s="1427"/>
      <c r="CH48" s="1427"/>
      <c r="CI48" s="1427"/>
      <c r="CK48" s="1363"/>
    </row>
    <row r="49" spans="1:89" s="1362" customFormat="1" ht="27.6" x14ac:dyDescent="0.25">
      <c r="A49" s="1353"/>
      <c r="B49" s="599" t="s">
        <v>410</v>
      </c>
      <c r="C49" s="600" t="s">
        <v>411</v>
      </c>
      <c r="D49" s="601" t="s">
        <v>412</v>
      </c>
      <c r="E49" s="602" t="s">
        <v>146</v>
      </c>
      <c r="F49" s="603">
        <v>2</v>
      </c>
      <c r="G49" s="607"/>
      <c r="H49" s="607"/>
      <c r="I49" s="607">
        <f t="shared" ref="I49:AL49" si="13">I48*(SUM(I43:I47)-SUM(I55:I58))</f>
        <v>32.772566784581564</v>
      </c>
      <c r="J49" s="607">
        <f t="shared" si="13"/>
        <v>40.894440650042114</v>
      </c>
      <c r="K49" s="607">
        <f t="shared" si="13"/>
        <v>49.017255274034582</v>
      </c>
      <c r="L49" s="607">
        <f t="shared" si="13"/>
        <v>57.137367448236134</v>
      </c>
      <c r="M49" s="607">
        <f t="shared" si="13"/>
        <v>65.442390991201876</v>
      </c>
      <c r="N49" s="607">
        <f t="shared" si="13"/>
        <v>73.753295867911262</v>
      </c>
      <c r="O49" s="607">
        <f t="shared" si="13"/>
        <v>82.000963840664411</v>
      </c>
      <c r="P49" s="607">
        <f t="shared" si="13"/>
        <v>90.260534088921375</v>
      </c>
      <c r="Q49" s="607">
        <f t="shared" si="13"/>
        <v>98.550446830927314</v>
      </c>
      <c r="R49" s="607">
        <f t="shared" si="13"/>
        <v>106.80347907032389</v>
      </c>
      <c r="S49" s="607">
        <f t="shared" si="13"/>
        <v>115.06630595305191</v>
      </c>
      <c r="T49" s="607">
        <f t="shared" si="13"/>
        <v>123.34379277808708</v>
      </c>
      <c r="U49" s="607">
        <f t="shared" si="13"/>
        <v>131.6323234326531</v>
      </c>
      <c r="V49" s="607">
        <f t="shared" si="13"/>
        <v>139.89566517632159</v>
      </c>
      <c r="W49" s="607">
        <f t="shared" si="13"/>
        <v>148.53283404654292</v>
      </c>
      <c r="X49" s="607">
        <f t="shared" si="13"/>
        <v>157.18262117217776</v>
      </c>
      <c r="Y49" s="607">
        <f t="shared" si="13"/>
        <v>165.96079415721135</v>
      </c>
      <c r="Z49" s="607">
        <f t="shared" si="13"/>
        <v>174.82318358030187</v>
      </c>
      <c r="AA49" s="607">
        <f t="shared" si="13"/>
        <v>183.74105280681431</v>
      </c>
      <c r="AB49" s="607">
        <f t="shared" si="13"/>
        <v>192.75591497963484</v>
      </c>
      <c r="AC49" s="607">
        <f t="shared" si="13"/>
        <v>201.80974711269033</v>
      </c>
      <c r="AD49" s="607">
        <f t="shared" si="13"/>
        <v>210.95555458503708</v>
      </c>
      <c r="AE49" s="607">
        <f t="shared" si="13"/>
        <v>220.15925641693957</v>
      </c>
      <c r="AF49" s="607">
        <f t="shared" si="13"/>
        <v>229.43180442603361</v>
      </c>
      <c r="AG49" s="607">
        <f t="shared" si="13"/>
        <v>238.69915218967125</v>
      </c>
      <c r="AH49" s="607">
        <f t="shared" si="13"/>
        <v>247.9997041189352</v>
      </c>
      <c r="AI49" s="607">
        <f t="shared" si="13"/>
        <v>257.39813614021386</v>
      </c>
      <c r="AJ49" s="607">
        <f t="shared" si="13"/>
        <v>266.86493602979772</v>
      </c>
      <c r="AK49" s="607">
        <f t="shared" si="13"/>
        <v>276.3663785253417</v>
      </c>
      <c r="AL49" s="607">
        <f t="shared" si="13"/>
        <v>285.97086528537369</v>
      </c>
      <c r="AM49" s="607">
        <f t="shared" ref="AM49:BR49" si="14">AM48*(SUM(AM43:AM47)-SUM(AM55:AM58))</f>
        <v>295.64869206484184</v>
      </c>
      <c r="AN49" s="607">
        <f t="shared" si="14"/>
        <v>305.35329583540511</v>
      </c>
      <c r="AO49" s="607">
        <f t="shared" si="14"/>
        <v>315.16903054567064</v>
      </c>
      <c r="AP49" s="607">
        <f t="shared" si="14"/>
        <v>325.05650642104848</v>
      </c>
      <c r="AQ49" s="607">
        <f t="shared" si="14"/>
        <v>334.96841212083598</v>
      </c>
      <c r="AR49" s="607">
        <f t="shared" si="14"/>
        <v>344.99982507149639</v>
      </c>
      <c r="AS49" s="607">
        <f t="shared" si="14"/>
        <v>355.05771001916139</v>
      </c>
      <c r="AT49" s="607">
        <f t="shared" si="14"/>
        <v>365.36990161684787</v>
      </c>
      <c r="AU49" s="607">
        <f t="shared" si="14"/>
        <v>375.75964967841787</v>
      </c>
      <c r="AV49" s="607">
        <f t="shared" si="14"/>
        <v>386.16944047837404</v>
      </c>
      <c r="AW49" s="607">
        <f t="shared" si="14"/>
        <v>396.70258681020528</v>
      </c>
      <c r="AX49" s="607">
        <f t="shared" si="14"/>
        <v>407.31419357804396</v>
      </c>
      <c r="AY49" s="607">
        <f t="shared" si="14"/>
        <v>417.94275829869252</v>
      </c>
      <c r="AZ49" s="607">
        <f t="shared" si="14"/>
        <v>428.69881301492757</v>
      </c>
      <c r="BA49" s="607">
        <f t="shared" si="14"/>
        <v>439.47402446143582</v>
      </c>
      <c r="BB49" s="607">
        <f t="shared" si="14"/>
        <v>450.37948745547556</v>
      </c>
      <c r="BC49" s="607">
        <f t="shared" si="14"/>
        <v>461.35592928525483</v>
      </c>
      <c r="BD49" s="607">
        <f t="shared" si="14"/>
        <v>472.35320548336745</v>
      </c>
      <c r="BE49" s="607">
        <f t="shared" si="14"/>
        <v>483.48486882373925</v>
      </c>
      <c r="BF49" s="607">
        <f t="shared" si="14"/>
        <v>494.6879113945339</v>
      </c>
      <c r="BG49" s="607">
        <f t="shared" si="14"/>
        <v>505.90920887678897</v>
      </c>
      <c r="BH49" s="607">
        <f t="shared" si="14"/>
        <v>517.26413382163776</v>
      </c>
      <c r="BI49" s="607">
        <f t="shared" si="14"/>
        <v>528.69576628866128</v>
      </c>
      <c r="BJ49" s="607">
        <f t="shared" si="14"/>
        <v>540.14307679874628</v>
      </c>
      <c r="BK49" s="607">
        <f t="shared" si="14"/>
        <v>551.72791067636217</v>
      </c>
      <c r="BL49" s="607">
        <f t="shared" si="14"/>
        <v>563.32148717401185</v>
      </c>
      <c r="BM49" s="607">
        <f t="shared" si="14"/>
        <v>575.06044853788126</v>
      </c>
      <c r="BN49" s="607">
        <f t="shared" si="14"/>
        <v>586.87722041125426</v>
      </c>
      <c r="BO49" s="607">
        <f t="shared" si="14"/>
        <v>598.69992387391801</v>
      </c>
      <c r="BP49" s="607">
        <f t="shared" si="14"/>
        <v>0</v>
      </c>
      <c r="BQ49" s="607">
        <f t="shared" si="14"/>
        <v>0</v>
      </c>
      <c r="BR49" s="607">
        <f t="shared" si="14"/>
        <v>0</v>
      </c>
      <c r="BS49" s="607">
        <f t="shared" ref="BS49:CI49" si="15">BS48*(SUM(BS43:BS47)-SUM(BS55:BS58))</f>
        <v>0</v>
      </c>
      <c r="BT49" s="607">
        <f t="shared" si="15"/>
        <v>0</v>
      </c>
      <c r="BU49" s="607">
        <f t="shared" si="15"/>
        <v>0</v>
      </c>
      <c r="BV49" s="607">
        <f t="shared" si="15"/>
        <v>0</v>
      </c>
      <c r="BW49" s="607">
        <f t="shared" si="15"/>
        <v>0</v>
      </c>
      <c r="BX49" s="607">
        <f t="shared" si="15"/>
        <v>0</v>
      </c>
      <c r="BY49" s="607">
        <f t="shared" si="15"/>
        <v>0</v>
      </c>
      <c r="BZ49" s="607">
        <f t="shared" si="15"/>
        <v>0</v>
      </c>
      <c r="CA49" s="607">
        <f t="shared" si="15"/>
        <v>0</v>
      </c>
      <c r="CB49" s="607">
        <f t="shared" si="15"/>
        <v>0</v>
      </c>
      <c r="CC49" s="607">
        <f t="shared" si="15"/>
        <v>0</v>
      </c>
      <c r="CD49" s="607">
        <f t="shared" si="15"/>
        <v>0</v>
      </c>
      <c r="CE49" s="607">
        <f t="shared" si="15"/>
        <v>0</v>
      </c>
      <c r="CF49" s="607">
        <f t="shared" si="15"/>
        <v>0</v>
      </c>
      <c r="CG49" s="607">
        <f t="shared" si="15"/>
        <v>0</v>
      </c>
      <c r="CH49" s="607">
        <f t="shared" si="15"/>
        <v>0</v>
      </c>
      <c r="CI49" s="608">
        <f t="shared" si="15"/>
        <v>0</v>
      </c>
      <c r="CK49" s="1363"/>
    </row>
    <row r="50" spans="1:89" s="1362" customFormat="1" ht="27.6" x14ac:dyDescent="0.25">
      <c r="A50" s="1353"/>
      <c r="B50" s="599" t="s">
        <v>413</v>
      </c>
      <c r="C50" s="609" t="s">
        <v>215</v>
      </c>
      <c r="D50" s="610" t="s">
        <v>414</v>
      </c>
      <c r="E50" s="611" t="s">
        <v>149</v>
      </c>
      <c r="F50" s="612">
        <v>1</v>
      </c>
      <c r="G50" s="613"/>
      <c r="H50" s="613"/>
      <c r="I50" s="613">
        <f t="shared" ref="I50:BS51" si="16">(((I46-I57))*1000000)/((I79)*1000)</f>
        <v>148.50233999999998</v>
      </c>
      <c r="J50" s="613">
        <f t="shared" si="16"/>
        <v>146.99437850169664</v>
      </c>
      <c r="K50" s="613">
        <f t="shared" si="16"/>
        <v>145.89439658944579</v>
      </c>
      <c r="L50" s="613">
        <f t="shared" si="16"/>
        <v>145.0353736345686</v>
      </c>
      <c r="M50" s="614">
        <f t="shared" si="16"/>
        <v>144.47234034793155</v>
      </c>
      <c r="N50" s="614">
        <f t="shared" si="16"/>
        <v>143.90945938958689</v>
      </c>
      <c r="O50" s="614">
        <f t="shared" si="16"/>
        <v>143.17487333385637</v>
      </c>
      <c r="P50" s="614">
        <f t="shared" si="16"/>
        <v>142.48683257121138</v>
      </c>
      <c r="Q50" s="614">
        <f t="shared" si="16"/>
        <v>141.81242885982539</v>
      </c>
      <c r="R50" s="614">
        <f t="shared" si="16"/>
        <v>141.10650716384953</v>
      </c>
      <c r="S50" s="614">
        <f t="shared" si="16"/>
        <v>140.40892009884115</v>
      </c>
      <c r="T50" s="614">
        <f t="shared" si="16"/>
        <v>139.79670247910551</v>
      </c>
      <c r="U50" s="614">
        <f t="shared" si="16"/>
        <v>139.18591655025995</v>
      </c>
      <c r="V50" s="614">
        <f t="shared" si="16"/>
        <v>138.57394556273988</v>
      </c>
      <c r="W50" s="614">
        <f t="shared" si="16"/>
        <v>138.52332682475418</v>
      </c>
      <c r="X50" s="614">
        <f t="shared" si="16"/>
        <v>138.46083554279579</v>
      </c>
      <c r="Y50" s="614">
        <f t="shared" si="16"/>
        <v>138.42324114334656</v>
      </c>
      <c r="Z50" s="614">
        <f t="shared" si="16"/>
        <v>138.37223325659539</v>
      </c>
      <c r="AA50" s="614">
        <f t="shared" si="16"/>
        <v>138.29461247595043</v>
      </c>
      <c r="AB50" s="614">
        <f t="shared" si="16"/>
        <v>138.20462027508759</v>
      </c>
      <c r="AC50" s="614">
        <f t="shared" si="16"/>
        <v>138.14393461006534</v>
      </c>
      <c r="AD50" s="614">
        <f t="shared" si="16"/>
        <v>138.08706434895737</v>
      </c>
      <c r="AE50" s="614">
        <f t="shared" si="16"/>
        <v>137.97167869933523</v>
      </c>
      <c r="AF50" s="614">
        <f t="shared" si="16"/>
        <v>137.72744302010358</v>
      </c>
      <c r="AG50" s="614">
        <f t="shared" si="16"/>
        <v>137.50952998716937</v>
      </c>
      <c r="AH50" s="614">
        <f t="shared" si="16"/>
        <v>137.27131575234594</v>
      </c>
      <c r="AI50" s="614">
        <f t="shared" si="16"/>
        <v>137.05095049830521</v>
      </c>
      <c r="AJ50" s="614">
        <f t="shared" si="16"/>
        <v>136.8349636836875</v>
      </c>
      <c r="AK50" s="614">
        <f t="shared" si="16"/>
        <v>136.61020313226805</v>
      </c>
      <c r="AL50" s="614">
        <f t="shared" si="16"/>
        <v>136.40244123896755</v>
      </c>
      <c r="AM50" s="614">
        <f t="shared" si="16"/>
        <v>136.20989946779238</v>
      </c>
      <c r="AN50" s="614">
        <f t="shared" si="16"/>
        <v>135.9851306606941</v>
      </c>
      <c r="AO50" s="614">
        <f t="shared" si="16"/>
        <v>135.7882079988112</v>
      </c>
      <c r="AP50" s="614">
        <f t="shared" si="16"/>
        <v>135.59453243541341</v>
      </c>
      <c r="AQ50" s="614">
        <f t="shared" si="16"/>
        <v>135.36903423911909</v>
      </c>
      <c r="AR50" s="614">
        <f t="shared" si="16"/>
        <v>135.1818462111986</v>
      </c>
      <c r="AS50" s="614">
        <f t="shared" si="16"/>
        <v>134.97400057205513</v>
      </c>
      <c r="AT50" s="614">
        <f t="shared" si="16"/>
        <v>134.78438159578519</v>
      </c>
      <c r="AU50" s="614">
        <f t="shared" si="16"/>
        <v>134.60788922676531</v>
      </c>
      <c r="AV50" s="614">
        <f t="shared" si="16"/>
        <v>134.39954227906458</v>
      </c>
      <c r="AW50" s="614">
        <f t="shared" si="16"/>
        <v>134.21679531191597</v>
      </c>
      <c r="AX50" s="614">
        <f t="shared" si="16"/>
        <v>134.04684827357295</v>
      </c>
      <c r="AY50" s="614">
        <f t="shared" si="16"/>
        <v>133.84554406391931</v>
      </c>
      <c r="AZ50" s="614">
        <f t="shared" si="16"/>
        <v>133.66935578645808</v>
      </c>
      <c r="BA50" s="614">
        <f t="shared" si="16"/>
        <v>133.47272977409395</v>
      </c>
      <c r="BB50" s="614">
        <f t="shared" si="16"/>
        <v>133.3009058573478</v>
      </c>
      <c r="BC50" s="614">
        <f t="shared" si="16"/>
        <v>133.1208222879809</v>
      </c>
      <c r="BD50" s="614">
        <f t="shared" si="16"/>
        <v>132.9309458114322</v>
      </c>
      <c r="BE50" s="614">
        <f t="shared" si="16"/>
        <v>132.76541386384662</v>
      </c>
      <c r="BF50" s="614">
        <f t="shared" si="16"/>
        <v>132.59173326856481</v>
      </c>
      <c r="BG50" s="614">
        <f t="shared" si="16"/>
        <v>132.40830977048779</v>
      </c>
      <c r="BH50" s="614">
        <f t="shared" si="16"/>
        <v>132.23885246541693</v>
      </c>
      <c r="BI50" s="614">
        <f t="shared" si="16"/>
        <v>132.07139889842406</v>
      </c>
      <c r="BJ50" s="614">
        <f t="shared" si="16"/>
        <v>131.89425295965259</v>
      </c>
      <c r="BK50" s="614">
        <f t="shared" si="16"/>
        <v>131.7308383187526</v>
      </c>
      <c r="BL50" s="614">
        <f t="shared" si="16"/>
        <v>131.54808123589345</v>
      </c>
      <c r="BM50" s="614">
        <f t="shared" si="16"/>
        <v>131.38868854510719</v>
      </c>
      <c r="BN50" s="614">
        <f t="shared" si="16"/>
        <v>131.23115466348199</v>
      </c>
      <c r="BO50" s="614">
        <f t="shared" si="16"/>
        <v>131.05451465291134</v>
      </c>
      <c r="BP50" s="614" t="e">
        <f t="shared" si="16"/>
        <v>#DIV/0!</v>
      </c>
      <c r="BQ50" s="614" t="e">
        <f t="shared" si="16"/>
        <v>#DIV/0!</v>
      </c>
      <c r="BR50" s="614" t="e">
        <f t="shared" si="16"/>
        <v>#DIV/0!</v>
      </c>
      <c r="BS50" s="614" t="e">
        <f t="shared" si="16"/>
        <v>#DIV/0!</v>
      </c>
      <c r="BT50" s="614" t="e">
        <f t="shared" ref="BT50:CI51" si="17">(((BT46-BT57))*1000000)/((BT79)*1000)</f>
        <v>#DIV/0!</v>
      </c>
      <c r="BU50" s="614" t="e">
        <f t="shared" si="17"/>
        <v>#DIV/0!</v>
      </c>
      <c r="BV50" s="614" t="e">
        <f t="shared" si="17"/>
        <v>#DIV/0!</v>
      </c>
      <c r="BW50" s="614" t="e">
        <f t="shared" si="17"/>
        <v>#DIV/0!</v>
      </c>
      <c r="BX50" s="614" t="e">
        <f t="shared" si="17"/>
        <v>#DIV/0!</v>
      </c>
      <c r="BY50" s="614" t="e">
        <f t="shared" si="17"/>
        <v>#DIV/0!</v>
      </c>
      <c r="BZ50" s="614" t="e">
        <f t="shared" si="17"/>
        <v>#DIV/0!</v>
      </c>
      <c r="CA50" s="614" t="e">
        <f t="shared" si="17"/>
        <v>#DIV/0!</v>
      </c>
      <c r="CB50" s="614" t="e">
        <f t="shared" si="17"/>
        <v>#DIV/0!</v>
      </c>
      <c r="CC50" s="614" t="e">
        <f t="shared" si="17"/>
        <v>#DIV/0!</v>
      </c>
      <c r="CD50" s="614" t="e">
        <f t="shared" si="17"/>
        <v>#DIV/0!</v>
      </c>
      <c r="CE50" s="614" t="e">
        <f t="shared" si="17"/>
        <v>#DIV/0!</v>
      </c>
      <c r="CF50" s="614" t="e">
        <f t="shared" si="17"/>
        <v>#DIV/0!</v>
      </c>
      <c r="CG50" s="614" t="e">
        <f t="shared" si="17"/>
        <v>#DIV/0!</v>
      </c>
      <c r="CH50" s="614" t="e">
        <f t="shared" si="17"/>
        <v>#DIV/0!</v>
      </c>
      <c r="CI50" s="608" t="e">
        <f t="shared" si="17"/>
        <v>#DIV/0!</v>
      </c>
      <c r="CK50" s="1363"/>
    </row>
    <row r="51" spans="1:89" s="1362" customFormat="1" ht="27.6" x14ac:dyDescent="0.25">
      <c r="A51" s="1353"/>
      <c r="B51" s="599" t="s">
        <v>415</v>
      </c>
      <c r="C51" s="609" t="s">
        <v>234</v>
      </c>
      <c r="D51" s="610" t="s">
        <v>416</v>
      </c>
      <c r="E51" s="611" t="s">
        <v>149</v>
      </c>
      <c r="F51" s="612">
        <v>1</v>
      </c>
      <c r="G51" s="613"/>
      <c r="H51" s="613"/>
      <c r="I51" s="613">
        <f t="shared" si="16"/>
        <v>169.92741999999998</v>
      </c>
      <c r="J51" s="613">
        <f t="shared" si="16"/>
        <v>170.21121511170972</v>
      </c>
      <c r="K51" s="613">
        <f t="shared" si="16"/>
        <v>170.39302620519578</v>
      </c>
      <c r="L51" s="613">
        <f t="shared" si="16"/>
        <v>170.51665554082936</v>
      </c>
      <c r="M51" s="614">
        <f t="shared" si="16"/>
        <v>170.42737472809608</v>
      </c>
      <c r="N51" s="614">
        <f t="shared" si="16"/>
        <v>170.28097182175111</v>
      </c>
      <c r="O51" s="614">
        <f t="shared" si="16"/>
        <v>169.88881684205154</v>
      </c>
      <c r="P51" s="614">
        <f t="shared" si="16"/>
        <v>169.50991181935365</v>
      </c>
      <c r="Q51" s="614">
        <f t="shared" si="16"/>
        <v>169.11879166514774</v>
      </c>
      <c r="R51" s="614">
        <f t="shared" si="16"/>
        <v>168.64985136517416</v>
      </c>
      <c r="S51" s="614">
        <f t="shared" si="16"/>
        <v>168.16533760340101</v>
      </c>
      <c r="T51" s="614">
        <f t="shared" si="16"/>
        <v>167.76043712536517</v>
      </c>
      <c r="U51" s="614">
        <f t="shared" si="16"/>
        <v>167.33772065752865</v>
      </c>
      <c r="V51" s="614">
        <f t="shared" si="16"/>
        <v>166.89319587694382</v>
      </c>
      <c r="W51" s="614">
        <f t="shared" si="16"/>
        <v>166.43051307820178</v>
      </c>
      <c r="X51" s="614">
        <f t="shared" si="16"/>
        <v>165.92700283234336</v>
      </c>
      <c r="Y51" s="614">
        <f t="shared" si="16"/>
        <v>165.43551296599006</v>
      </c>
      <c r="Z51" s="614">
        <f t="shared" si="16"/>
        <v>164.91014625388289</v>
      </c>
      <c r="AA51" s="614">
        <f t="shared" si="16"/>
        <v>164.7134298661469</v>
      </c>
      <c r="AB51" s="614">
        <f t="shared" si="16"/>
        <v>164.76677454376218</v>
      </c>
      <c r="AC51" s="614">
        <f t="shared" si="16"/>
        <v>164.85156021530958</v>
      </c>
      <c r="AD51" s="614">
        <f t="shared" si="16"/>
        <v>164.93820148670747</v>
      </c>
      <c r="AE51" s="614">
        <f t="shared" si="16"/>
        <v>164.95106105269403</v>
      </c>
      <c r="AF51" s="614">
        <f t="shared" si="16"/>
        <v>164.80818505788167</v>
      </c>
      <c r="AG51" s="614">
        <f t="shared" si="16"/>
        <v>164.68555233116814</v>
      </c>
      <c r="AH51" s="614">
        <f t="shared" si="16"/>
        <v>164.53228611494083</v>
      </c>
      <c r="AI51" s="614">
        <f t="shared" si="16"/>
        <v>164.39740217676885</v>
      </c>
      <c r="AJ51" s="614">
        <f t="shared" si="16"/>
        <v>164.26350893016598</v>
      </c>
      <c r="AK51" s="614">
        <f t="shared" si="16"/>
        <v>164.11364103493753</v>
      </c>
      <c r="AL51" s="614">
        <f t="shared" si="16"/>
        <v>163.98180070159697</v>
      </c>
      <c r="AM51" s="614">
        <f t="shared" si="16"/>
        <v>163.86464897737014</v>
      </c>
      <c r="AN51" s="614">
        <f t="shared" si="16"/>
        <v>163.70438937139548</v>
      </c>
      <c r="AO51" s="614">
        <f t="shared" si="16"/>
        <v>163.57552382828968</v>
      </c>
      <c r="AP51" s="614">
        <f t="shared" si="16"/>
        <v>163.44760565785629</v>
      </c>
      <c r="AQ51" s="614">
        <f t="shared" si="16"/>
        <v>163.27755089100071</v>
      </c>
      <c r="AR51" s="614">
        <f t="shared" si="16"/>
        <v>163.15173885366676</v>
      </c>
      <c r="AS51" s="614">
        <f t="shared" si="16"/>
        <v>162.99751397321722</v>
      </c>
      <c r="AT51" s="614">
        <f t="shared" si="16"/>
        <v>162.82841535903663</v>
      </c>
      <c r="AU51" s="614">
        <f t="shared" si="16"/>
        <v>162.67347571546117</v>
      </c>
      <c r="AV51" s="614">
        <f t="shared" si="16"/>
        <v>162.47778033925633</v>
      </c>
      <c r="AW51" s="614">
        <f t="shared" si="16"/>
        <v>162.31213062823142</v>
      </c>
      <c r="AX51" s="614">
        <f t="shared" si="16"/>
        <v>162.1603562672459</v>
      </c>
      <c r="AY51" s="614">
        <f t="shared" si="16"/>
        <v>161.96860340381102</v>
      </c>
      <c r="AZ51" s="614">
        <f t="shared" si="16"/>
        <v>161.80631559437401</v>
      </c>
      <c r="BA51" s="614">
        <f t="shared" si="16"/>
        <v>161.61723031451712</v>
      </c>
      <c r="BB51" s="614">
        <f t="shared" si="16"/>
        <v>161.45723150216918</v>
      </c>
      <c r="BC51" s="614">
        <f t="shared" si="16"/>
        <v>161.28592541233482</v>
      </c>
      <c r="BD51" s="614">
        <f t="shared" si="16"/>
        <v>161.10074597615716</v>
      </c>
      <c r="BE51" s="614">
        <f t="shared" si="16"/>
        <v>160.94409985577224</v>
      </c>
      <c r="BF51" s="614">
        <f t="shared" si="16"/>
        <v>160.77635530912636</v>
      </c>
      <c r="BG51" s="614">
        <f t="shared" si="16"/>
        <v>160.59497677785771</v>
      </c>
      <c r="BH51" s="614">
        <f t="shared" si="16"/>
        <v>160.42962263246133</v>
      </c>
      <c r="BI51" s="614">
        <f t="shared" si="16"/>
        <v>160.26541058029801</v>
      </c>
      <c r="BJ51" s="614">
        <f t="shared" si="16"/>
        <v>160.08779619699516</v>
      </c>
      <c r="BK51" s="614">
        <f t="shared" si="16"/>
        <v>159.92591124444974</v>
      </c>
      <c r="BL51" s="614">
        <f t="shared" si="16"/>
        <v>159.73909731037253</v>
      </c>
      <c r="BM51" s="614">
        <f t="shared" si="16"/>
        <v>159.57955918781303</v>
      </c>
      <c r="BN51" s="614">
        <f t="shared" si="16"/>
        <v>159.42111346072585</v>
      </c>
      <c r="BO51" s="614">
        <f t="shared" si="16"/>
        <v>159.23817403836273</v>
      </c>
      <c r="BP51" s="614" t="e">
        <f t="shared" si="16"/>
        <v>#DIV/0!</v>
      </c>
      <c r="BQ51" s="614" t="e">
        <f t="shared" si="16"/>
        <v>#DIV/0!</v>
      </c>
      <c r="BR51" s="614" t="e">
        <f t="shared" si="16"/>
        <v>#DIV/0!</v>
      </c>
      <c r="BS51" s="614" t="e">
        <f t="shared" si="16"/>
        <v>#DIV/0!</v>
      </c>
      <c r="BT51" s="614" t="e">
        <f t="shared" si="17"/>
        <v>#DIV/0!</v>
      </c>
      <c r="BU51" s="614" t="e">
        <f t="shared" si="17"/>
        <v>#DIV/0!</v>
      </c>
      <c r="BV51" s="614" t="e">
        <f t="shared" si="17"/>
        <v>#DIV/0!</v>
      </c>
      <c r="BW51" s="614" t="e">
        <f t="shared" si="17"/>
        <v>#DIV/0!</v>
      </c>
      <c r="BX51" s="614" t="e">
        <f t="shared" si="17"/>
        <v>#DIV/0!</v>
      </c>
      <c r="BY51" s="614" t="e">
        <f t="shared" si="17"/>
        <v>#DIV/0!</v>
      </c>
      <c r="BZ51" s="614" t="e">
        <f t="shared" si="17"/>
        <v>#DIV/0!</v>
      </c>
      <c r="CA51" s="614" t="e">
        <f t="shared" si="17"/>
        <v>#DIV/0!</v>
      </c>
      <c r="CB51" s="614" t="e">
        <f t="shared" si="17"/>
        <v>#DIV/0!</v>
      </c>
      <c r="CC51" s="614" t="e">
        <f t="shared" si="17"/>
        <v>#DIV/0!</v>
      </c>
      <c r="CD51" s="614" t="e">
        <f t="shared" si="17"/>
        <v>#DIV/0!</v>
      </c>
      <c r="CE51" s="614" t="e">
        <f t="shared" si="17"/>
        <v>#DIV/0!</v>
      </c>
      <c r="CF51" s="614" t="e">
        <f t="shared" si="17"/>
        <v>#DIV/0!</v>
      </c>
      <c r="CG51" s="614" t="e">
        <f t="shared" si="17"/>
        <v>#DIV/0!</v>
      </c>
      <c r="CH51" s="614" t="e">
        <f t="shared" si="17"/>
        <v>#DIV/0!</v>
      </c>
      <c r="CI51" s="608" t="e">
        <f t="shared" si="17"/>
        <v>#DIV/0!</v>
      </c>
      <c r="CK51" s="1363"/>
    </row>
    <row r="52" spans="1:89" s="1362" customFormat="1" ht="27.6" x14ac:dyDescent="0.25">
      <c r="A52" s="1353"/>
      <c r="B52" s="599" t="s">
        <v>417</v>
      </c>
      <c r="C52" s="609" t="s">
        <v>148</v>
      </c>
      <c r="D52" s="610" t="s">
        <v>418</v>
      </c>
      <c r="E52" s="611" t="s">
        <v>149</v>
      </c>
      <c r="F52" s="612">
        <v>1</v>
      </c>
      <c r="G52" s="613"/>
      <c r="H52" s="613"/>
      <c r="I52" s="613">
        <f t="shared" ref="I52:BS52" si="18">(((I46-I57)+(I47-I58))*1000000)/((I79+I80)*1000)</f>
        <v>158.04658923764734</v>
      </c>
      <c r="J52" s="613">
        <f t="shared" si="18"/>
        <v>156.0936734232416</v>
      </c>
      <c r="K52" s="613">
        <f t="shared" si="18"/>
        <v>154.35265818006147</v>
      </c>
      <c r="L52" s="613">
        <f t="shared" si="18"/>
        <v>152.78751573204212</v>
      </c>
      <c r="M52" s="614">
        <f>(((M46-M57)+(M47-M58))*1000000)/((M79+M80)*1000)</f>
        <v>151.94753294938482</v>
      </c>
      <c r="N52" s="614">
        <f t="shared" si="18"/>
        <v>151.10277172891662</v>
      </c>
      <c r="O52" s="614">
        <f t="shared" si="18"/>
        <v>150.07655224060167</v>
      </c>
      <c r="P52" s="614">
        <f t="shared" si="18"/>
        <v>149.10110879884789</v>
      </c>
      <c r="Q52" s="614">
        <f t="shared" si="18"/>
        <v>148.14371092363371</v>
      </c>
      <c r="R52" s="614">
        <f t="shared" si="18"/>
        <v>147.15971026001671</v>
      </c>
      <c r="S52" s="614">
        <f t="shared" si="18"/>
        <v>146.19117303218752</v>
      </c>
      <c r="T52" s="614">
        <f t="shared" si="18"/>
        <v>145.31897596506818</v>
      </c>
      <c r="U52" s="614">
        <f t="shared" si="18"/>
        <v>144.45629316283851</v>
      </c>
      <c r="V52" s="614">
        <f t="shared" si="18"/>
        <v>143.60116992791836</v>
      </c>
      <c r="W52" s="614">
        <f t="shared" si="18"/>
        <v>143.22113767372988</v>
      </c>
      <c r="X52" s="614">
        <f t="shared" si="18"/>
        <v>142.84695323136845</v>
      </c>
      <c r="Y52" s="614">
        <f t="shared" si="18"/>
        <v>142.51552094024885</v>
      </c>
      <c r="Z52" s="614">
        <f t="shared" si="18"/>
        <v>142.18650783847406</v>
      </c>
      <c r="AA52" s="614">
        <f t="shared" si="18"/>
        <v>141.89783401335922</v>
      </c>
      <c r="AB52" s="614">
        <f t="shared" si="18"/>
        <v>141.64364532733637</v>
      </c>
      <c r="AC52" s="614">
        <f t="shared" si="18"/>
        <v>141.42598723105345</v>
      </c>
      <c r="AD52" s="614">
        <f t="shared" si="18"/>
        <v>141.21859052196666</v>
      </c>
      <c r="AE52" s="614">
        <f t="shared" si="18"/>
        <v>140.95792346784344</v>
      </c>
      <c r="AF52" s="614">
        <f t="shared" si="18"/>
        <v>140.57190571139878</v>
      </c>
      <c r="AG52" s="614">
        <f t="shared" si="18"/>
        <v>140.21971775836167</v>
      </c>
      <c r="AH52" s="614">
        <f t="shared" si="18"/>
        <v>139.8530582314506</v>
      </c>
      <c r="AI52" s="614">
        <f t="shared" si="18"/>
        <v>139.51004449365016</v>
      </c>
      <c r="AJ52" s="614">
        <f t="shared" si="18"/>
        <v>139.17700081276718</v>
      </c>
      <c r="AK52" s="614">
        <f t="shared" si="18"/>
        <v>138.84057604802987</v>
      </c>
      <c r="AL52" s="614">
        <f t="shared" si="18"/>
        <v>138.52626899998054</v>
      </c>
      <c r="AM52" s="614">
        <f t="shared" si="18"/>
        <v>138.23228201017935</v>
      </c>
      <c r="AN52" s="614">
        <f t="shared" si="18"/>
        <v>137.91050282429873</v>
      </c>
      <c r="AO52" s="614">
        <f t="shared" si="18"/>
        <v>137.62121862335033</v>
      </c>
      <c r="AP52" s="614">
        <f t="shared" si="18"/>
        <v>137.33951142739568</v>
      </c>
      <c r="AQ52" s="614">
        <f t="shared" si="18"/>
        <v>137.02989041442814</v>
      </c>
      <c r="AR52" s="614">
        <f t="shared" si="18"/>
        <v>136.76276930490593</v>
      </c>
      <c r="AS52" s="614">
        <f t="shared" si="18"/>
        <v>136.47868594454263</v>
      </c>
      <c r="AT52" s="614">
        <f t="shared" si="18"/>
        <v>136.28203155429148</v>
      </c>
      <c r="AU52" s="614">
        <f t="shared" si="18"/>
        <v>136.09863423641329</v>
      </c>
      <c r="AV52" s="614">
        <f t="shared" si="18"/>
        <v>135.88320623175525</v>
      </c>
      <c r="AW52" s="614">
        <f t="shared" si="18"/>
        <v>135.69346695293575</v>
      </c>
      <c r="AX52" s="614">
        <f t="shared" si="18"/>
        <v>135.51665781163931</v>
      </c>
      <c r="AY52" s="614">
        <f t="shared" si="18"/>
        <v>135.30832919495563</v>
      </c>
      <c r="AZ52" s="614">
        <f t="shared" si="18"/>
        <v>135.12520133001669</v>
      </c>
      <c r="BA52" s="614">
        <f t="shared" si="18"/>
        <v>134.92159029449633</v>
      </c>
      <c r="BB52" s="614">
        <f t="shared" si="18"/>
        <v>134.74286359317884</v>
      </c>
      <c r="BC52" s="614">
        <f t="shared" si="18"/>
        <v>134.55579314246901</v>
      </c>
      <c r="BD52" s="614">
        <f t="shared" si="18"/>
        <v>134.35899809324533</v>
      </c>
      <c r="BE52" s="614">
        <f t="shared" si="18"/>
        <v>134.18662602426159</v>
      </c>
      <c r="BF52" s="614">
        <f t="shared" si="18"/>
        <v>134.00602675352795</v>
      </c>
      <c r="BG52" s="614">
        <f t="shared" si="18"/>
        <v>133.81575773613787</v>
      </c>
      <c r="BH52" s="614">
        <f t="shared" si="18"/>
        <v>133.63942849149063</v>
      </c>
      <c r="BI52" s="614">
        <f t="shared" si="18"/>
        <v>133.46512914099091</v>
      </c>
      <c r="BJ52" s="614">
        <f t="shared" si="18"/>
        <v>133.28121484354375</v>
      </c>
      <c r="BK52" s="614">
        <f t="shared" si="18"/>
        <v>133.11100493766713</v>
      </c>
      <c r="BL52" s="614">
        <f t="shared" si="18"/>
        <v>132.92143549389843</v>
      </c>
      <c r="BM52" s="614">
        <f t="shared" si="18"/>
        <v>132.75529882661797</v>
      </c>
      <c r="BN52" s="614">
        <f t="shared" si="18"/>
        <v>132.59104983794057</v>
      </c>
      <c r="BO52" s="614">
        <f>(((BO46-BO57)+(BO47-BO58))*1000000)/((BO79+BO80)*1000)</f>
        <v>132.40768392062779</v>
      </c>
      <c r="BP52" s="614" t="e">
        <f t="shared" si="18"/>
        <v>#DIV/0!</v>
      </c>
      <c r="BQ52" s="614" t="e">
        <f t="shared" si="18"/>
        <v>#DIV/0!</v>
      </c>
      <c r="BR52" s="614" t="e">
        <f t="shared" si="18"/>
        <v>#DIV/0!</v>
      </c>
      <c r="BS52" s="614" t="e">
        <f t="shared" si="18"/>
        <v>#DIV/0!</v>
      </c>
      <c r="BT52" s="614" t="e">
        <f t="shared" ref="BT52:CI52" si="19">(((BT46-BT57)+(BT47-BT58))*1000000)/((BT79+BT80)*1000)</f>
        <v>#DIV/0!</v>
      </c>
      <c r="BU52" s="614" t="e">
        <f t="shared" si="19"/>
        <v>#DIV/0!</v>
      </c>
      <c r="BV52" s="614" t="e">
        <f t="shared" si="19"/>
        <v>#DIV/0!</v>
      </c>
      <c r="BW52" s="614" t="e">
        <f t="shared" si="19"/>
        <v>#DIV/0!</v>
      </c>
      <c r="BX52" s="614" t="e">
        <f t="shared" si="19"/>
        <v>#DIV/0!</v>
      </c>
      <c r="BY52" s="614" t="e">
        <f t="shared" si="19"/>
        <v>#DIV/0!</v>
      </c>
      <c r="BZ52" s="614" t="e">
        <f t="shared" si="19"/>
        <v>#DIV/0!</v>
      </c>
      <c r="CA52" s="614" t="e">
        <f t="shared" si="19"/>
        <v>#DIV/0!</v>
      </c>
      <c r="CB52" s="614" t="e">
        <f t="shared" si="19"/>
        <v>#DIV/0!</v>
      </c>
      <c r="CC52" s="614" t="e">
        <f t="shared" si="19"/>
        <v>#DIV/0!</v>
      </c>
      <c r="CD52" s="614" t="e">
        <f t="shared" si="19"/>
        <v>#DIV/0!</v>
      </c>
      <c r="CE52" s="614" t="e">
        <f t="shared" si="19"/>
        <v>#DIV/0!</v>
      </c>
      <c r="CF52" s="614" t="e">
        <f t="shared" si="19"/>
        <v>#DIV/0!</v>
      </c>
      <c r="CG52" s="614" t="e">
        <f t="shared" si="19"/>
        <v>#DIV/0!</v>
      </c>
      <c r="CH52" s="614" t="e">
        <f t="shared" si="19"/>
        <v>#DIV/0!</v>
      </c>
      <c r="CI52" s="608" t="e">
        <f t="shared" si="19"/>
        <v>#DIV/0!</v>
      </c>
      <c r="CK52" s="1363"/>
    </row>
    <row r="53" spans="1:89" s="1362" customFormat="1" x14ac:dyDescent="0.25">
      <c r="A53" s="1353"/>
      <c r="B53" s="599" t="s">
        <v>419</v>
      </c>
      <c r="C53" s="609" t="s">
        <v>420</v>
      </c>
      <c r="D53" s="610" t="s">
        <v>79</v>
      </c>
      <c r="E53" s="611" t="s">
        <v>146</v>
      </c>
      <c r="F53" s="612">
        <v>2</v>
      </c>
      <c r="G53" s="576"/>
      <c r="H53" s="576"/>
      <c r="I53" s="576">
        <v>0.44</v>
      </c>
      <c r="J53" s="576">
        <v>0.44</v>
      </c>
      <c r="K53" s="576">
        <v>0.44</v>
      </c>
      <c r="L53" s="576">
        <v>0.44</v>
      </c>
      <c r="M53" s="1424">
        <v>0.44</v>
      </c>
      <c r="N53" s="1424">
        <v>0.44</v>
      </c>
      <c r="O53" s="1424">
        <v>0.44</v>
      </c>
      <c r="P53" s="1424">
        <v>0.44</v>
      </c>
      <c r="Q53" s="1424">
        <v>0.44</v>
      </c>
      <c r="R53" s="1424">
        <v>0.44</v>
      </c>
      <c r="S53" s="1424">
        <v>0.44</v>
      </c>
      <c r="T53" s="1424">
        <v>0.44</v>
      </c>
      <c r="U53" s="1424">
        <v>0.44</v>
      </c>
      <c r="V53" s="1424">
        <v>0.44</v>
      </c>
      <c r="W53" s="1424">
        <v>0.44</v>
      </c>
      <c r="X53" s="1424">
        <v>0.44</v>
      </c>
      <c r="Y53" s="1424">
        <v>0.44</v>
      </c>
      <c r="Z53" s="1424">
        <v>0.44</v>
      </c>
      <c r="AA53" s="1424">
        <v>0.44</v>
      </c>
      <c r="AB53" s="1424">
        <v>0.44</v>
      </c>
      <c r="AC53" s="1424">
        <v>0.44</v>
      </c>
      <c r="AD53" s="1424">
        <v>0.44</v>
      </c>
      <c r="AE53" s="1424">
        <v>0.44</v>
      </c>
      <c r="AF53" s="1424">
        <v>0.44</v>
      </c>
      <c r="AG53" s="1424">
        <v>0.44</v>
      </c>
      <c r="AH53" s="1424">
        <v>0.44</v>
      </c>
      <c r="AI53" s="1424">
        <v>0.44</v>
      </c>
      <c r="AJ53" s="1424">
        <v>0.44</v>
      </c>
      <c r="AK53" s="1424">
        <v>0.44</v>
      </c>
      <c r="AL53" s="1424">
        <v>0.44</v>
      </c>
      <c r="AM53" s="1424">
        <v>0.44</v>
      </c>
      <c r="AN53" s="1424">
        <v>0.44</v>
      </c>
      <c r="AO53" s="1424">
        <v>0.44</v>
      </c>
      <c r="AP53" s="1424">
        <v>0.44</v>
      </c>
      <c r="AQ53" s="1424">
        <v>0.44</v>
      </c>
      <c r="AR53" s="1424">
        <v>0.44</v>
      </c>
      <c r="AS53" s="1424">
        <v>0.44</v>
      </c>
      <c r="AT53" s="1424">
        <v>0.44</v>
      </c>
      <c r="AU53" s="1424">
        <v>0.44</v>
      </c>
      <c r="AV53" s="1424">
        <v>0.44</v>
      </c>
      <c r="AW53" s="1424">
        <v>0.44</v>
      </c>
      <c r="AX53" s="1424">
        <v>0.44</v>
      </c>
      <c r="AY53" s="1424">
        <v>0.44</v>
      </c>
      <c r="AZ53" s="1424">
        <v>0.44</v>
      </c>
      <c r="BA53" s="1424">
        <v>0.44</v>
      </c>
      <c r="BB53" s="1424">
        <v>0.44</v>
      </c>
      <c r="BC53" s="1424">
        <v>0.44</v>
      </c>
      <c r="BD53" s="1424">
        <v>0.44</v>
      </c>
      <c r="BE53" s="1424">
        <v>0.44</v>
      </c>
      <c r="BF53" s="1424">
        <v>0.44</v>
      </c>
      <c r="BG53" s="1424">
        <v>0.44</v>
      </c>
      <c r="BH53" s="1424">
        <v>0.44</v>
      </c>
      <c r="BI53" s="1424">
        <v>0.44</v>
      </c>
      <c r="BJ53" s="1424">
        <v>0.44</v>
      </c>
      <c r="BK53" s="1424">
        <v>0.44</v>
      </c>
      <c r="BL53" s="1424">
        <v>0.44</v>
      </c>
      <c r="BM53" s="1424">
        <v>0.44</v>
      </c>
      <c r="BN53" s="1424">
        <v>0.44</v>
      </c>
      <c r="BO53" s="1424">
        <v>0.44</v>
      </c>
      <c r="BP53" s="1424"/>
      <c r="BQ53" s="1424"/>
      <c r="BR53" s="1424"/>
      <c r="BS53" s="1424"/>
      <c r="BT53" s="1424"/>
      <c r="BU53" s="1424"/>
      <c r="BV53" s="1424"/>
      <c r="BW53" s="1424"/>
      <c r="BX53" s="1424"/>
      <c r="BY53" s="1424"/>
      <c r="BZ53" s="1424"/>
      <c r="CA53" s="1424"/>
      <c r="CB53" s="1424"/>
      <c r="CC53" s="1424"/>
      <c r="CD53" s="1424"/>
      <c r="CE53" s="1424"/>
      <c r="CF53" s="1424"/>
      <c r="CG53" s="1424"/>
      <c r="CH53" s="1424"/>
      <c r="CI53" s="1424"/>
      <c r="CK53" s="1363"/>
    </row>
    <row r="54" spans="1:89" s="1362" customFormat="1" ht="14.4" thickBot="1" x14ac:dyDescent="0.3">
      <c r="A54" s="1353"/>
      <c r="B54" s="615" t="s">
        <v>421</v>
      </c>
      <c r="C54" s="616" t="s">
        <v>422</v>
      </c>
      <c r="D54" s="617" t="s">
        <v>79</v>
      </c>
      <c r="E54" s="618" t="s">
        <v>146</v>
      </c>
      <c r="F54" s="619">
        <v>2</v>
      </c>
      <c r="G54" s="620"/>
      <c r="H54" s="620"/>
      <c r="I54" s="576">
        <v>3.19</v>
      </c>
      <c r="J54" s="576">
        <v>3.19</v>
      </c>
      <c r="K54" s="576">
        <v>3.19</v>
      </c>
      <c r="L54" s="576">
        <v>3.19</v>
      </c>
      <c r="M54" s="1424">
        <v>3.19</v>
      </c>
      <c r="N54" s="1424">
        <v>3.19</v>
      </c>
      <c r="O54" s="1424">
        <v>3.19</v>
      </c>
      <c r="P54" s="1424">
        <v>3.19</v>
      </c>
      <c r="Q54" s="1424">
        <v>3.19</v>
      </c>
      <c r="R54" s="1424">
        <v>3.19</v>
      </c>
      <c r="S54" s="1424">
        <v>3.19</v>
      </c>
      <c r="T54" s="1424">
        <v>3.19</v>
      </c>
      <c r="U54" s="1424">
        <v>3.19</v>
      </c>
      <c r="V54" s="1424">
        <v>3.19</v>
      </c>
      <c r="W54" s="1424">
        <v>3.19</v>
      </c>
      <c r="X54" s="1424">
        <v>3.19</v>
      </c>
      <c r="Y54" s="1424">
        <v>3.19</v>
      </c>
      <c r="Z54" s="1424">
        <v>3.19</v>
      </c>
      <c r="AA54" s="1424">
        <v>3.19</v>
      </c>
      <c r="AB54" s="1424">
        <v>3.19</v>
      </c>
      <c r="AC54" s="1424">
        <v>3.19</v>
      </c>
      <c r="AD54" s="1424">
        <v>3.19</v>
      </c>
      <c r="AE54" s="1424">
        <v>3.19</v>
      </c>
      <c r="AF54" s="1424">
        <v>3.19</v>
      </c>
      <c r="AG54" s="1424">
        <v>3.19</v>
      </c>
      <c r="AH54" s="1424">
        <v>3.19</v>
      </c>
      <c r="AI54" s="1424">
        <v>3.19</v>
      </c>
      <c r="AJ54" s="1424">
        <v>3.19</v>
      </c>
      <c r="AK54" s="1424">
        <v>3.19</v>
      </c>
      <c r="AL54" s="1424">
        <v>3.19</v>
      </c>
      <c r="AM54" s="1424">
        <v>3.19</v>
      </c>
      <c r="AN54" s="1424">
        <v>3.19</v>
      </c>
      <c r="AO54" s="1424">
        <v>3.19</v>
      </c>
      <c r="AP54" s="1424">
        <v>3.19</v>
      </c>
      <c r="AQ54" s="1424">
        <v>3.19</v>
      </c>
      <c r="AR54" s="1424">
        <v>3.19</v>
      </c>
      <c r="AS54" s="1424">
        <v>3.19</v>
      </c>
      <c r="AT54" s="1424">
        <v>3.19</v>
      </c>
      <c r="AU54" s="1424">
        <v>3.19</v>
      </c>
      <c r="AV54" s="1424">
        <v>3.19</v>
      </c>
      <c r="AW54" s="1424">
        <v>3.19</v>
      </c>
      <c r="AX54" s="1424">
        <v>3.19</v>
      </c>
      <c r="AY54" s="1424">
        <v>3.19</v>
      </c>
      <c r="AZ54" s="1424">
        <v>3.19</v>
      </c>
      <c r="BA54" s="1424">
        <v>3.19</v>
      </c>
      <c r="BB54" s="1424">
        <v>3.19</v>
      </c>
      <c r="BC54" s="1424">
        <v>3.19</v>
      </c>
      <c r="BD54" s="1424">
        <v>3.19</v>
      </c>
      <c r="BE54" s="1424">
        <v>3.19</v>
      </c>
      <c r="BF54" s="1424">
        <v>3.19</v>
      </c>
      <c r="BG54" s="1424">
        <v>3.19</v>
      </c>
      <c r="BH54" s="1424">
        <v>3.19</v>
      </c>
      <c r="BI54" s="1424">
        <v>3.19</v>
      </c>
      <c r="BJ54" s="1424">
        <v>3.19</v>
      </c>
      <c r="BK54" s="1424">
        <v>3.19</v>
      </c>
      <c r="BL54" s="1424">
        <v>3.19</v>
      </c>
      <c r="BM54" s="1424">
        <v>3.19</v>
      </c>
      <c r="BN54" s="1424">
        <v>3.19</v>
      </c>
      <c r="BO54" s="1424">
        <v>3.19</v>
      </c>
      <c r="BP54" s="1428"/>
      <c r="BQ54" s="1428"/>
      <c r="BR54" s="1428"/>
      <c r="BS54" s="1428"/>
      <c r="BT54" s="1428"/>
      <c r="BU54" s="1428"/>
      <c r="BV54" s="1428"/>
      <c r="BW54" s="1428"/>
      <c r="BX54" s="1428"/>
      <c r="BY54" s="1428"/>
      <c r="BZ54" s="1428"/>
      <c r="CA54" s="1428"/>
      <c r="CB54" s="1428"/>
      <c r="CC54" s="1428"/>
      <c r="CD54" s="1428"/>
      <c r="CE54" s="1428"/>
      <c r="CF54" s="1428"/>
      <c r="CG54" s="1428"/>
      <c r="CH54" s="1428"/>
      <c r="CI54" s="1428"/>
      <c r="CK54" s="1363"/>
    </row>
    <row r="55" spans="1:89" s="1362" customFormat="1" x14ac:dyDescent="0.25">
      <c r="A55" s="1353"/>
      <c r="B55" s="563" t="s">
        <v>423</v>
      </c>
      <c r="C55" s="564" t="s">
        <v>424</v>
      </c>
      <c r="D55" s="565" t="s">
        <v>79</v>
      </c>
      <c r="E55" s="566" t="s">
        <v>146</v>
      </c>
      <c r="F55" s="567">
        <v>2</v>
      </c>
      <c r="G55" s="568"/>
      <c r="H55" s="568"/>
      <c r="I55" s="576">
        <v>0.49299999999999999</v>
      </c>
      <c r="J55" s="576">
        <v>0.46451708100211225</v>
      </c>
      <c r="K55" s="576">
        <v>0.47615263271104352</v>
      </c>
      <c r="L55" s="576">
        <v>0.47098127639596293</v>
      </c>
      <c r="M55" s="1424">
        <v>0.46098127639596292</v>
      </c>
      <c r="N55" s="1424">
        <v>0.46098127639596292</v>
      </c>
      <c r="O55" s="1424">
        <v>0.46098127639596292</v>
      </c>
      <c r="P55" s="1424">
        <v>0.46098127639596292</v>
      </c>
      <c r="Q55" s="1424">
        <v>0.46098127639596292</v>
      </c>
      <c r="R55" s="1424">
        <v>0.46098127639596292</v>
      </c>
      <c r="S55" s="1424">
        <v>0.46098127639596292</v>
      </c>
      <c r="T55" s="1424">
        <v>0.46098127639596292</v>
      </c>
      <c r="U55" s="1424">
        <v>0.46098127639596292</v>
      </c>
      <c r="V55" s="1424">
        <v>0.46098127639596292</v>
      </c>
      <c r="W55" s="1424">
        <v>0.46098127639596292</v>
      </c>
      <c r="X55" s="1424">
        <v>0.46098127639596292</v>
      </c>
      <c r="Y55" s="1424">
        <v>0.46098127639596292</v>
      </c>
      <c r="Z55" s="1424">
        <v>0.46098127639596292</v>
      </c>
      <c r="AA55" s="1424">
        <v>0.46098127639596292</v>
      </c>
      <c r="AB55" s="1424">
        <v>0.46098127639596292</v>
      </c>
      <c r="AC55" s="1424">
        <v>0.46098127639596292</v>
      </c>
      <c r="AD55" s="1424">
        <v>0.46098127639596292</v>
      </c>
      <c r="AE55" s="1424">
        <v>0.46098127639596292</v>
      </c>
      <c r="AF55" s="1424">
        <v>0.46098127639596292</v>
      </c>
      <c r="AG55" s="1424">
        <v>0.46098127639596292</v>
      </c>
      <c r="AH55" s="1424">
        <v>0.46098127639596292</v>
      </c>
      <c r="AI55" s="1424">
        <v>0.46098127639596292</v>
      </c>
      <c r="AJ55" s="1424">
        <v>0.46098127639596292</v>
      </c>
      <c r="AK55" s="1424">
        <v>0.46098127639596292</v>
      </c>
      <c r="AL55" s="1424">
        <v>0.46098127639596292</v>
      </c>
      <c r="AM55" s="1424">
        <v>0.46098127639596292</v>
      </c>
      <c r="AN55" s="1424">
        <v>0.46098127639596292</v>
      </c>
      <c r="AO55" s="1424">
        <v>0.46098127639596292</v>
      </c>
      <c r="AP55" s="1424">
        <v>0.46098127639596292</v>
      </c>
      <c r="AQ55" s="1424">
        <v>0.46098127639596292</v>
      </c>
      <c r="AR55" s="1424">
        <v>0.46098127639596292</v>
      </c>
      <c r="AS55" s="1424">
        <v>0.46098127639596292</v>
      </c>
      <c r="AT55" s="1424">
        <v>0.46098127639596292</v>
      </c>
      <c r="AU55" s="1424">
        <v>0.46098127639596292</v>
      </c>
      <c r="AV55" s="1424">
        <v>0.46098127639596292</v>
      </c>
      <c r="AW55" s="1424">
        <v>0.46098127639596292</v>
      </c>
      <c r="AX55" s="1424">
        <v>0.46098127639596292</v>
      </c>
      <c r="AY55" s="1424">
        <v>0.46098127639596292</v>
      </c>
      <c r="AZ55" s="1424">
        <v>0.46098127639596292</v>
      </c>
      <c r="BA55" s="1424">
        <v>0.46098127639596292</v>
      </c>
      <c r="BB55" s="1424">
        <v>0.46098127639596292</v>
      </c>
      <c r="BC55" s="1424">
        <v>0.46098127639596292</v>
      </c>
      <c r="BD55" s="1424">
        <v>0.46098127639596292</v>
      </c>
      <c r="BE55" s="1424">
        <v>0.46098127639596292</v>
      </c>
      <c r="BF55" s="1424">
        <v>0.46098127639596292</v>
      </c>
      <c r="BG55" s="1424">
        <v>0.46098127639596292</v>
      </c>
      <c r="BH55" s="1424">
        <v>0.46098127639596292</v>
      </c>
      <c r="BI55" s="1424">
        <v>0.46098127639596292</v>
      </c>
      <c r="BJ55" s="1424">
        <v>0.46098127639596292</v>
      </c>
      <c r="BK55" s="1424">
        <v>0.46098127639596292</v>
      </c>
      <c r="BL55" s="1424">
        <v>0.46098127639596292</v>
      </c>
      <c r="BM55" s="1424">
        <v>0.46098127639596292</v>
      </c>
      <c r="BN55" s="1424">
        <v>0.46098127639596292</v>
      </c>
      <c r="BO55" s="1424">
        <v>0.46098127639596292</v>
      </c>
      <c r="BP55" s="1423"/>
      <c r="BQ55" s="1423"/>
      <c r="BR55" s="1423"/>
      <c r="BS55" s="1423"/>
      <c r="BT55" s="1423"/>
      <c r="BU55" s="1423"/>
      <c r="BV55" s="1423"/>
      <c r="BW55" s="1423"/>
      <c r="BX55" s="1423"/>
      <c r="BY55" s="1423"/>
      <c r="BZ55" s="1423"/>
      <c r="CA55" s="1423"/>
      <c r="CB55" s="1423"/>
      <c r="CC55" s="1423"/>
      <c r="CD55" s="1423"/>
      <c r="CE55" s="1423"/>
      <c r="CF55" s="1423"/>
      <c r="CG55" s="1423"/>
      <c r="CH55" s="1423"/>
      <c r="CI55" s="1423"/>
      <c r="CK55" s="1363"/>
    </row>
    <row r="56" spans="1:89" s="1362" customFormat="1" x14ac:dyDescent="0.25">
      <c r="A56" s="1353"/>
      <c r="B56" s="579" t="s">
        <v>425</v>
      </c>
      <c r="C56" s="582" t="s">
        <v>426</v>
      </c>
      <c r="D56" s="573" t="s">
        <v>79</v>
      </c>
      <c r="E56" s="574" t="s">
        <v>146</v>
      </c>
      <c r="F56" s="575">
        <v>2</v>
      </c>
      <c r="G56" s="576"/>
      <c r="H56" s="576"/>
      <c r="I56" s="576">
        <v>2.1999999999999999E-2</v>
      </c>
      <c r="J56" s="576">
        <v>2.551361349817842E-2</v>
      </c>
      <c r="K56" s="576">
        <v>2.6152696497019515E-2</v>
      </c>
      <c r="L56" s="576">
        <v>2.5868659608645695E-2</v>
      </c>
      <c r="M56" s="1424">
        <v>2.5868659608645695E-2</v>
      </c>
      <c r="N56" s="1424">
        <v>2.5868659608645695E-2</v>
      </c>
      <c r="O56" s="1424">
        <v>2.5868659608645695E-2</v>
      </c>
      <c r="P56" s="1424">
        <v>2.5868659608645695E-2</v>
      </c>
      <c r="Q56" s="1424">
        <v>2.5868659608645695E-2</v>
      </c>
      <c r="R56" s="1424">
        <v>2.5868659608645695E-2</v>
      </c>
      <c r="S56" s="1424">
        <v>2.5868659608645695E-2</v>
      </c>
      <c r="T56" s="1424">
        <v>2.5868659608645695E-2</v>
      </c>
      <c r="U56" s="1424">
        <v>2.5868659608645695E-2</v>
      </c>
      <c r="V56" s="1424">
        <v>2.5868659608645695E-2</v>
      </c>
      <c r="W56" s="1424">
        <v>2.5868659608645695E-2</v>
      </c>
      <c r="X56" s="1424">
        <v>2.5868659608645695E-2</v>
      </c>
      <c r="Y56" s="1424">
        <v>2.5868659608645695E-2</v>
      </c>
      <c r="Z56" s="1424">
        <v>2.5868659608645695E-2</v>
      </c>
      <c r="AA56" s="1424">
        <v>2.5868659608645695E-2</v>
      </c>
      <c r="AB56" s="1424">
        <v>2.5868659608645695E-2</v>
      </c>
      <c r="AC56" s="1424">
        <v>2.5868659608645695E-2</v>
      </c>
      <c r="AD56" s="1424">
        <v>2.5868659608645695E-2</v>
      </c>
      <c r="AE56" s="1424">
        <v>2.5868659608645695E-2</v>
      </c>
      <c r="AF56" s="1424">
        <v>2.5868659608645695E-2</v>
      </c>
      <c r="AG56" s="1424">
        <v>2.5868659608645695E-2</v>
      </c>
      <c r="AH56" s="1424">
        <v>2.5868659608645695E-2</v>
      </c>
      <c r="AI56" s="1424">
        <v>2.5868659608645695E-2</v>
      </c>
      <c r="AJ56" s="1424">
        <v>2.5868659608645695E-2</v>
      </c>
      <c r="AK56" s="1424">
        <v>2.5868659608645695E-2</v>
      </c>
      <c r="AL56" s="1424">
        <v>2.5868659608645695E-2</v>
      </c>
      <c r="AM56" s="1424">
        <v>2.5868659608645695E-2</v>
      </c>
      <c r="AN56" s="1424">
        <v>2.5868659608645695E-2</v>
      </c>
      <c r="AO56" s="1424">
        <v>2.5868659608645695E-2</v>
      </c>
      <c r="AP56" s="1424">
        <v>2.5868659608645695E-2</v>
      </c>
      <c r="AQ56" s="1424">
        <v>2.5868659608645695E-2</v>
      </c>
      <c r="AR56" s="1424">
        <v>2.5868659608645695E-2</v>
      </c>
      <c r="AS56" s="1424">
        <v>2.5868659608645695E-2</v>
      </c>
      <c r="AT56" s="1424">
        <v>2.5868659608645695E-2</v>
      </c>
      <c r="AU56" s="1424">
        <v>2.5868659608645695E-2</v>
      </c>
      <c r="AV56" s="1424">
        <v>2.5868659608645695E-2</v>
      </c>
      <c r="AW56" s="1424">
        <v>2.5868659608645695E-2</v>
      </c>
      <c r="AX56" s="1424">
        <v>2.5868659608645695E-2</v>
      </c>
      <c r="AY56" s="1424">
        <v>2.5868659608645695E-2</v>
      </c>
      <c r="AZ56" s="1424">
        <v>2.5868659608645695E-2</v>
      </c>
      <c r="BA56" s="1424">
        <v>2.5868659608645695E-2</v>
      </c>
      <c r="BB56" s="1424">
        <v>2.5868659608645695E-2</v>
      </c>
      <c r="BC56" s="1424">
        <v>2.5868659608645695E-2</v>
      </c>
      <c r="BD56" s="1424">
        <v>2.5868659608645695E-2</v>
      </c>
      <c r="BE56" s="1424">
        <v>2.5868659608645695E-2</v>
      </c>
      <c r="BF56" s="1424">
        <v>2.5868659608645695E-2</v>
      </c>
      <c r="BG56" s="1424">
        <v>2.5868659608645695E-2</v>
      </c>
      <c r="BH56" s="1424">
        <v>2.5868659608645695E-2</v>
      </c>
      <c r="BI56" s="1424">
        <v>2.5868659608645695E-2</v>
      </c>
      <c r="BJ56" s="1424">
        <v>2.5868659608645695E-2</v>
      </c>
      <c r="BK56" s="1424">
        <v>2.5868659608645695E-2</v>
      </c>
      <c r="BL56" s="1424">
        <v>2.5868659608645695E-2</v>
      </c>
      <c r="BM56" s="1424">
        <v>2.5868659608645695E-2</v>
      </c>
      <c r="BN56" s="1424">
        <v>2.5868659608645695E-2</v>
      </c>
      <c r="BO56" s="1424">
        <v>2.5868659608645695E-2</v>
      </c>
      <c r="BP56" s="1424"/>
      <c r="BQ56" s="1424"/>
      <c r="BR56" s="1424"/>
      <c r="BS56" s="1424"/>
      <c r="BT56" s="1424"/>
      <c r="BU56" s="1424"/>
      <c r="BV56" s="1424"/>
      <c r="BW56" s="1424"/>
      <c r="BX56" s="1424"/>
      <c r="BY56" s="1424"/>
      <c r="BZ56" s="1424"/>
      <c r="CA56" s="1424"/>
      <c r="CB56" s="1424"/>
      <c r="CC56" s="1424"/>
      <c r="CD56" s="1424"/>
      <c r="CE56" s="1424"/>
      <c r="CF56" s="1424"/>
      <c r="CG56" s="1424"/>
      <c r="CH56" s="1424"/>
      <c r="CI56" s="1424"/>
      <c r="CK56" s="1363"/>
    </row>
    <row r="57" spans="1:89" s="1362" customFormat="1" x14ac:dyDescent="0.25">
      <c r="A57" s="1353"/>
      <c r="B57" s="579" t="s">
        <v>427</v>
      </c>
      <c r="C57" s="582" t="s">
        <v>428</v>
      </c>
      <c r="D57" s="573" t="s">
        <v>79</v>
      </c>
      <c r="E57" s="574" t="s">
        <v>146</v>
      </c>
      <c r="F57" s="575">
        <v>2</v>
      </c>
      <c r="G57" s="576"/>
      <c r="H57" s="576"/>
      <c r="I57" s="576">
        <v>5.3109999999999999</v>
      </c>
      <c r="J57" s="576">
        <v>3.8309966130161959</v>
      </c>
      <c r="K57" s="576">
        <v>3.9269581201610491</v>
      </c>
      <c r="L57" s="576">
        <v>3.8843085614300032</v>
      </c>
      <c r="M57" s="1424">
        <v>3.8714368612730237</v>
      </c>
      <c r="N57" s="1424">
        <v>3.9815414662742237</v>
      </c>
      <c r="O57" s="1424">
        <v>4.0857978613322938</v>
      </c>
      <c r="P57" s="1424">
        <v>4.184198191122583</v>
      </c>
      <c r="Q57" s="1424">
        <v>4.2777173480943684</v>
      </c>
      <c r="R57" s="1424">
        <v>4.3654229313093804</v>
      </c>
      <c r="S57" s="1424">
        <v>4.4485542292034559</v>
      </c>
      <c r="T57" s="1424">
        <v>4.5273553520304519</v>
      </c>
      <c r="U57" s="1424">
        <v>4.6020570180869855</v>
      </c>
      <c r="V57" s="1424">
        <v>4.6726490875776099</v>
      </c>
      <c r="W57" s="1424">
        <v>4.7395922444457543</v>
      </c>
      <c r="X57" s="1424">
        <v>4.8026733064275087</v>
      </c>
      <c r="Y57" s="1424">
        <v>4.8625264161766397</v>
      </c>
      <c r="Z57" s="1424">
        <v>4.9193198540367931</v>
      </c>
      <c r="AA57" s="1424">
        <v>4.9730424592036737</v>
      </c>
      <c r="AB57" s="1424">
        <v>5.0237127106543813</v>
      </c>
      <c r="AC57" s="1424">
        <v>5.0719817221700758</v>
      </c>
      <c r="AD57" s="1424">
        <v>5.1179547749775676</v>
      </c>
      <c r="AE57" s="1424">
        <v>5.1615975528624256</v>
      </c>
      <c r="AF57" s="1424">
        <v>5.203158124118092</v>
      </c>
      <c r="AG57" s="1424">
        <v>5.2422454354851347</v>
      </c>
      <c r="AH57" s="1424">
        <v>5.2792570203818956</v>
      </c>
      <c r="AI57" s="1424">
        <v>5.3145275759627086</v>
      </c>
      <c r="AJ57" s="1424">
        <v>5.3480308865686945</v>
      </c>
      <c r="AK57" s="1424">
        <v>5.3797602663159658</v>
      </c>
      <c r="AL57" s="1424">
        <v>5.4099991735041799</v>
      </c>
      <c r="AM57" s="1424">
        <v>5.4387263028907382</v>
      </c>
      <c r="AN57" s="1424">
        <v>5.4659367461280537</v>
      </c>
      <c r="AO57" s="1424">
        <v>5.4918707058144021</v>
      </c>
      <c r="AP57" s="1424">
        <v>5.516510886707219</v>
      </c>
      <c r="AQ57" s="1424">
        <v>5.5398537689538596</v>
      </c>
      <c r="AR57" s="1424">
        <v>5.5621030140810133</v>
      </c>
      <c r="AS57" s="1424">
        <v>5.5831829474164261</v>
      </c>
      <c r="AT57" s="1424">
        <v>5.5853907790901314</v>
      </c>
      <c r="AU57" s="1424">
        <v>5.587574876912047</v>
      </c>
      <c r="AV57" s="1424">
        <v>5.5896759128697937</v>
      </c>
      <c r="AW57" s="1424">
        <v>5.5918143102525706</v>
      </c>
      <c r="AX57" s="1424">
        <v>5.5939300816521689</v>
      </c>
      <c r="AY57" s="1424">
        <v>5.5959657290057097</v>
      </c>
      <c r="AZ57" s="1424">
        <v>5.5980379168002008</v>
      </c>
      <c r="BA57" s="1424">
        <v>5.6000318459092799</v>
      </c>
      <c r="BB57" s="1424">
        <v>5.60206178305463</v>
      </c>
      <c r="BC57" s="1424">
        <v>5.6040707893266344</v>
      </c>
      <c r="BD57" s="1424">
        <v>5.6060042289991703</v>
      </c>
      <c r="BE57" s="1424">
        <v>5.6079728926601584</v>
      </c>
      <c r="BF57" s="1424">
        <v>5.609921563601552</v>
      </c>
      <c r="BG57" s="1424">
        <v>5.6117972252483286</v>
      </c>
      <c r="BH57" s="1424">
        <v>5.6137073484343816</v>
      </c>
      <c r="BI57" s="1424">
        <v>5.615598361815703</v>
      </c>
      <c r="BJ57" s="1424">
        <v>5.6174187971854135</v>
      </c>
      <c r="BK57" s="1424">
        <v>5.6192729527540761</v>
      </c>
      <c r="BL57" s="1424">
        <v>5.6210580780162385</v>
      </c>
      <c r="BM57" s="1424">
        <v>5.6228764429612292</v>
      </c>
      <c r="BN57" s="1424">
        <v>5.6246770551795526</v>
      </c>
      <c r="BO57" s="1424">
        <v>5.6264108762868039</v>
      </c>
      <c r="BP57" s="1424"/>
      <c r="BQ57" s="1424"/>
      <c r="BR57" s="1424"/>
      <c r="BS57" s="1424"/>
      <c r="BT57" s="1424"/>
      <c r="BU57" s="1424"/>
      <c r="BV57" s="1424"/>
      <c r="BW57" s="1424"/>
      <c r="BX57" s="1424"/>
      <c r="BY57" s="1424"/>
      <c r="BZ57" s="1424"/>
      <c r="CA57" s="1424"/>
      <c r="CB57" s="1424"/>
      <c r="CC57" s="1424"/>
      <c r="CD57" s="1424"/>
      <c r="CE57" s="1424"/>
      <c r="CF57" s="1424"/>
      <c r="CG57" s="1424"/>
      <c r="CH57" s="1424"/>
      <c r="CI57" s="1424"/>
      <c r="CK57" s="1363"/>
    </row>
    <row r="58" spans="1:89" s="1362" customFormat="1" x14ac:dyDescent="0.25">
      <c r="A58" s="1353"/>
      <c r="B58" s="579" t="s">
        <v>429</v>
      </c>
      <c r="C58" s="582" t="s">
        <v>430</v>
      </c>
      <c r="D58" s="573" t="s">
        <v>79</v>
      </c>
      <c r="E58" s="574" t="s">
        <v>146</v>
      </c>
      <c r="F58" s="575">
        <v>2</v>
      </c>
      <c r="G58" s="576"/>
      <c r="H58" s="576"/>
      <c r="I58" s="576">
        <v>4.0339999999999998</v>
      </c>
      <c r="J58" s="576">
        <v>4.4624072997485049</v>
      </c>
      <c r="K58" s="576">
        <v>4.5741848274349408</v>
      </c>
      <c r="L58" s="576">
        <v>4.5245059262409697</v>
      </c>
      <c r="M58" s="1424">
        <v>4.3073776263979493</v>
      </c>
      <c r="N58" s="1424">
        <v>4.1972730213967493</v>
      </c>
      <c r="O58" s="1424">
        <v>4.0930166263386791</v>
      </c>
      <c r="P58" s="1424">
        <v>3.9946162965483896</v>
      </c>
      <c r="Q58" s="1424">
        <v>3.9010971395766041</v>
      </c>
      <c r="R58" s="1424">
        <v>3.8133915563615921</v>
      </c>
      <c r="S58" s="1424">
        <v>3.7302602584675166</v>
      </c>
      <c r="T58" s="1424">
        <v>3.6514591356405206</v>
      </c>
      <c r="U58" s="1424">
        <v>3.576757469583987</v>
      </c>
      <c r="V58" s="1424">
        <v>3.5061654000933626</v>
      </c>
      <c r="W58" s="1424">
        <v>3.4392222432252182</v>
      </c>
      <c r="X58" s="1424">
        <v>3.3761411812434639</v>
      </c>
      <c r="Y58" s="1424">
        <v>3.3162880714943324</v>
      </c>
      <c r="Z58" s="1424">
        <v>3.2594946336341795</v>
      </c>
      <c r="AA58" s="1424">
        <v>3.2057720284672988</v>
      </c>
      <c r="AB58" s="1424">
        <v>3.1551017770165912</v>
      </c>
      <c r="AC58" s="1424">
        <v>3.1068327655008967</v>
      </c>
      <c r="AD58" s="1424">
        <v>3.0608597126934045</v>
      </c>
      <c r="AE58" s="1424">
        <v>3.017216934808546</v>
      </c>
      <c r="AF58" s="1424">
        <v>2.9756563635528797</v>
      </c>
      <c r="AG58" s="1424">
        <v>2.9365690521858365</v>
      </c>
      <c r="AH58" s="1424">
        <v>2.899557467289076</v>
      </c>
      <c r="AI58" s="1424">
        <v>2.864286911708263</v>
      </c>
      <c r="AJ58" s="1424">
        <v>2.8307836011022771</v>
      </c>
      <c r="AK58" s="1424">
        <v>2.7990542213550054</v>
      </c>
      <c r="AL58" s="1424">
        <v>2.7688153141667913</v>
      </c>
      <c r="AM58" s="1424">
        <v>2.7400881847802334</v>
      </c>
      <c r="AN58" s="1424">
        <v>2.7128777415429179</v>
      </c>
      <c r="AO58" s="1424">
        <v>2.68694378185657</v>
      </c>
      <c r="AP58" s="1424">
        <v>2.6623036009637531</v>
      </c>
      <c r="AQ58" s="1424">
        <v>2.6389607187171129</v>
      </c>
      <c r="AR58" s="1424">
        <v>2.6167114735899593</v>
      </c>
      <c r="AS58" s="1424">
        <v>2.5956315402545465</v>
      </c>
      <c r="AT58" s="1424">
        <v>2.5934237085808407</v>
      </c>
      <c r="AU58" s="1424">
        <v>2.5912396107589246</v>
      </c>
      <c r="AV58" s="1424">
        <v>2.5891385748011784</v>
      </c>
      <c r="AW58" s="1424">
        <v>2.587000177418401</v>
      </c>
      <c r="AX58" s="1424">
        <v>2.5848844060188032</v>
      </c>
      <c r="AY58" s="1424">
        <v>2.582848758665262</v>
      </c>
      <c r="AZ58" s="1424">
        <v>2.5807765708707713</v>
      </c>
      <c r="BA58" s="1424">
        <v>2.5787826417616917</v>
      </c>
      <c r="BB58" s="1424">
        <v>2.5767527046163421</v>
      </c>
      <c r="BC58" s="1424">
        <v>2.5747436983443377</v>
      </c>
      <c r="BD58" s="1424">
        <v>2.5728102586718022</v>
      </c>
      <c r="BE58" s="1424">
        <v>2.5708415950108146</v>
      </c>
      <c r="BF58" s="1424">
        <v>2.5688929240694209</v>
      </c>
      <c r="BG58" s="1424">
        <v>2.5670172624226439</v>
      </c>
      <c r="BH58" s="1424">
        <v>2.5651071392365905</v>
      </c>
      <c r="BI58" s="1424">
        <v>2.5632161258552686</v>
      </c>
      <c r="BJ58" s="1424">
        <v>2.5613956904855582</v>
      </c>
      <c r="BK58" s="1424">
        <v>2.5595415349168955</v>
      </c>
      <c r="BL58" s="1424">
        <v>2.5577564096547332</v>
      </c>
      <c r="BM58" s="1424">
        <v>2.555938044709742</v>
      </c>
      <c r="BN58" s="1424">
        <v>2.5541374324914186</v>
      </c>
      <c r="BO58" s="1424">
        <v>2.5524036113841673</v>
      </c>
      <c r="BP58" s="1424"/>
      <c r="BQ58" s="1424"/>
      <c r="BR58" s="1424"/>
      <c r="BS58" s="1424"/>
      <c r="BT58" s="1424"/>
      <c r="BU58" s="1424"/>
      <c r="BV58" s="1424"/>
      <c r="BW58" s="1424"/>
      <c r="BX58" s="1424"/>
      <c r="BY58" s="1424"/>
      <c r="BZ58" s="1424"/>
      <c r="CA58" s="1424"/>
      <c r="CB58" s="1424"/>
      <c r="CC58" s="1424"/>
      <c r="CD58" s="1424"/>
      <c r="CE58" s="1424"/>
      <c r="CF58" s="1424"/>
      <c r="CG58" s="1424"/>
      <c r="CH58" s="1424"/>
      <c r="CI58" s="1424"/>
      <c r="CK58" s="1363"/>
    </row>
    <row r="59" spans="1:89" s="1362" customFormat="1" x14ac:dyDescent="0.25">
      <c r="A59" s="1353"/>
      <c r="B59" s="579" t="s">
        <v>431</v>
      </c>
      <c r="C59" s="582" t="s">
        <v>432</v>
      </c>
      <c r="D59" s="573" t="s">
        <v>79</v>
      </c>
      <c r="E59" s="574" t="s">
        <v>146</v>
      </c>
      <c r="F59" s="575">
        <v>2</v>
      </c>
      <c r="G59" s="576"/>
      <c r="H59" s="576"/>
      <c r="I59" s="576">
        <v>0.27800000000000002</v>
      </c>
      <c r="J59" s="576">
        <v>0.23481037693438206</v>
      </c>
      <c r="K59" s="576">
        <v>0.24069207298895884</v>
      </c>
      <c r="L59" s="576">
        <v>0.23807798585359138</v>
      </c>
      <c r="M59" s="1424">
        <v>0.22807798585359138</v>
      </c>
      <c r="N59" s="1424">
        <v>0.22807798585359138</v>
      </c>
      <c r="O59" s="1424">
        <v>0.22807798585359138</v>
      </c>
      <c r="P59" s="1424">
        <v>0.22807798585359138</v>
      </c>
      <c r="Q59" s="1424">
        <v>0.22807798585359138</v>
      </c>
      <c r="R59" s="1424">
        <v>0.22807798585359138</v>
      </c>
      <c r="S59" s="1424">
        <v>0.22807798585359138</v>
      </c>
      <c r="T59" s="1424">
        <v>0.22807798585359138</v>
      </c>
      <c r="U59" s="1424">
        <v>0.22807798585359138</v>
      </c>
      <c r="V59" s="1424">
        <v>0.22807798585359138</v>
      </c>
      <c r="W59" s="1424">
        <v>0.22807798585359138</v>
      </c>
      <c r="X59" s="1424">
        <v>0.22807798585359138</v>
      </c>
      <c r="Y59" s="1424">
        <v>0.22807798585359138</v>
      </c>
      <c r="Z59" s="1424">
        <v>0.22807798585359138</v>
      </c>
      <c r="AA59" s="1424">
        <v>0.22807798585359138</v>
      </c>
      <c r="AB59" s="1424">
        <v>0.22807798585359138</v>
      </c>
      <c r="AC59" s="1424">
        <v>0.22807798585359138</v>
      </c>
      <c r="AD59" s="1424">
        <v>0.22807798585359138</v>
      </c>
      <c r="AE59" s="1424">
        <v>0.22807798585359138</v>
      </c>
      <c r="AF59" s="1424">
        <v>0.22807798585359138</v>
      </c>
      <c r="AG59" s="1424">
        <v>0.22807798585359138</v>
      </c>
      <c r="AH59" s="1424">
        <v>0.22807798585359138</v>
      </c>
      <c r="AI59" s="1424">
        <v>0.22807798585359138</v>
      </c>
      <c r="AJ59" s="1424">
        <v>0.22807798585359138</v>
      </c>
      <c r="AK59" s="1424">
        <v>0.22807798585359138</v>
      </c>
      <c r="AL59" s="1424">
        <v>0.22807798585359138</v>
      </c>
      <c r="AM59" s="1424">
        <v>0.22807798585359138</v>
      </c>
      <c r="AN59" s="1424">
        <v>0.22807798585359138</v>
      </c>
      <c r="AO59" s="1424">
        <v>0.22807798585359138</v>
      </c>
      <c r="AP59" s="1424">
        <v>0.22807798585359138</v>
      </c>
      <c r="AQ59" s="1424">
        <v>0.22807798585359138</v>
      </c>
      <c r="AR59" s="1424">
        <v>0.22807798585359138</v>
      </c>
      <c r="AS59" s="1424">
        <v>0.22807798585359138</v>
      </c>
      <c r="AT59" s="1424">
        <v>0.22807798585359138</v>
      </c>
      <c r="AU59" s="1424">
        <v>0.22807798585359138</v>
      </c>
      <c r="AV59" s="1424">
        <v>0.22807798585359138</v>
      </c>
      <c r="AW59" s="1424">
        <v>0.22807798585359138</v>
      </c>
      <c r="AX59" s="1424">
        <v>0.22807798585359138</v>
      </c>
      <c r="AY59" s="1424">
        <v>0.22807798585359138</v>
      </c>
      <c r="AZ59" s="1424">
        <v>0.22807798585359138</v>
      </c>
      <c r="BA59" s="1424">
        <v>0.22807798585359138</v>
      </c>
      <c r="BB59" s="1424">
        <v>0.22807798585359138</v>
      </c>
      <c r="BC59" s="1424">
        <v>0.22807798585359138</v>
      </c>
      <c r="BD59" s="1424">
        <v>0.22807798585359138</v>
      </c>
      <c r="BE59" s="1424">
        <v>0.22807798585359138</v>
      </c>
      <c r="BF59" s="1424">
        <v>0.22807798585359138</v>
      </c>
      <c r="BG59" s="1424">
        <v>0.22807798585359138</v>
      </c>
      <c r="BH59" s="1424">
        <v>0.22807798585359138</v>
      </c>
      <c r="BI59" s="1424">
        <v>0.22807798585359138</v>
      </c>
      <c r="BJ59" s="1424">
        <v>0.22807798585359138</v>
      </c>
      <c r="BK59" s="1424">
        <v>0.22807798585359138</v>
      </c>
      <c r="BL59" s="1424">
        <v>0.22807798585359138</v>
      </c>
      <c r="BM59" s="1424">
        <v>0.22807798585359138</v>
      </c>
      <c r="BN59" s="1424">
        <v>0.22807798585359138</v>
      </c>
      <c r="BO59" s="1424">
        <v>0.22807798585359138</v>
      </c>
      <c r="BP59" s="1424"/>
      <c r="BQ59" s="1424"/>
      <c r="BR59" s="1424"/>
      <c r="BS59" s="1424"/>
      <c r="BT59" s="1424"/>
      <c r="BU59" s="1424"/>
      <c r="BV59" s="1424"/>
      <c r="BW59" s="1424"/>
      <c r="BX59" s="1424"/>
      <c r="BY59" s="1424"/>
      <c r="BZ59" s="1424"/>
      <c r="CA59" s="1424"/>
      <c r="CB59" s="1424"/>
      <c r="CC59" s="1424"/>
      <c r="CD59" s="1424"/>
      <c r="CE59" s="1424"/>
      <c r="CF59" s="1424"/>
      <c r="CG59" s="1424"/>
      <c r="CH59" s="1424"/>
      <c r="CI59" s="1424"/>
      <c r="CK59" s="1363"/>
    </row>
    <row r="60" spans="1:89" s="1362" customFormat="1" x14ac:dyDescent="0.25">
      <c r="A60" s="1353"/>
      <c r="B60" s="579" t="s">
        <v>433</v>
      </c>
      <c r="C60" s="572" t="s">
        <v>434</v>
      </c>
      <c r="D60" s="573" t="s">
        <v>79</v>
      </c>
      <c r="E60" s="574" t="s">
        <v>146</v>
      </c>
      <c r="F60" s="575">
        <v>2</v>
      </c>
      <c r="G60" s="576"/>
      <c r="H60" s="576"/>
      <c r="I60" s="576">
        <v>25.507999999999999</v>
      </c>
      <c r="J60" s="576">
        <v>22.578888315272106</v>
      </c>
      <c r="K60" s="576">
        <v>23.252992949678468</v>
      </c>
      <c r="L60" s="576">
        <v>22.953390889942309</v>
      </c>
      <c r="M60" s="1424">
        <v>22.953390889942309</v>
      </c>
      <c r="N60" s="1424">
        <v>22.953390889942309</v>
      </c>
      <c r="O60" s="1424">
        <v>22.953390889942309</v>
      </c>
      <c r="P60" s="1424">
        <v>22.953390889942309</v>
      </c>
      <c r="Q60" s="1424">
        <v>22.953390889942309</v>
      </c>
      <c r="R60" s="1424">
        <v>22.953390889942309</v>
      </c>
      <c r="S60" s="1424">
        <v>22.953390889942309</v>
      </c>
      <c r="T60" s="1424">
        <v>22.953390889942309</v>
      </c>
      <c r="U60" s="1424">
        <v>22.953390889942309</v>
      </c>
      <c r="V60" s="1424">
        <v>22.953390889942309</v>
      </c>
      <c r="W60" s="1424">
        <v>22.953390889942309</v>
      </c>
      <c r="X60" s="1424">
        <v>22.953390889942309</v>
      </c>
      <c r="Y60" s="1424">
        <v>22.953390889942309</v>
      </c>
      <c r="Z60" s="1424">
        <v>22.953390889942309</v>
      </c>
      <c r="AA60" s="1424">
        <v>22.953390889942309</v>
      </c>
      <c r="AB60" s="1424">
        <v>22.953390889942309</v>
      </c>
      <c r="AC60" s="1424">
        <v>22.953390889942309</v>
      </c>
      <c r="AD60" s="1424">
        <v>22.953390889942309</v>
      </c>
      <c r="AE60" s="1424">
        <v>22.953390889942309</v>
      </c>
      <c r="AF60" s="1424">
        <v>22.953390889942309</v>
      </c>
      <c r="AG60" s="1424">
        <v>22.953390889942309</v>
      </c>
      <c r="AH60" s="1424">
        <v>22.953390889942309</v>
      </c>
      <c r="AI60" s="1424">
        <v>22.953390889942309</v>
      </c>
      <c r="AJ60" s="1424">
        <v>22.953390889942309</v>
      </c>
      <c r="AK60" s="1424">
        <v>22.953390889942309</v>
      </c>
      <c r="AL60" s="1424">
        <v>22.953390889942309</v>
      </c>
      <c r="AM60" s="1424">
        <v>22.953390889942309</v>
      </c>
      <c r="AN60" s="1424">
        <v>22.953390889942309</v>
      </c>
      <c r="AO60" s="1424">
        <v>22.953390889942309</v>
      </c>
      <c r="AP60" s="1424">
        <v>22.953390889942309</v>
      </c>
      <c r="AQ60" s="1424">
        <v>22.953390889942309</v>
      </c>
      <c r="AR60" s="1424">
        <v>22.953390889942309</v>
      </c>
      <c r="AS60" s="1424">
        <v>22.953390889942309</v>
      </c>
      <c r="AT60" s="1424">
        <v>22.953390889942309</v>
      </c>
      <c r="AU60" s="1424">
        <v>22.953390889942309</v>
      </c>
      <c r="AV60" s="1424">
        <v>22.953390889942309</v>
      </c>
      <c r="AW60" s="1424">
        <v>22.953390889942309</v>
      </c>
      <c r="AX60" s="1424">
        <v>22.953390889942309</v>
      </c>
      <c r="AY60" s="1424">
        <v>22.953390889942309</v>
      </c>
      <c r="AZ60" s="1424">
        <v>22.953390889942309</v>
      </c>
      <c r="BA60" s="1424">
        <v>22.953390889942309</v>
      </c>
      <c r="BB60" s="1424">
        <v>22.953390889942309</v>
      </c>
      <c r="BC60" s="1424">
        <v>22.953390889942309</v>
      </c>
      <c r="BD60" s="1424">
        <v>22.953390889942309</v>
      </c>
      <c r="BE60" s="1424">
        <v>22.953390889942309</v>
      </c>
      <c r="BF60" s="1424">
        <v>22.953390889942309</v>
      </c>
      <c r="BG60" s="1424">
        <v>22.953390889942309</v>
      </c>
      <c r="BH60" s="1424">
        <v>22.953390889942309</v>
      </c>
      <c r="BI60" s="1424">
        <v>22.953390889942309</v>
      </c>
      <c r="BJ60" s="1424">
        <v>22.953390889942309</v>
      </c>
      <c r="BK60" s="1424">
        <v>22.953390889942309</v>
      </c>
      <c r="BL60" s="1424">
        <v>22.953390889942309</v>
      </c>
      <c r="BM60" s="1424">
        <v>22.953390889942309</v>
      </c>
      <c r="BN60" s="1424">
        <v>22.953390889942309</v>
      </c>
      <c r="BO60" s="1424">
        <v>22.953390889942309</v>
      </c>
      <c r="BP60" s="1424"/>
      <c r="BQ60" s="1424"/>
      <c r="BR60" s="1424"/>
      <c r="BS60" s="1424"/>
      <c r="BT60" s="1424"/>
      <c r="BU60" s="1424"/>
      <c r="BV60" s="1424"/>
      <c r="BW60" s="1424"/>
      <c r="BX60" s="1424"/>
      <c r="BY60" s="1424"/>
      <c r="BZ60" s="1424"/>
      <c r="CA60" s="1424"/>
      <c r="CB60" s="1424"/>
      <c r="CC60" s="1424"/>
      <c r="CD60" s="1424"/>
      <c r="CE60" s="1424"/>
      <c r="CF60" s="1424"/>
      <c r="CG60" s="1424"/>
      <c r="CH60" s="1424"/>
      <c r="CI60" s="1424"/>
      <c r="CK60" s="1363"/>
    </row>
    <row r="61" spans="1:89" s="1362" customFormat="1" x14ac:dyDescent="0.25">
      <c r="A61" s="1353"/>
      <c r="B61" s="579" t="s">
        <v>435</v>
      </c>
      <c r="C61" s="572" t="s">
        <v>153</v>
      </c>
      <c r="D61" s="573" t="s">
        <v>436</v>
      </c>
      <c r="E61" s="574" t="s">
        <v>146</v>
      </c>
      <c r="F61" s="575">
        <v>2</v>
      </c>
      <c r="G61" s="583"/>
      <c r="H61" s="583"/>
      <c r="I61" s="583">
        <f t="shared" ref="I61:BS61" si="20">SUM(I55:I60)</f>
        <v>35.646000000000001</v>
      </c>
      <c r="J61" s="583">
        <f t="shared" si="20"/>
        <v>31.59713329947148</v>
      </c>
      <c r="K61" s="583">
        <f t="shared" si="20"/>
        <v>32.497133299471479</v>
      </c>
      <c r="L61" s="583">
        <f t="shared" si="20"/>
        <v>32.09713329947148</v>
      </c>
      <c r="M61" s="588">
        <f t="shared" si="20"/>
        <v>31.84713329947148</v>
      </c>
      <c r="N61" s="588">
        <f t="shared" si="20"/>
        <v>31.84713329947148</v>
      </c>
      <c r="O61" s="588">
        <f t="shared" si="20"/>
        <v>31.84713329947148</v>
      </c>
      <c r="P61" s="588">
        <f t="shared" si="20"/>
        <v>31.84713329947148</v>
      </c>
      <c r="Q61" s="588">
        <f t="shared" si="20"/>
        <v>31.84713329947148</v>
      </c>
      <c r="R61" s="588">
        <f t="shared" si="20"/>
        <v>31.84713329947148</v>
      </c>
      <c r="S61" s="588">
        <f t="shared" si="20"/>
        <v>31.84713329947148</v>
      </c>
      <c r="T61" s="588">
        <f t="shared" si="20"/>
        <v>31.84713329947148</v>
      </c>
      <c r="U61" s="588">
        <f t="shared" si="20"/>
        <v>31.84713329947148</v>
      </c>
      <c r="V61" s="588">
        <f t="shared" si="20"/>
        <v>31.84713329947148</v>
      </c>
      <c r="W61" s="588">
        <f t="shared" si="20"/>
        <v>31.84713329947148</v>
      </c>
      <c r="X61" s="588">
        <f t="shared" si="20"/>
        <v>31.84713329947148</v>
      </c>
      <c r="Y61" s="588">
        <f t="shared" si="20"/>
        <v>31.84713329947148</v>
      </c>
      <c r="Z61" s="588">
        <f t="shared" si="20"/>
        <v>31.84713329947148</v>
      </c>
      <c r="AA61" s="588">
        <f t="shared" si="20"/>
        <v>31.84713329947148</v>
      </c>
      <c r="AB61" s="588">
        <f t="shared" si="20"/>
        <v>31.84713329947148</v>
      </c>
      <c r="AC61" s="588">
        <f t="shared" si="20"/>
        <v>31.84713329947148</v>
      </c>
      <c r="AD61" s="588">
        <f t="shared" si="20"/>
        <v>31.84713329947148</v>
      </c>
      <c r="AE61" s="588">
        <f t="shared" si="20"/>
        <v>31.84713329947148</v>
      </c>
      <c r="AF61" s="588">
        <f t="shared" si="20"/>
        <v>31.84713329947148</v>
      </c>
      <c r="AG61" s="588">
        <f t="shared" si="20"/>
        <v>31.84713329947148</v>
      </c>
      <c r="AH61" s="588">
        <f t="shared" si="20"/>
        <v>31.84713329947148</v>
      </c>
      <c r="AI61" s="588">
        <f t="shared" si="20"/>
        <v>31.84713329947148</v>
      </c>
      <c r="AJ61" s="588">
        <f t="shared" si="20"/>
        <v>31.84713329947148</v>
      </c>
      <c r="AK61" s="588">
        <f t="shared" si="20"/>
        <v>31.84713329947148</v>
      </c>
      <c r="AL61" s="588">
        <f t="shared" si="20"/>
        <v>31.84713329947148</v>
      </c>
      <c r="AM61" s="588">
        <f t="shared" si="20"/>
        <v>31.84713329947148</v>
      </c>
      <c r="AN61" s="588">
        <f t="shared" si="20"/>
        <v>31.84713329947148</v>
      </c>
      <c r="AO61" s="588">
        <f t="shared" si="20"/>
        <v>31.84713329947148</v>
      </c>
      <c r="AP61" s="588">
        <f t="shared" si="20"/>
        <v>31.84713329947148</v>
      </c>
      <c r="AQ61" s="588">
        <f t="shared" si="20"/>
        <v>31.84713329947148</v>
      </c>
      <c r="AR61" s="588">
        <f t="shared" si="20"/>
        <v>31.84713329947148</v>
      </c>
      <c r="AS61" s="588">
        <f t="shared" si="20"/>
        <v>31.84713329947148</v>
      </c>
      <c r="AT61" s="588">
        <f t="shared" si="20"/>
        <v>31.84713329947148</v>
      </c>
      <c r="AU61" s="588">
        <f t="shared" si="20"/>
        <v>31.84713329947148</v>
      </c>
      <c r="AV61" s="588">
        <f t="shared" si="20"/>
        <v>31.84713329947148</v>
      </c>
      <c r="AW61" s="588">
        <f t="shared" si="20"/>
        <v>31.84713329947148</v>
      </c>
      <c r="AX61" s="588">
        <f t="shared" si="20"/>
        <v>31.84713329947148</v>
      </c>
      <c r="AY61" s="588">
        <f t="shared" si="20"/>
        <v>31.84713329947148</v>
      </c>
      <c r="AZ61" s="588">
        <f t="shared" si="20"/>
        <v>31.84713329947148</v>
      </c>
      <c r="BA61" s="588">
        <f t="shared" si="20"/>
        <v>31.84713329947148</v>
      </c>
      <c r="BB61" s="588">
        <f t="shared" si="20"/>
        <v>31.84713329947148</v>
      </c>
      <c r="BC61" s="588">
        <f t="shared" si="20"/>
        <v>31.84713329947148</v>
      </c>
      <c r="BD61" s="588">
        <f t="shared" si="20"/>
        <v>31.84713329947148</v>
      </c>
      <c r="BE61" s="588">
        <f t="shared" si="20"/>
        <v>31.84713329947148</v>
      </c>
      <c r="BF61" s="588">
        <f t="shared" si="20"/>
        <v>31.84713329947148</v>
      </c>
      <c r="BG61" s="588">
        <f t="shared" si="20"/>
        <v>31.84713329947148</v>
      </c>
      <c r="BH61" s="588">
        <f t="shared" si="20"/>
        <v>31.84713329947148</v>
      </c>
      <c r="BI61" s="588">
        <f t="shared" si="20"/>
        <v>31.84713329947148</v>
      </c>
      <c r="BJ61" s="588">
        <f t="shared" si="20"/>
        <v>31.84713329947148</v>
      </c>
      <c r="BK61" s="588">
        <f t="shared" si="20"/>
        <v>31.84713329947148</v>
      </c>
      <c r="BL61" s="588">
        <f t="shared" si="20"/>
        <v>31.84713329947148</v>
      </c>
      <c r="BM61" s="588">
        <f t="shared" si="20"/>
        <v>31.84713329947148</v>
      </c>
      <c r="BN61" s="588">
        <f t="shared" si="20"/>
        <v>31.84713329947148</v>
      </c>
      <c r="BO61" s="588">
        <f t="shared" si="20"/>
        <v>31.84713329947148</v>
      </c>
      <c r="BP61" s="588">
        <f t="shared" si="20"/>
        <v>0</v>
      </c>
      <c r="BQ61" s="588">
        <f t="shared" si="20"/>
        <v>0</v>
      </c>
      <c r="BR61" s="588">
        <f t="shared" si="20"/>
        <v>0</v>
      </c>
      <c r="BS61" s="588">
        <f t="shared" si="20"/>
        <v>0</v>
      </c>
      <c r="BT61" s="588">
        <f t="shared" ref="BT61:CI61" si="21">SUM(BT55:BT60)</f>
        <v>0</v>
      </c>
      <c r="BU61" s="588">
        <f t="shared" si="21"/>
        <v>0</v>
      </c>
      <c r="BV61" s="588">
        <f t="shared" si="21"/>
        <v>0</v>
      </c>
      <c r="BW61" s="588">
        <f t="shared" si="21"/>
        <v>0</v>
      </c>
      <c r="BX61" s="588">
        <f t="shared" si="21"/>
        <v>0</v>
      </c>
      <c r="BY61" s="588">
        <f t="shared" si="21"/>
        <v>0</v>
      </c>
      <c r="BZ61" s="588">
        <f t="shared" si="21"/>
        <v>0</v>
      </c>
      <c r="CA61" s="588">
        <f t="shared" si="21"/>
        <v>0</v>
      </c>
      <c r="CB61" s="588">
        <f t="shared" si="21"/>
        <v>0</v>
      </c>
      <c r="CC61" s="588">
        <f t="shared" si="21"/>
        <v>0</v>
      </c>
      <c r="CD61" s="588">
        <f t="shared" si="21"/>
        <v>0</v>
      </c>
      <c r="CE61" s="588">
        <f t="shared" si="21"/>
        <v>0</v>
      </c>
      <c r="CF61" s="588">
        <f t="shared" si="21"/>
        <v>0</v>
      </c>
      <c r="CG61" s="588">
        <f t="shared" si="21"/>
        <v>0</v>
      </c>
      <c r="CH61" s="588">
        <f t="shared" si="21"/>
        <v>0</v>
      </c>
      <c r="CI61" s="584">
        <f t="shared" si="21"/>
        <v>0</v>
      </c>
      <c r="CK61" s="1363"/>
    </row>
    <row r="62" spans="1:89" s="1362" customFormat="1" ht="14.4" thickBot="1" x14ac:dyDescent="0.3">
      <c r="A62" s="1353"/>
      <c r="B62" s="623" t="s">
        <v>437</v>
      </c>
      <c r="C62" s="624" t="s">
        <v>438</v>
      </c>
      <c r="D62" s="625" t="s">
        <v>439</v>
      </c>
      <c r="E62" s="626" t="s">
        <v>440</v>
      </c>
      <c r="F62" s="594">
        <v>2</v>
      </c>
      <c r="G62" s="595"/>
      <c r="H62" s="595"/>
      <c r="I62" s="595">
        <f t="shared" ref="I62:BS62" si="22">(I61*1000000)/(I76*1000)</f>
        <v>64.686710606544509</v>
      </c>
      <c r="J62" s="595">
        <f t="shared" si="22"/>
        <v>56.712090404416884</v>
      </c>
      <c r="K62" s="595">
        <f t="shared" si="22"/>
        <v>57.752260173621579</v>
      </c>
      <c r="L62" s="595">
        <f t="shared" si="22"/>
        <v>56.500448794438249</v>
      </c>
      <c r="M62" s="627">
        <f t="shared" si="22"/>
        <v>55.593516324935102</v>
      </c>
      <c r="N62" s="627">
        <f t="shared" si="22"/>
        <v>55.154930691031794</v>
      </c>
      <c r="O62" s="627">
        <f t="shared" si="22"/>
        <v>54.723602110765626</v>
      </c>
      <c r="P62" s="627">
        <f t="shared" si="22"/>
        <v>54.307323309254855</v>
      </c>
      <c r="Q62" s="627">
        <f t="shared" si="22"/>
        <v>53.887802428236107</v>
      </c>
      <c r="R62" s="627">
        <f t="shared" si="22"/>
        <v>53.502419939871707</v>
      </c>
      <c r="S62" s="627">
        <f t="shared" si="22"/>
        <v>53.122448244609899</v>
      </c>
      <c r="T62" s="627">
        <f t="shared" si="22"/>
        <v>52.748044611310426</v>
      </c>
      <c r="U62" s="627">
        <f t="shared" si="22"/>
        <v>52.378712239433753</v>
      </c>
      <c r="V62" s="627">
        <f t="shared" si="22"/>
        <v>52.023887334073983</v>
      </c>
      <c r="W62" s="627">
        <f t="shared" si="22"/>
        <v>51.673666947293235</v>
      </c>
      <c r="X62" s="627">
        <f t="shared" si="22"/>
        <v>51.345156198221318</v>
      </c>
      <c r="Y62" s="627">
        <f t="shared" si="22"/>
        <v>51.016266770517539</v>
      </c>
      <c r="Z62" s="627">
        <f t="shared" si="22"/>
        <v>50.689878133352686</v>
      </c>
      <c r="AA62" s="627">
        <f t="shared" si="22"/>
        <v>50.377811239435367</v>
      </c>
      <c r="AB62" s="627">
        <f t="shared" si="22"/>
        <v>50.082864609492205</v>
      </c>
      <c r="AC62" s="627">
        <f t="shared" si="22"/>
        <v>49.786677940597976</v>
      </c>
      <c r="AD62" s="627">
        <f t="shared" si="22"/>
        <v>49.485729847268104</v>
      </c>
      <c r="AE62" s="627">
        <f t="shared" si="22"/>
        <v>49.18841032014582</v>
      </c>
      <c r="AF62" s="627">
        <f t="shared" si="22"/>
        <v>48.887002728842347</v>
      </c>
      <c r="AG62" s="627">
        <f t="shared" si="22"/>
        <v>48.611536486288514</v>
      </c>
      <c r="AH62" s="627">
        <f t="shared" si="22"/>
        <v>48.346078528321655</v>
      </c>
      <c r="AI62" s="627">
        <f t="shared" si="22"/>
        <v>48.076271879592859</v>
      </c>
      <c r="AJ62" s="627">
        <f t="shared" si="22"/>
        <v>47.809345700809097</v>
      </c>
      <c r="AK62" s="627">
        <f t="shared" si="22"/>
        <v>47.552498271575452</v>
      </c>
      <c r="AL62" s="627">
        <f t="shared" si="22"/>
        <v>47.290985039177649</v>
      </c>
      <c r="AM62" s="627">
        <f t="shared" si="22"/>
        <v>47.0323686817271</v>
      </c>
      <c r="AN62" s="627">
        <f t="shared" si="22"/>
        <v>46.783337654274888</v>
      </c>
      <c r="AO62" s="627">
        <f t="shared" si="22"/>
        <v>46.530170486254583</v>
      </c>
      <c r="AP62" s="627">
        <f t="shared" si="22"/>
        <v>46.279366453445917</v>
      </c>
      <c r="AQ62" s="627">
        <f t="shared" si="22"/>
        <v>46.037948667428289</v>
      </c>
      <c r="AR62" s="627">
        <f t="shared" si="22"/>
        <v>45.79236348484374</v>
      </c>
      <c r="AS62" s="627">
        <f t="shared" si="22"/>
        <v>45.555945264963256</v>
      </c>
      <c r="AT62" s="627">
        <f t="shared" si="22"/>
        <v>45.315166045674097</v>
      </c>
      <c r="AU62" s="627">
        <f t="shared" si="22"/>
        <v>45.076965665792656</v>
      </c>
      <c r="AV62" s="627">
        <f t="shared" si="22"/>
        <v>44.847492499762929</v>
      </c>
      <c r="AW62" s="627">
        <f t="shared" si="22"/>
        <v>44.614141570592217</v>
      </c>
      <c r="AX62" s="627">
        <f t="shared" si="22"/>
        <v>44.382884388455501</v>
      </c>
      <c r="AY62" s="627">
        <f t="shared" si="22"/>
        <v>44.160184431185357</v>
      </c>
      <c r="AZ62" s="627">
        <f t="shared" si="22"/>
        <v>43.933575519201916</v>
      </c>
      <c r="BA62" s="627">
        <f t="shared" si="22"/>
        <v>43.71533070200455</v>
      </c>
      <c r="BB62" s="627">
        <f t="shared" si="22"/>
        <v>43.49299724932586</v>
      </c>
      <c r="BC62" s="627">
        <f t="shared" si="22"/>
        <v>43.272964958431608</v>
      </c>
      <c r="BD62" s="627">
        <f t="shared" si="22"/>
        <v>43.060904144117252</v>
      </c>
      <c r="BE62" s="627">
        <f t="shared" si="22"/>
        <v>42.845198177790216</v>
      </c>
      <c r="BF62" s="627">
        <f t="shared" si="22"/>
        <v>42.631351660127585</v>
      </c>
      <c r="BG62" s="627">
        <f t="shared" si="22"/>
        <v>42.425331820381288</v>
      </c>
      <c r="BH62" s="627">
        <f t="shared" si="22"/>
        <v>42.215636628670751</v>
      </c>
      <c r="BI62" s="627">
        <f t="shared" si="22"/>
        <v>42.008055844711699</v>
      </c>
      <c r="BJ62" s="627">
        <f t="shared" si="22"/>
        <v>41.807716535979871</v>
      </c>
      <c r="BK62" s="627">
        <f t="shared" si="22"/>
        <v>41.603894936609251</v>
      </c>
      <c r="BL62" s="627">
        <f t="shared" si="22"/>
        <v>41.407377942606601</v>
      </c>
      <c r="BM62" s="627">
        <f t="shared" si="22"/>
        <v>41.207427551684638</v>
      </c>
      <c r="BN62" s="627">
        <f t="shared" si="22"/>
        <v>41.009133331975704</v>
      </c>
      <c r="BO62" s="627">
        <f t="shared" si="22"/>
        <v>40.81802037607499</v>
      </c>
      <c r="BP62" s="627">
        <f t="shared" si="22"/>
        <v>0</v>
      </c>
      <c r="BQ62" s="627">
        <f t="shared" si="22"/>
        <v>0</v>
      </c>
      <c r="BR62" s="627">
        <f t="shared" si="22"/>
        <v>0</v>
      </c>
      <c r="BS62" s="627">
        <f t="shared" si="22"/>
        <v>0</v>
      </c>
      <c r="BT62" s="627">
        <f t="shared" ref="BT62:CI62" si="23">(BT61*1000000)/(BT76*1000)</f>
        <v>0</v>
      </c>
      <c r="BU62" s="627">
        <f t="shared" si="23"/>
        <v>0</v>
      </c>
      <c r="BV62" s="627">
        <f t="shared" si="23"/>
        <v>0</v>
      </c>
      <c r="BW62" s="627">
        <f t="shared" si="23"/>
        <v>0</v>
      </c>
      <c r="BX62" s="627">
        <f t="shared" si="23"/>
        <v>0</v>
      </c>
      <c r="BY62" s="627">
        <f t="shared" si="23"/>
        <v>0</v>
      </c>
      <c r="BZ62" s="627">
        <f t="shared" si="23"/>
        <v>0</v>
      </c>
      <c r="CA62" s="627">
        <f t="shared" si="23"/>
        <v>0</v>
      </c>
      <c r="CB62" s="627">
        <f t="shared" si="23"/>
        <v>0</v>
      </c>
      <c r="CC62" s="627">
        <f t="shared" si="23"/>
        <v>0</v>
      </c>
      <c r="CD62" s="627">
        <f t="shared" si="23"/>
        <v>0</v>
      </c>
      <c r="CE62" s="627">
        <f t="shared" si="23"/>
        <v>0</v>
      </c>
      <c r="CF62" s="627">
        <f t="shared" si="23"/>
        <v>0</v>
      </c>
      <c r="CG62" s="627">
        <f t="shared" si="23"/>
        <v>0</v>
      </c>
      <c r="CH62" s="627">
        <f t="shared" si="23"/>
        <v>0</v>
      </c>
      <c r="CI62" s="596">
        <f t="shared" si="23"/>
        <v>0</v>
      </c>
      <c r="CK62" s="1363"/>
    </row>
    <row r="63" spans="1:89" s="1362" customFormat="1" x14ac:dyDescent="0.25">
      <c r="A63" s="1353"/>
      <c r="B63" s="597" t="s">
        <v>441</v>
      </c>
      <c r="C63" s="598" t="s">
        <v>442</v>
      </c>
      <c r="D63" s="628" t="s">
        <v>79</v>
      </c>
      <c r="E63" s="629" t="s">
        <v>254</v>
      </c>
      <c r="F63" s="630">
        <v>2</v>
      </c>
      <c r="G63" s="631"/>
      <c r="H63" s="631"/>
      <c r="I63" s="631">
        <v>29.834</v>
      </c>
      <c r="J63" s="631">
        <v>29.922689306003885</v>
      </c>
      <c r="K63" s="631">
        <v>30.069659718805781</v>
      </c>
      <c r="L63" s="631">
        <v>30.159166321214123</v>
      </c>
      <c r="M63" s="1429">
        <v>30.232379539141327</v>
      </c>
      <c r="N63" s="1429">
        <v>30.286357112025247</v>
      </c>
      <c r="O63" s="1429">
        <v>30.337590546503662</v>
      </c>
      <c r="P63" s="1429">
        <v>30.398155922176908</v>
      </c>
      <c r="Q63" s="1429">
        <v>30.465289889958157</v>
      </c>
      <c r="R63" s="1429">
        <v>30.520655999231</v>
      </c>
      <c r="S63" s="1429">
        <v>30.578233452285289</v>
      </c>
      <c r="T63" s="1429">
        <v>30.633573855854657</v>
      </c>
      <c r="U63" s="1429">
        <v>30.692670863565187</v>
      </c>
      <c r="V63" s="1429">
        <v>30.738081751431285</v>
      </c>
      <c r="W63" s="1429">
        <v>30.786928992519272</v>
      </c>
      <c r="X63" s="1429">
        <v>30.83034150102516</v>
      </c>
      <c r="Y63" s="1429">
        <v>30.929067433849323</v>
      </c>
      <c r="Z63" s="1429">
        <v>31.04598251266966</v>
      </c>
      <c r="AA63" s="1429">
        <v>31.138692225409262</v>
      </c>
      <c r="AB63" s="1429">
        <v>31.260633965173323</v>
      </c>
      <c r="AC63" s="1429">
        <v>31.34684544922348</v>
      </c>
      <c r="AD63" s="1429">
        <v>31.434960823797933</v>
      </c>
      <c r="AE63" s="1429">
        <v>31.524919305847909</v>
      </c>
      <c r="AF63" s="1429">
        <v>31.616663530468553</v>
      </c>
      <c r="AG63" s="1429">
        <v>31.710140404238814</v>
      </c>
      <c r="AH63" s="1429">
        <v>31.805300590466963</v>
      </c>
      <c r="AI63" s="1429">
        <v>31.90209783025951</v>
      </c>
      <c r="AJ63" s="1429">
        <v>32.000488881981695</v>
      </c>
      <c r="AK63" s="1429">
        <v>32.100432897604833</v>
      </c>
      <c r="AL63" s="1429">
        <v>32.201892609452393</v>
      </c>
      <c r="AM63" s="1429">
        <v>32.304832138481686</v>
      </c>
      <c r="AN63" s="1429">
        <v>32.409218227358174</v>
      </c>
      <c r="AO63" s="1429">
        <v>32.515019875112074</v>
      </c>
      <c r="AP63" s="1429">
        <v>32.622207599489776</v>
      </c>
      <c r="AQ63" s="1429">
        <v>32.730753901070393</v>
      </c>
      <c r="AR63" s="1429">
        <v>32.840633144277163</v>
      </c>
      <c r="AS63" s="1429">
        <v>32.951821043926358</v>
      </c>
      <c r="AT63" s="1429">
        <v>33.064294570025758</v>
      </c>
      <c r="AU63" s="1429">
        <v>33.17803224798319</v>
      </c>
      <c r="AV63" s="1429">
        <v>33.293014072642869</v>
      </c>
      <c r="AW63" s="1429">
        <v>33.409220833455635</v>
      </c>
      <c r="AX63" s="1429">
        <v>33.526634835210089</v>
      </c>
      <c r="AY63" s="1429">
        <v>33.645239236451218</v>
      </c>
      <c r="AZ63" s="1429">
        <v>33.765017981864368</v>
      </c>
      <c r="BA63" s="1429">
        <v>33.885956345736297</v>
      </c>
      <c r="BB63" s="1429">
        <v>34.008040079332112</v>
      </c>
      <c r="BC63" s="1429">
        <v>34.131256157509817</v>
      </c>
      <c r="BD63" s="1429">
        <v>34.255592135386877</v>
      </c>
      <c r="BE63" s="1429">
        <v>34.381036106241083</v>
      </c>
      <c r="BF63" s="1429">
        <v>34.507577452490473</v>
      </c>
      <c r="BG63" s="1429">
        <v>34.635205424994652</v>
      </c>
      <c r="BH63" s="1429">
        <v>34.763910685599662</v>
      </c>
      <c r="BI63" s="1429">
        <v>34.893683699009351</v>
      </c>
      <c r="BJ63" s="1429">
        <v>35.024516278995044</v>
      </c>
      <c r="BK63" s="1429">
        <v>35.156400176693865</v>
      </c>
      <c r="BL63" s="1429">
        <v>35.289327848208721</v>
      </c>
      <c r="BM63" s="1429">
        <v>35.423292227382724</v>
      </c>
      <c r="BN63" s="1429">
        <v>35.558286902333855</v>
      </c>
      <c r="BO63" s="1429">
        <v>35.694305695918153</v>
      </c>
      <c r="BP63" s="632"/>
      <c r="BQ63" s="632"/>
      <c r="BR63" s="632"/>
      <c r="BS63" s="632"/>
      <c r="BT63" s="632"/>
      <c r="BU63" s="632"/>
      <c r="BV63" s="632"/>
      <c r="BW63" s="632"/>
      <c r="BX63" s="632"/>
      <c r="BY63" s="632"/>
      <c r="BZ63" s="632"/>
      <c r="CA63" s="632"/>
      <c r="CB63" s="632"/>
      <c r="CC63" s="632"/>
      <c r="CD63" s="632"/>
      <c r="CE63" s="632"/>
      <c r="CF63" s="632"/>
      <c r="CG63" s="632"/>
      <c r="CH63" s="632"/>
      <c r="CI63" s="633"/>
      <c r="CK63" s="1363"/>
    </row>
    <row r="64" spans="1:89" s="1362" customFormat="1" x14ac:dyDescent="0.25">
      <c r="A64" s="1353"/>
      <c r="B64" s="599" t="s">
        <v>443</v>
      </c>
      <c r="C64" s="600" t="s">
        <v>444</v>
      </c>
      <c r="D64" s="634" t="s">
        <v>79</v>
      </c>
      <c r="E64" s="611" t="s">
        <v>254</v>
      </c>
      <c r="F64" s="612">
        <v>2</v>
      </c>
      <c r="G64" s="635"/>
      <c r="H64" s="635"/>
      <c r="I64" s="635">
        <v>1.0669999999999999</v>
      </c>
      <c r="J64" s="635">
        <v>1.07017193435362</v>
      </c>
      <c r="K64" s="635">
        <v>1.0722407532242821</v>
      </c>
      <c r="L64" s="635">
        <v>1.0701760766720663</v>
      </c>
      <c r="M64" s="1429">
        <v>1.0695902076567994</v>
      </c>
      <c r="N64" s="1429">
        <v>1.0689050458860818</v>
      </c>
      <c r="O64" s="1429">
        <v>1.0688049735855043</v>
      </c>
      <c r="P64" s="1429">
        <v>1.0691301380458884</v>
      </c>
      <c r="Q64" s="1429">
        <v>1.0693564568786882</v>
      </c>
      <c r="R64" s="1429">
        <v>1.0689391129645403</v>
      </c>
      <c r="S64" s="1429">
        <v>1.0690129037334866</v>
      </c>
      <c r="T64" s="1429">
        <v>1.0689310536921781</v>
      </c>
      <c r="U64" s="1429">
        <v>1.0690584117127071</v>
      </c>
      <c r="V64" s="1429">
        <v>1.0685786640911352</v>
      </c>
      <c r="W64" s="1429">
        <v>1.0686956167487069</v>
      </c>
      <c r="X64" s="1429">
        <v>1.0685045718456365</v>
      </c>
      <c r="Y64" s="1429">
        <v>1.0704167824680115</v>
      </c>
      <c r="Z64" s="1429">
        <v>1.0710333705297754</v>
      </c>
      <c r="AA64" s="1429">
        <v>1.0701862822654398</v>
      </c>
      <c r="AB64" s="1429">
        <v>1.0711784618116309</v>
      </c>
      <c r="AC64" s="1429">
        <v>1.0699426035820028</v>
      </c>
      <c r="AD64" s="1429">
        <v>1.0699993163051473</v>
      </c>
      <c r="AE64" s="1429">
        <v>1.0700534696984541</v>
      </c>
      <c r="AF64" s="1429">
        <v>1.0701051970893434</v>
      </c>
      <c r="AG64" s="1429">
        <v>1.0701546600170737</v>
      </c>
      <c r="AH64" s="1429">
        <v>1.0702020015493767</v>
      </c>
      <c r="AI64" s="1429">
        <v>1.0702473409444657</v>
      </c>
      <c r="AJ64" s="1429">
        <v>1.0702907946288092</v>
      </c>
      <c r="AK64" s="1429">
        <v>1.0703324573591058</v>
      </c>
      <c r="AL64" s="1429">
        <v>1.0703724626981523</v>
      </c>
      <c r="AM64" s="1429">
        <v>1.0704108702493462</v>
      </c>
      <c r="AN64" s="1429">
        <v>1.0704477800829895</v>
      </c>
      <c r="AO64" s="1429">
        <v>1.0704832792744632</v>
      </c>
      <c r="AP64" s="1429">
        <v>1.0705174298631992</v>
      </c>
      <c r="AQ64" s="1429">
        <v>1.0705503085875956</v>
      </c>
      <c r="AR64" s="1429">
        <v>1.0705819875355165</v>
      </c>
      <c r="AS64" s="1429">
        <v>1.0706125213665647</v>
      </c>
      <c r="AT64" s="1429">
        <v>1.0706419611586357</v>
      </c>
      <c r="AU64" s="1429">
        <v>1.0706703672030047</v>
      </c>
      <c r="AV64" s="1429">
        <v>1.0706977963609978</v>
      </c>
      <c r="AW64" s="1429">
        <v>1.0707242832240216</v>
      </c>
      <c r="AX64" s="1429">
        <v>1.0707498851139434</v>
      </c>
      <c r="AY64" s="1429">
        <v>1.0707746375902787</v>
      </c>
      <c r="AZ64" s="1429">
        <v>1.0707985737137056</v>
      </c>
      <c r="BA64" s="1429">
        <v>1.0708217433890268</v>
      </c>
      <c r="BB64" s="1429">
        <v>1.070844169024407</v>
      </c>
      <c r="BC64" s="1429">
        <v>1.0708658962736035</v>
      </c>
      <c r="BD64" s="1429">
        <v>1.0708869500666145</v>
      </c>
      <c r="BE64" s="1429">
        <v>1.0709073537649616</v>
      </c>
      <c r="BF64" s="1429">
        <v>1.0709271537957978</v>
      </c>
      <c r="BG64" s="1429">
        <v>1.0709463519816576</v>
      </c>
      <c r="BH64" s="1429">
        <v>1.0709649977928473</v>
      </c>
      <c r="BI64" s="1429">
        <v>1.0709830905838393</v>
      </c>
      <c r="BJ64" s="1429">
        <v>1.0710006771439951</v>
      </c>
      <c r="BK64" s="1429">
        <v>1.071017760523044</v>
      </c>
      <c r="BL64" s="1429">
        <v>1.071034367136364</v>
      </c>
      <c r="BM64" s="1429">
        <v>1.0710505161558885</v>
      </c>
      <c r="BN64" s="1429">
        <v>1.0710662318241833</v>
      </c>
      <c r="BO64" s="1429">
        <v>1.0710815254445052</v>
      </c>
      <c r="BP64" s="636"/>
      <c r="BQ64" s="636"/>
      <c r="BR64" s="636"/>
      <c r="BS64" s="636"/>
      <c r="BT64" s="636"/>
      <c r="BU64" s="636"/>
      <c r="BV64" s="636"/>
      <c r="BW64" s="636"/>
      <c r="BX64" s="636"/>
      <c r="BY64" s="636"/>
      <c r="BZ64" s="636"/>
      <c r="CA64" s="636"/>
      <c r="CB64" s="636"/>
      <c r="CC64" s="636"/>
      <c r="CD64" s="636"/>
      <c r="CE64" s="636"/>
      <c r="CF64" s="636"/>
      <c r="CG64" s="636"/>
      <c r="CH64" s="636"/>
      <c r="CI64" s="637"/>
      <c r="CK64" s="1363"/>
    </row>
    <row r="65" spans="1:89" s="1362" customFormat="1" x14ac:dyDescent="0.25">
      <c r="A65" s="1353"/>
      <c r="B65" s="638" t="s">
        <v>445</v>
      </c>
      <c r="C65" s="639" t="s">
        <v>446</v>
      </c>
      <c r="D65" s="634" t="s">
        <v>79</v>
      </c>
      <c r="E65" s="611" t="s">
        <v>254</v>
      </c>
      <c r="F65" s="612">
        <v>2</v>
      </c>
      <c r="G65" s="635"/>
      <c r="H65" s="635"/>
      <c r="I65" s="635">
        <v>2.4780000000000002</v>
      </c>
      <c r="J65" s="635">
        <v>2.48</v>
      </c>
      <c r="K65" s="635">
        <v>2.48</v>
      </c>
      <c r="L65" s="635">
        <v>2.48</v>
      </c>
      <c r="M65" s="1429">
        <v>2.4780000000000002</v>
      </c>
      <c r="N65" s="1429">
        <v>2.48</v>
      </c>
      <c r="O65" s="1429">
        <v>2.48</v>
      </c>
      <c r="P65" s="1429">
        <v>2.48</v>
      </c>
      <c r="Q65" s="1429">
        <v>2.4780000000000002</v>
      </c>
      <c r="R65" s="1429">
        <v>2.48</v>
      </c>
      <c r="S65" s="1429">
        <v>2.48</v>
      </c>
      <c r="T65" s="1429">
        <v>2.48</v>
      </c>
      <c r="U65" s="1429">
        <v>2.4780000000000002</v>
      </c>
      <c r="V65" s="1429">
        <v>2.48</v>
      </c>
      <c r="W65" s="1429">
        <v>2.48</v>
      </c>
      <c r="X65" s="1429">
        <v>2.48</v>
      </c>
      <c r="Y65" s="1429">
        <v>2.4780000000000002</v>
      </c>
      <c r="Z65" s="1429">
        <v>2.48</v>
      </c>
      <c r="AA65" s="1429">
        <v>2.48</v>
      </c>
      <c r="AB65" s="1429">
        <v>2.48</v>
      </c>
      <c r="AC65" s="1429">
        <v>2.4780000000000002</v>
      </c>
      <c r="AD65" s="1429">
        <v>2.48</v>
      </c>
      <c r="AE65" s="1429">
        <v>2.48</v>
      </c>
      <c r="AF65" s="1429">
        <v>2.48</v>
      </c>
      <c r="AG65" s="1429">
        <v>2.4780000000000002</v>
      </c>
      <c r="AH65" s="1429">
        <v>2.48</v>
      </c>
      <c r="AI65" s="1429">
        <v>2.48</v>
      </c>
      <c r="AJ65" s="1429">
        <v>2.48</v>
      </c>
      <c r="AK65" s="1429">
        <v>2.4780000000000002</v>
      </c>
      <c r="AL65" s="1429">
        <v>2.48</v>
      </c>
      <c r="AM65" s="1429">
        <v>2.48</v>
      </c>
      <c r="AN65" s="1429">
        <v>2.48</v>
      </c>
      <c r="AO65" s="1429">
        <v>2.4780000000000002</v>
      </c>
      <c r="AP65" s="1429">
        <v>2.48</v>
      </c>
      <c r="AQ65" s="1429">
        <v>2.48</v>
      </c>
      <c r="AR65" s="1429">
        <v>2.48</v>
      </c>
      <c r="AS65" s="1429">
        <v>2.4780000000000002</v>
      </c>
      <c r="AT65" s="1429">
        <v>2.48</v>
      </c>
      <c r="AU65" s="1429">
        <v>2.48</v>
      </c>
      <c r="AV65" s="1429">
        <v>2.48</v>
      </c>
      <c r="AW65" s="1429">
        <v>2.4780000000000002</v>
      </c>
      <c r="AX65" s="1429">
        <v>2.48</v>
      </c>
      <c r="AY65" s="1429">
        <v>2.48</v>
      </c>
      <c r="AZ65" s="1429">
        <v>2.48</v>
      </c>
      <c r="BA65" s="1429">
        <v>2.4780000000000002</v>
      </c>
      <c r="BB65" s="1429">
        <v>2.48</v>
      </c>
      <c r="BC65" s="1429">
        <v>2.48</v>
      </c>
      <c r="BD65" s="1429">
        <v>2.48</v>
      </c>
      <c r="BE65" s="1429">
        <v>2.4780000000000002</v>
      </c>
      <c r="BF65" s="1429">
        <v>2.48</v>
      </c>
      <c r="BG65" s="1429">
        <v>2.48</v>
      </c>
      <c r="BH65" s="1429">
        <v>2.48</v>
      </c>
      <c r="BI65" s="1429">
        <v>2.4780000000000002</v>
      </c>
      <c r="BJ65" s="1429">
        <v>2.48</v>
      </c>
      <c r="BK65" s="1429">
        <v>2.48</v>
      </c>
      <c r="BL65" s="1429">
        <v>2.48</v>
      </c>
      <c r="BM65" s="1429">
        <v>2.4780000000000002</v>
      </c>
      <c r="BN65" s="1429">
        <v>2.48</v>
      </c>
      <c r="BO65" s="1429">
        <v>2.48</v>
      </c>
      <c r="BP65" s="636"/>
      <c r="BQ65" s="636"/>
      <c r="BR65" s="636"/>
      <c r="BS65" s="636"/>
      <c r="BT65" s="636"/>
      <c r="BU65" s="636"/>
      <c r="BV65" s="636"/>
      <c r="BW65" s="636"/>
      <c r="BX65" s="636"/>
      <c r="BY65" s="636"/>
      <c r="BZ65" s="636"/>
      <c r="CA65" s="636"/>
      <c r="CB65" s="636"/>
      <c r="CC65" s="636"/>
      <c r="CD65" s="636"/>
      <c r="CE65" s="636"/>
      <c r="CF65" s="636"/>
      <c r="CG65" s="636"/>
      <c r="CH65" s="636"/>
      <c r="CI65" s="637"/>
      <c r="CK65" s="1363"/>
    </row>
    <row r="66" spans="1:89" s="1362" customFormat="1" x14ac:dyDescent="0.25">
      <c r="A66" s="1353"/>
      <c r="B66" s="638" t="s">
        <v>447</v>
      </c>
      <c r="C66" s="639" t="s">
        <v>448</v>
      </c>
      <c r="D66" s="640" t="s">
        <v>449</v>
      </c>
      <c r="E66" s="641" t="s">
        <v>254</v>
      </c>
      <c r="F66" s="642">
        <v>2</v>
      </c>
      <c r="G66" s="635"/>
      <c r="H66" s="635"/>
      <c r="I66" s="635">
        <v>311.85700000000003</v>
      </c>
      <c r="J66" s="588">
        <f>I66+SUM(J67:J72)</f>
        <v>338.88349749460309</v>
      </c>
      <c r="K66" s="588">
        <f t="shared" ref="K66:BS66" si="24">J66+SUM(K67:K72)</f>
        <v>363.04690375375623</v>
      </c>
      <c r="L66" s="588">
        <f t="shared" si="24"/>
        <v>385.08281745301178</v>
      </c>
      <c r="M66" s="588">
        <f>L66+SUM(M67:M72)</f>
        <v>395.84260152000962</v>
      </c>
      <c r="N66" s="588">
        <f t="shared" si="24"/>
        <v>406.13554228946452</v>
      </c>
      <c r="O66" s="588">
        <f t="shared" si="24"/>
        <v>416.16992037906283</v>
      </c>
      <c r="P66" s="588">
        <f t="shared" si="24"/>
        <v>425.85892825693179</v>
      </c>
      <c r="Q66" s="588">
        <f t="shared" si="24"/>
        <v>435.40982166012282</v>
      </c>
      <c r="R66" s="588">
        <f t="shared" si="24"/>
        <v>444.44024910776875</v>
      </c>
      <c r="S66" s="588">
        <f t="shared" si="24"/>
        <v>453.25471774953104</v>
      </c>
      <c r="T66" s="588">
        <f t="shared" si="24"/>
        <v>461.86273292131381</v>
      </c>
      <c r="U66" s="588">
        <f t="shared" si="24"/>
        <v>470.27338158566346</v>
      </c>
      <c r="V66" s="588">
        <f t="shared" si="24"/>
        <v>478.39716268694673</v>
      </c>
      <c r="W66" s="588">
        <f t="shared" si="24"/>
        <v>486.34056893341915</v>
      </c>
      <c r="X66" s="588">
        <f t="shared" si="24"/>
        <v>493.91516332966262</v>
      </c>
      <c r="Y66" s="588">
        <f t="shared" si="24"/>
        <v>501.32491168048949</v>
      </c>
      <c r="Z66" s="588">
        <f t="shared" si="24"/>
        <v>508.57706961517471</v>
      </c>
      <c r="AA66" s="588">
        <f t="shared" si="24"/>
        <v>515.58038535017579</v>
      </c>
      <c r="AB66" s="588">
        <f t="shared" si="24"/>
        <v>522.24330180469144</v>
      </c>
      <c r="AC66" s="588">
        <f t="shared" si="24"/>
        <v>528.86672227559097</v>
      </c>
      <c r="AD66" s="588">
        <f t="shared" si="24"/>
        <v>535.45670686804874</v>
      </c>
      <c r="AE66" s="588">
        <f t="shared" si="24"/>
        <v>541.92086089491193</v>
      </c>
      <c r="AF66" s="588">
        <f t="shared" si="24"/>
        <v>548.36291079488922</v>
      </c>
      <c r="AG66" s="588">
        <f t="shared" si="24"/>
        <v>554.39539894050586</v>
      </c>
      <c r="AH66" s="588">
        <f t="shared" si="24"/>
        <v>560.21976302035864</v>
      </c>
      <c r="AI66" s="588">
        <f t="shared" si="24"/>
        <v>566.03721794017702</v>
      </c>
      <c r="AJ66" s="588">
        <f t="shared" si="24"/>
        <v>571.75420145046735</v>
      </c>
      <c r="AK66" s="588">
        <f t="shared" si="24"/>
        <v>577.27694769866343</v>
      </c>
      <c r="AL66" s="588">
        <f t="shared" si="24"/>
        <v>582.80606036867835</v>
      </c>
      <c r="AM66" s="588">
        <f t="shared" si="24"/>
        <v>588.2473928918738</v>
      </c>
      <c r="AN66" s="588">
        <f t="shared" si="24"/>
        <v>593.50662081509893</v>
      </c>
      <c r="AO66" s="588">
        <f t="shared" si="24"/>
        <v>598.78381380825294</v>
      </c>
      <c r="AP66" s="588">
        <f t="shared" si="24"/>
        <v>603.98431479308465</v>
      </c>
      <c r="AQ66" s="588">
        <f t="shared" si="24"/>
        <v>609.01331127669664</v>
      </c>
      <c r="AR66" s="588">
        <f t="shared" si="24"/>
        <v>614.07040637010482</v>
      </c>
      <c r="AS66" s="588">
        <f t="shared" si="24"/>
        <v>618.96230891221819</v>
      </c>
      <c r="AT66" s="588">
        <f t="shared" si="24"/>
        <v>622.49707904880916</v>
      </c>
      <c r="AU66" s="588">
        <f t="shared" si="24"/>
        <v>626.03184918540023</v>
      </c>
      <c r="AV66" s="588">
        <f t="shared" si="24"/>
        <v>629.46843126264139</v>
      </c>
      <c r="AW66" s="588">
        <f t="shared" si="24"/>
        <v>633.00320139923235</v>
      </c>
      <c r="AX66" s="588">
        <f t="shared" si="24"/>
        <v>636.53797153582343</v>
      </c>
      <c r="AY66" s="588">
        <f t="shared" si="24"/>
        <v>639.97455361306459</v>
      </c>
      <c r="AZ66" s="588">
        <f t="shared" si="24"/>
        <v>643.50932374965555</v>
      </c>
      <c r="BA66" s="588">
        <f t="shared" si="24"/>
        <v>646.94590582689682</v>
      </c>
      <c r="BB66" s="588">
        <f t="shared" si="24"/>
        <v>650.48067596348778</v>
      </c>
      <c r="BC66" s="588">
        <f t="shared" si="24"/>
        <v>654.01544610007875</v>
      </c>
      <c r="BD66" s="588">
        <f t="shared" si="24"/>
        <v>657.45202817732002</v>
      </c>
      <c r="BE66" s="588">
        <f t="shared" si="24"/>
        <v>660.98679831391098</v>
      </c>
      <c r="BF66" s="588">
        <f t="shared" si="24"/>
        <v>664.52156845050206</v>
      </c>
      <c r="BG66" s="588">
        <f t="shared" si="24"/>
        <v>667.95815052774321</v>
      </c>
      <c r="BH66" s="588">
        <f t="shared" si="24"/>
        <v>671.49292066433418</v>
      </c>
      <c r="BI66" s="588">
        <f t="shared" si="24"/>
        <v>675.02769080092526</v>
      </c>
      <c r="BJ66" s="588">
        <f t="shared" si="24"/>
        <v>678.46427287816641</v>
      </c>
      <c r="BK66" s="588">
        <f t="shared" si="24"/>
        <v>681.99904301475738</v>
      </c>
      <c r="BL66" s="588">
        <f t="shared" si="24"/>
        <v>685.43562509199865</v>
      </c>
      <c r="BM66" s="588">
        <f t="shared" si="24"/>
        <v>688.97039522858961</v>
      </c>
      <c r="BN66" s="588">
        <f t="shared" si="24"/>
        <v>692.50516536518069</v>
      </c>
      <c r="BO66" s="588">
        <f t="shared" si="24"/>
        <v>695.94174744242184</v>
      </c>
      <c r="BP66" s="588">
        <f t="shared" si="24"/>
        <v>695.94174744242184</v>
      </c>
      <c r="BQ66" s="588">
        <f t="shared" si="24"/>
        <v>695.94174744242184</v>
      </c>
      <c r="BR66" s="588">
        <f t="shared" si="24"/>
        <v>695.94174744242184</v>
      </c>
      <c r="BS66" s="588">
        <f t="shared" si="24"/>
        <v>695.94174744242184</v>
      </c>
      <c r="BT66" s="588">
        <f t="shared" ref="BT66:CI66" si="25">BS66+SUM(BT67:BT72)</f>
        <v>695.94174744242184</v>
      </c>
      <c r="BU66" s="588">
        <f t="shared" si="25"/>
        <v>695.94174744242184</v>
      </c>
      <c r="BV66" s="588">
        <f t="shared" si="25"/>
        <v>695.94174744242184</v>
      </c>
      <c r="BW66" s="588">
        <f t="shared" si="25"/>
        <v>695.94174744242184</v>
      </c>
      <c r="BX66" s="588">
        <f t="shared" si="25"/>
        <v>695.94174744242184</v>
      </c>
      <c r="BY66" s="588">
        <f t="shared" si="25"/>
        <v>695.94174744242184</v>
      </c>
      <c r="BZ66" s="588">
        <f t="shared" si="25"/>
        <v>695.94174744242184</v>
      </c>
      <c r="CA66" s="588">
        <f t="shared" si="25"/>
        <v>695.94174744242184</v>
      </c>
      <c r="CB66" s="588">
        <f t="shared" si="25"/>
        <v>695.94174744242184</v>
      </c>
      <c r="CC66" s="588">
        <f t="shared" si="25"/>
        <v>695.94174744242184</v>
      </c>
      <c r="CD66" s="588">
        <f t="shared" si="25"/>
        <v>695.94174744242184</v>
      </c>
      <c r="CE66" s="588">
        <f t="shared" si="25"/>
        <v>695.94174744242184</v>
      </c>
      <c r="CF66" s="588">
        <f t="shared" si="25"/>
        <v>695.94174744242184</v>
      </c>
      <c r="CG66" s="588">
        <f t="shared" si="25"/>
        <v>695.94174744242184</v>
      </c>
      <c r="CH66" s="588">
        <f t="shared" si="25"/>
        <v>695.94174744242184</v>
      </c>
      <c r="CI66" s="584">
        <f t="shared" si="25"/>
        <v>695.94174744242184</v>
      </c>
      <c r="CK66" s="1363"/>
    </row>
    <row r="67" spans="1:89" s="1362" customFormat="1" x14ac:dyDescent="0.25">
      <c r="A67" s="1353"/>
      <c r="B67" s="638" t="s">
        <v>450</v>
      </c>
      <c r="C67" s="639" t="s">
        <v>451</v>
      </c>
      <c r="D67" s="640" t="s">
        <v>452</v>
      </c>
      <c r="E67" s="641" t="s">
        <v>254</v>
      </c>
      <c r="F67" s="642">
        <v>2</v>
      </c>
      <c r="G67" s="635"/>
      <c r="H67" s="635"/>
      <c r="I67" s="635"/>
      <c r="J67" s="635">
        <v>6</v>
      </c>
      <c r="K67" s="635">
        <v>5.4</v>
      </c>
      <c r="L67" s="635">
        <v>5.3</v>
      </c>
      <c r="M67" s="1429">
        <v>4.7</v>
      </c>
      <c r="N67" s="1429">
        <v>4.5</v>
      </c>
      <c r="O67" s="1429">
        <v>4.5</v>
      </c>
      <c r="P67" s="1429">
        <v>4.4000000000000004</v>
      </c>
      <c r="Q67" s="1429">
        <v>4.5</v>
      </c>
      <c r="R67" s="1429">
        <v>4.2</v>
      </c>
      <c r="S67" s="1429">
        <v>4.2</v>
      </c>
      <c r="T67" s="1429">
        <v>4.2</v>
      </c>
      <c r="U67" s="1429">
        <v>4.2</v>
      </c>
      <c r="V67" s="1429">
        <v>4.0999999999999996</v>
      </c>
      <c r="W67" s="1429">
        <v>4.0999999999999996</v>
      </c>
      <c r="X67" s="1429">
        <v>3.9</v>
      </c>
      <c r="Y67" s="1429">
        <v>3.9</v>
      </c>
      <c r="Z67" s="1429">
        <v>3.9</v>
      </c>
      <c r="AA67" s="1429">
        <v>3.8</v>
      </c>
      <c r="AB67" s="1429">
        <v>3.6</v>
      </c>
      <c r="AC67" s="1429">
        <v>3.7</v>
      </c>
      <c r="AD67" s="1429">
        <v>3.8</v>
      </c>
      <c r="AE67" s="1429">
        <v>3.8</v>
      </c>
      <c r="AF67" s="1429">
        <v>3.9</v>
      </c>
      <c r="AG67" s="1429">
        <v>3.6</v>
      </c>
      <c r="AH67" s="1429">
        <v>3.5</v>
      </c>
      <c r="AI67" s="1429">
        <v>3.6</v>
      </c>
      <c r="AJ67" s="1429">
        <v>3.6</v>
      </c>
      <c r="AK67" s="1429">
        <v>3.5</v>
      </c>
      <c r="AL67" s="1429">
        <v>3.6</v>
      </c>
      <c r="AM67" s="1429">
        <v>3.6</v>
      </c>
      <c r="AN67" s="1429">
        <v>3.5</v>
      </c>
      <c r="AO67" s="1429">
        <v>3.6</v>
      </c>
      <c r="AP67" s="1429">
        <v>3.6</v>
      </c>
      <c r="AQ67" s="1429">
        <v>3.5</v>
      </c>
      <c r="AR67" s="1429">
        <v>3.6</v>
      </c>
      <c r="AS67" s="1429">
        <v>3.5</v>
      </c>
      <c r="AT67" s="1429">
        <v>3.5347701365909305</v>
      </c>
      <c r="AU67" s="1429">
        <v>3.5347701365910469</v>
      </c>
      <c r="AV67" s="1429">
        <v>3.4365820772411535</v>
      </c>
      <c r="AW67" s="1429">
        <v>3.5347701365909305</v>
      </c>
      <c r="AX67" s="1429">
        <v>3.5347701365910469</v>
      </c>
      <c r="AY67" s="1429">
        <v>3.4365820772411535</v>
      </c>
      <c r="AZ67" s="1429">
        <v>3.5347701365909305</v>
      </c>
      <c r="BA67" s="1429">
        <v>3.4365820772412699</v>
      </c>
      <c r="BB67" s="1429">
        <v>3.5347701365909305</v>
      </c>
      <c r="BC67" s="1429">
        <v>3.5347701365909305</v>
      </c>
      <c r="BD67" s="1429">
        <v>3.4365820772412699</v>
      </c>
      <c r="BE67" s="1429">
        <v>3.5347701365909305</v>
      </c>
      <c r="BF67" s="1429">
        <v>3.5347701365910469</v>
      </c>
      <c r="BG67" s="1429">
        <v>3.4365820772411535</v>
      </c>
      <c r="BH67" s="1429">
        <v>3.5347701365909305</v>
      </c>
      <c r="BI67" s="1429">
        <v>3.5347701365910469</v>
      </c>
      <c r="BJ67" s="1429">
        <v>3.4365820772411535</v>
      </c>
      <c r="BK67" s="1429">
        <v>3.5347701365909305</v>
      </c>
      <c r="BL67" s="1429">
        <v>3.4365820772412699</v>
      </c>
      <c r="BM67" s="1429">
        <v>3.5347701365909305</v>
      </c>
      <c r="BN67" s="1429">
        <v>3.5347701365910469</v>
      </c>
      <c r="BO67" s="1429">
        <v>3.4365820772411535</v>
      </c>
      <c r="BP67" s="1429"/>
      <c r="BQ67" s="636"/>
      <c r="BR67" s="636"/>
      <c r="BS67" s="636"/>
      <c r="BT67" s="636"/>
      <c r="BU67" s="636"/>
      <c r="BV67" s="636"/>
      <c r="BW67" s="636"/>
      <c r="BX67" s="636"/>
      <c r="BY67" s="636"/>
      <c r="BZ67" s="636"/>
      <c r="CA67" s="636"/>
      <c r="CB67" s="636"/>
      <c r="CC67" s="636"/>
      <c r="CD67" s="636"/>
      <c r="CE67" s="636"/>
      <c r="CF67" s="636"/>
      <c r="CG67" s="636"/>
      <c r="CH67" s="636"/>
      <c r="CI67" s="637"/>
      <c r="CK67" s="1363"/>
    </row>
    <row r="68" spans="1:89" s="1362" customFormat="1" x14ac:dyDescent="0.25">
      <c r="A68" s="1353"/>
      <c r="B68" s="638" t="s">
        <v>453</v>
      </c>
      <c r="C68" s="639" t="s">
        <v>454</v>
      </c>
      <c r="D68" s="640" t="s">
        <v>455</v>
      </c>
      <c r="E68" s="641" t="s">
        <v>254</v>
      </c>
      <c r="F68" s="642">
        <v>2</v>
      </c>
      <c r="G68" s="635"/>
      <c r="H68" s="635"/>
      <c r="I68" s="635"/>
      <c r="J68" s="635">
        <v>7.2810836051852057</v>
      </c>
      <c r="K68" s="635">
        <v>6.4974173528432777</v>
      </c>
      <c r="L68" s="635">
        <v>5.795334524198398</v>
      </c>
      <c r="M68" s="1429">
        <v>2.0983901114536674</v>
      </c>
      <c r="N68" s="1429">
        <v>2.0059872583683074</v>
      </c>
      <c r="O68" s="1429">
        <v>1.9164518286230776</v>
      </c>
      <c r="P68" s="1429">
        <v>1.8314847043418168</v>
      </c>
      <c r="Q68" s="1429">
        <v>1.7490301063670524</v>
      </c>
      <c r="R68" s="1429">
        <v>1.6726868611436014</v>
      </c>
      <c r="S68" s="1429">
        <v>1.5979043577181766</v>
      </c>
      <c r="T68" s="1429">
        <v>1.5264133746912936</v>
      </c>
      <c r="U68" s="1429">
        <v>1.4580690371784568</v>
      </c>
      <c r="V68" s="1429">
        <v>1.3933602881282334</v>
      </c>
      <c r="W68" s="1429">
        <v>1.3308998427550622</v>
      </c>
      <c r="X68" s="1429">
        <v>1.272443450035412</v>
      </c>
      <c r="Y68" s="1429">
        <v>1.2153603414972194</v>
      </c>
      <c r="Z68" s="1429">
        <v>1.1607897219445567</v>
      </c>
      <c r="AA68" s="1429">
        <v>1.1092484464583114</v>
      </c>
      <c r="AB68" s="1429">
        <v>1.0606307962964394</v>
      </c>
      <c r="AC68" s="1429">
        <v>1.0123259409795953</v>
      </c>
      <c r="AD68" s="1429">
        <v>0.96611958696771472</v>
      </c>
      <c r="AE68" s="1429">
        <v>0.92254681083525603</v>
      </c>
      <c r="AF68" s="1429">
        <v>0.88026443087052586</v>
      </c>
      <c r="AG68" s="1429">
        <v>0.8423252403973801</v>
      </c>
      <c r="AH68" s="1429">
        <v>0.80488389464967702</v>
      </c>
      <c r="AI68" s="1429">
        <v>0.76786324807879169</v>
      </c>
      <c r="AJ68" s="1429">
        <v>0.73307187434232135</v>
      </c>
      <c r="AK68" s="1429">
        <v>0.70043926949654056</v>
      </c>
      <c r="AL68" s="1429">
        <v>0.66801570912160935</v>
      </c>
      <c r="AM68" s="1429">
        <v>0.63761908276800261</v>
      </c>
      <c r="AN68" s="1429">
        <v>0.60918779234945752</v>
      </c>
      <c r="AO68" s="1429">
        <v>0.58078062731655189</v>
      </c>
      <c r="AP68" s="1429">
        <v>0.55422361635512929</v>
      </c>
      <c r="AQ68" s="1429">
        <v>0.52946294227417501</v>
      </c>
      <c r="AR68" s="1429">
        <v>0.50456483294628052</v>
      </c>
      <c r="AS68" s="1429">
        <v>0.48198986930648957</v>
      </c>
      <c r="AT68" s="1429">
        <v>0</v>
      </c>
      <c r="AU68" s="1429">
        <v>0</v>
      </c>
      <c r="AV68" s="1429">
        <v>0</v>
      </c>
      <c r="AW68" s="1429">
        <v>0</v>
      </c>
      <c r="AX68" s="1429">
        <v>0</v>
      </c>
      <c r="AY68" s="1429">
        <v>0</v>
      </c>
      <c r="AZ68" s="1429">
        <v>0</v>
      </c>
      <c r="BA68" s="1429">
        <v>0</v>
      </c>
      <c r="BB68" s="1429">
        <v>0</v>
      </c>
      <c r="BC68" s="1429">
        <v>0</v>
      </c>
      <c r="BD68" s="1429">
        <v>0</v>
      </c>
      <c r="BE68" s="1429">
        <v>0</v>
      </c>
      <c r="BF68" s="1429">
        <v>0</v>
      </c>
      <c r="BG68" s="1429">
        <v>0</v>
      </c>
      <c r="BH68" s="1429">
        <v>0</v>
      </c>
      <c r="BI68" s="1429">
        <v>0</v>
      </c>
      <c r="BJ68" s="1429">
        <v>0</v>
      </c>
      <c r="BK68" s="1429">
        <v>0</v>
      </c>
      <c r="BL68" s="1429">
        <v>0</v>
      </c>
      <c r="BM68" s="1429">
        <v>0</v>
      </c>
      <c r="BN68" s="1429">
        <v>0</v>
      </c>
      <c r="BO68" s="1429">
        <v>0</v>
      </c>
      <c r="BP68" s="1429"/>
      <c r="BQ68" s="636"/>
      <c r="BR68" s="636"/>
      <c r="BS68" s="636"/>
      <c r="BT68" s="636"/>
      <c r="BU68" s="636"/>
      <c r="BV68" s="636"/>
      <c r="BW68" s="636"/>
      <c r="BX68" s="636"/>
      <c r="BY68" s="636"/>
      <c r="BZ68" s="636"/>
      <c r="CA68" s="636"/>
      <c r="CB68" s="636"/>
      <c r="CC68" s="636"/>
      <c r="CD68" s="636"/>
      <c r="CE68" s="636"/>
      <c r="CF68" s="636"/>
      <c r="CG68" s="636"/>
      <c r="CH68" s="636"/>
      <c r="CI68" s="637"/>
      <c r="CK68" s="1363"/>
    </row>
    <row r="69" spans="1:89" s="1362" customFormat="1" x14ac:dyDescent="0.25">
      <c r="A69" s="1353"/>
      <c r="B69" s="638" t="s">
        <v>456</v>
      </c>
      <c r="C69" s="639" t="s">
        <v>457</v>
      </c>
      <c r="D69" s="640" t="s">
        <v>458</v>
      </c>
      <c r="E69" s="641" t="s">
        <v>254</v>
      </c>
      <c r="F69" s="642">
        <v>2</v>
      </c>
      <c r="G69" s="635"/>
      <c r="H69" s="635"/>
      <c r="I69" s="635"/>
      <c r="J69" s="635"/>
      <c r="K69" s="635"/>
      <c r="L69" s="635"/>
      <c r="M69" s="1429"/>
      <c r="N69" s="1429"/>
      <c r="O69" s="1429"/>
      <c r="P69" s="1429"/>
      <c r="Q69" s="1429"/>
      <c r="R69" s="1429"/>
      <c r="S69" s="1429"/>
      <c r="T69" s="1429"/>
      <c r="U69" s="1429"/>
      <c r="V69" s="1429"/>
      <c r="W69" s="1429"/>
      <c r="X69" s="1429"/>
      <c r="Y69" s="1429"/>
      <c r="Z69" s="1429"/>
      <c r="AA69" s="1429"/>
      <c r="AB69" s="1429"/>
      <c r="AC69" s="1429"/>
      <c r="AD69" s="1429"/>
      <c r="AE69" s="1429"/>
      <c r="AF69" s="1429"/>
      <c r="AG69" s="1429"/>
      <c r="AH69" s="1429"/>
      <c r="AI69" s="1429"/>
      <c r="AJ69" s="1429"/>
      <c r="AK69" s="1429"/>
      <c r="AL69" s="1429"/>
      <c r="AM69" s="1429"/>
      <c r="AN69" s="1429"/>
      <c r="AO69" s="1429"/>
      <c r="AP69" s="1429"/>
      <c r="AQ69" s="1429"/>
      <c r="AR69" s="1429"/>
      <c r="AS69" s="1429"/>
      <c r="AT69" s="1429"/>
      <c r="AU69" s="1429"/>
      <c r="AV69" s="1429"/>
      <c r="AW69" s="1429"/>
      <c r="AX69" s="1429"/>
      <c r="AY69" s="1429"/>
      <c r="AZ69" s="1429"/>
      <c r="BA69" s="1429"/>
      <c r="BB69" s="1429"/>
      <c r="BC69" s="1429"/>
      <c r="BD69" s="1429"/>
      <c r="BE69" s="1429"/>
      <c r="BF69" s="1429"/>
      <c r="BG69" s="1429"/>
      <c r="BH69" s="1429"/>
      <c r="BI69" s="1429"/>
      <c r="BJ69" s="1429"/>
      <c r="BK69" s="1429"/>
      <c r="BL69" s="1429"/>
      <c r="BM69" s="1429"/>
      <c r="BN69" s="1429"/>
      <c r="BO69" s="1429"/>
      <c r="BP69" s="1429"/>
      <c r="BQ69" s="636"/>
      <c r="BR69" s="636"/>
      <c r="BS69" s="636"/>
      <c r="BT69" s="636"/>
      <c r="BU69" s="636"/>
      <c r="BV69" s="636"/>
      <c r="BW69" s="636"/>
      <c r="BX69" s="636"/>
      <c r="BY69" s="636"/>
      <c r="BZ69" s="636"/>
      <c r="CA69" s="636"/>
      <c r="CB69" s="636"/>
      <c r="CC69" s="636"/>
      <c r="CD69" s="636"/>
      <c r="CE69" s="636"/>
      <c r="CF69" s="636"/>
      <c r="CG69" s="636"/>
      <c r="CH69" s="636"/>
      <c r="CI69" s="637"/>
      <c r="CK69" s="1363"/>
    </row>
    <row r="70" spans="1:89" s="1362" customFormat="1" ht="27.6" x14ac:dyDescent="0.25">
      <c r="A70" s="1353"/>
      <c r="B70" s="638" t="s">
        <v>459</v>
      </c>
      <c r="C70" s="639" t="s">
        <v>460</v>
      </c>
      <c r="D70" s="640" t="s">
        <v>461</v>
      </c>
      <c r="E70" s="641" t="s">
        <v>254</v>
      </c>
      <c r="F70" s="642">
        <v>2</v>
      </c>
      <c r="G70" s="635"/>
      <c r="H70" s="635"/>
      <c r="I70" s="635"/>
      <c r="J70" s="635">
        <v>13.745413889417838</v>
      </c>
      <c r="K70" s="635">
        <v>12.265988906309879</v>
      </c>
      <c r="L70" s="635">
        <v>10.940579175057161</v>
      </c>
      <c r="M70" s="1429">
        <v>3.9613939555441506</v>
      </c>
      <c r="N70" s="1429">
        <v>3.7869535110865651</v>
      </c>
      <c r="O70" s="1429">
        <v>3.6179262609752447</v>
      </c>
      <c r="P70" s="1429">
        <v>3.4575231735271332</v>
      </c>
      <c r="Q70" s="1429">
        <v>3.3018632968239507</v>
      </c>
      <c r="R70" s="1429">
        <v>3.157740586502324</v>
      </c>
      <c r="S70" s="1429">
        <v>3.016564284044096</v>
      </c>
      <c r="T70" s="1429">
        <v>2.8816017970914607</v>
      </c>
      <c r="U70" s="1429">
        <v>2.7525796271711758</v>
      </c>
      <c r="V70" s="1429">
        <v>2.6304208131550348</v>
      </c>
      <c r="W70" s="1429">
        <v>2.5125064037173792</v>
      </c>
      <c r="X70" s="1429">
        <v>2.4021509462080419</v>
      </c>
      <c r="Y70" s="1429">
        <v>2.2943880093296296</v>
      </c>
      <c r="Z70" s="1429">
        <v>2.1913682127406813</v>
      </c>
      <c r="AA70" s="1429">
        <v>2.0940672885427474</v>
      </c>
      <c r="AB70" s="1429">
        <v>2.0022856582192134</v>
      </c>
      <c r="AC70" s="1429">
        <v>1.9110945299198998</v>
      </c>
      <c r="AD70" s="1429">
        <v>1.8238650054900531</v>
      </c>
      <c r="AE70" s="1429">
        <v>1.7416072160279092</v>
      </c>
      <c r="AF70" s="1429">
        <v>1.6617854691067568</v>
      </c>
      <c r="AG70" s="1429">
        <v>1.5901629052192241</v>
      </c>
      <c r="AH70" s="1429">
        <v>1.5194801852031443</v>
      </c>
      <c r="AI70" s="1429">
        <v>1.4495916717395316</v>
      </c>
      <c r="AJ70" s="1429">
        <v>1.3839116359480677</v>
      </c>
      <c r="AK70" s="1429">
        <v>1.3223069786995716</v>
      </c>
      <c r="AL70" s="1429">
        <v>1.2610969608933524</v>
      </c>
      <c r="AM70" s="1429">
        <v>1.2037134404274197</v>
      </c>
      <c r="AN70" s="1429">
        <v>1.1500401308756885</v>
      </c>
      <c r="AO70" s="1429">
        <v>1.0964123658374989</v>
      </c>
      <c r="AP70" s="1429">
        <v>1.046277368476584</v>
      </c>
      <c r="AQ70" s="1429">
        <v>0.9995335413378158</v>
      </c>
      <c r="AR70" s="1429">
        <v>0.95253026046185341</v>
      </c>
      <c r="AS70" s="1429">
        <v>0.90991267280683696</v>
      </c>
      <c r="AT70" s="1429">
        <v>0</v>
      </c>
      <c r="AU70" s="1429">
        <v>0</v>
      </c>
      <c r="AV70" s="1429">
        <v>0</v>
      </c>
      <c r="AW70" s="1429">
        <v>0</v>
      </c>
      <c r="AX70" s="1429">
        <v>0</v>
      </c>
      <c r="AY70" s="1429">
        <v>0</v>
      </c>
      <c r="AZ70" s="1429">
        <v>0</v>
      </c>
      <c r="BA70" s="1429">
        <v>0</v>
      </c>
      <c r="BB70" s="1429">
        <v>0</v>
      </c>
      <c r="BC70" s="1429">
        <v>0</v>
      </c>
      <c r="BD70" s="1429">
        <v>0</v>
      </c>
      <c r="BE70" s="1429">
        <v>0</v>
      </c>
      <c r="BF70" s="1429">
        <v>0</v>
      </c>
      <c r="BG70" s="1429">
        <v>0</v>
      </c>
      <c r="BH70" s="1429">
        <v>0</v>
      </c>
      <c r="BI70" s="1429">
        <v>0</v>
      </c>
      <c r="BJ70" s="1429">
        <v>0</v>
      </c>
      <c r="BK70" s="1429">
        <v>0</v>
      </c>
      <c r="BL70" s="1429">
        <v>0</v>
      </c>
      <c r="BM70" s="1429">
        <v>0</v>
      </c>
      <c r="BN70" s="1429">
        <v>0</v>
      </c>
      <c r="BO70" s="1429">
        <v>0</v>
      </c>
      <c r="BP70" s="1429"/>
      <c r="BQ70" s="636"/>
      <c r="BR70" s="636"/>
      <c r="BS70" s="636"/>
      <c r="BT70" s="636"/>
      <c r="BU70" s="636"/>
      <c r="BV70" s="636"/>
      <c r="BW70" s="636"/>
      <c r="BX70" s="636"/>
      <c r="BY70" s="636"/>
      <c r="BZ70" s="636"/>
      <c r="CA70" s="636"/>
      <c r="CB70" s="636"/>
      <c r="CC70" s="636"/>
      <c r="CD70" s="636"/>
      <c r="CE70" s="636"/>
      <c r="CF70" s="636"/>
      <c r="CG70" s="636"/>
      <c r="CH70" s="636"/>
      <c r="CI70" s="637"/>
      <c r="CK70" s="1363"/>
    </row>
    <row r="71" spans="1:89" s="1362" customFormat="1" x14ac:dyDescent="0.25">
      <c r="A71" s="1353"/>
      <c r="B71" s="638" t="s">
        <v>462</v>
      </c>
      <c r="C71" s="639" t="s">
        <v>463</v>
      </c>
      <c r="D71" s="640" t="s">
        <v>464</v>
      </c>
      <c r="E71" s="641" t="s">
        <v>254</v>
      </c>
      <c r="F71" s="642">
        <v>2</v>
      </c>
      <c r="G71" s="635"/>
      <c r="H71" s="635"/>
      <c r="I71" s="635"/>
      <c r="J71" s="635"/>
      <c r="K71" s="635"/>
      <c r="L71" s="635"/>
      <c r="M71" s="1430"/>
      <c r="N71" s="1430"/>
      <c r="O71" s="1430"/>
      <c r="P71" s="1430"/>
      <c r="Q71" s="1430"/>
      <c r="R71" s="1430"/>
      <c r="S71" s="1430"/>
      <c r="T71" s="1430"/>
      <c r="U71" s="1430"/>
      <c r="V71" s="1430"/>
      <c r="W71" s="1430"/>
      <c r="X71" s="1430"/>
      <c r="Y71" s="1430"/>
      <c r="Z71" s="1430"/>
      <c r="AA71" s="1430"/>
      <c r="AB71" s="1430"/>
      <c r="AC71" s="1430"/>
      <c r="AD71" s="1430"/>
      <c r="AE71" s="1430"/>
      <c r="AF71" s="1430"/>
      <c r="AG71" s="1430"/>
      <c r="AH71" s="1430"/>
      <c r="AI71" s="1430"/>
      <c r="AJ71" s="1430"/>
      <c r="AK71" s="1430"/>
      <c r="AL71" s="1430"/>
      <c r="AM71" s="1430"/>
      <c r="AN71" s="1430"/>
      <c r="AO71" s="1430"/>
      <c r="AP71" s="1430"/>
      <c r="AQ71" s="1430"/>
      <c r="AR71" s="1430"/>
      <c r="AS71" s="1430"/>
      <c r="AT71" s="1430"/>
      <c r="AU71" s="1430"/>
      <c r="AV71" s="1430"/>
      <c r="AW71" s="1430"/>
      <c r="AX71" s="1430"/>
      <c r="AY71" s="1430"/>
      <c r="AZ71" s="1430"/>
      <c r="BA71" s="1430"/>
      <c r="BB71" s="1430"/>
      <c r="BC71" s="1430"/>
      <c r="BD71" s="1430"/>
      <c r="BE71" s="1430"/>
      <c r="BF71" s="1430"/>
      <c r="BG71" s="1430"/>
      <c r="BH71" s="1430"/>
      <c r="BI71" s="1430"/>
      <c r="BJ71" s="1430"/>
      <c r="BK71" s="1430"/>
      <c r="BL71" s="1430"/>
      <c r="BM71" s="1430"/>
      <c r="BN71" s="1430"/>
      <c r="BO71" s="1430"/>
      <c r="BP71" s="1430"/>
      <c r="BQ71" s="636"/>
      <c r="BR71" s="636"/>
      <c r="BS71" s="636"/>
      <c r="BT71" s="636"/>
      <c r="BU71" s="636"/>
      <c r="BV71" s="636"/>
      <c r="BW71" s="636"/>
      <c r="BX71" s="636"/>
      <c r="BY71" s="636"/>
      <c r="BZ71" s="636"/>
      <c r="CA71" s="636"/>
      <c r="CB71" s="636"/>
      <c r="CC71" s="636"/>
      <c r="CD71" s="636"/>
      <c r="CE71" s="636"/>
      <c r="CF71" s="636"/>
      <c r="CG71" s="636"/>
      <c r="CH71" s="636"/>
      <c r="CI71" s="637"/>
      <c r="CK71" s="1363"/>
    </row>
    <row r="72" spans="1:89" s="1362" customFormat="1" ht="27.6" x14ac:dyDescent="0.25">
      <c r="A72" s="1353"/>
      <c r="B72" s="638" t="s">
        <v>465</v>
      </c>
      <c r="C72" s="639" t="s">
        <v>466</v>
      </c>
      <c r="D72" s="640" t="s">
        <v>467</v>
      </c>
      <c r="E72" s="641" t="s">
        <v>254</v>
      </c>
      <c r="F72" s="642">
        <v>2</v>
      </c>
      <c r="G72" s="635"/>
      <c r="H72" s="635"/>
      <c r="I72" s="635"/>
      <c r="J72" s="635"/>
      <c r="K72" s="635"/>
      <c r="L72" s="635"/>
      <c r="M72" s="1430"/>
      <c r="N72" s="1430"/>
      <c r="O72" s="1430"/>
      <c r="P72" s="1430"/>
      <c r="Q72" s="1430"/>
      <c r="R72" s="1430"/>
      <c r="S72" s="1430"/>
      <c r="T72" s="1430"/>
      <c r="U72" s="1430"/>
      <c r="V72" s="1430"/>
      <c r="W72" s="1430"/>
      <c r="X72" s="1430"/>
      <c r="Y72" s="1430"/>
      <c r="Z72" s="1430"/>
      <c r="AA72" s="1430"/>
      <c r="AB72" s="1430"/>
      <c r="AC72" s="1430"/>
      <c r="AD72" s="1430"/>
      <c r="AE72" s="1430"/>
      <c r="AF72" s="1430"/>
      <c r="AG72" s="1430"/>
      <c r="AH72" s="1430"/>
      <c r="AI72" s="1430"/>
      <c r="AJ72" s="1430"/>
      <c r="AK72" s="1430"/>
      <c r="AL72" s="1430"/>
      <c r="AM72" s="1430"/>
      <c r="AN72" s="1430"/>
      <c r="AO72" s="1430"/>
      <c r="AP72" s="1430"/>
      <c r="AQ72" s="1430"/>
      <c r="AR72" s="1430"/>
      <c r="AS72" s="1430"/>
      <c r="AT72" s="1430"/>
      <c r="AU72" s="1430"/>
      <c r="AV72" s="1430"/>
      <c r="AW72" s="1430"/>
      <c r="AX72" s="1430"/>
      <c r="AY72" s="1430"/>
      <c r="AZ72" s="1430"/>
      <c r="BA72" s="1430"/>
      <c r="BB72" s="1430"/>
      <c r="BC72" s="1430"/>
      <c r="BD72" s="1430"/>
      <c r="BE72" s="1430"/>
      <c r="BF72" s="1430"/>
      <c r="BG72" s="1430"/>
      <c r="BH72" s="1430"/>
      <c r="BI72" s="1430"/>
      <c r="BJ72" s="1430"/>
      <c r="BK72" s="1430"/>
      <c r="BL72" s="1430"/>
      <c r="BM72" s="1430"/>
      <c r="BN72" s="1430"/>
      <c r="BO72" s="1430"/>
      <c r="BP72" s="1430"/>
      <c r="BQ72" s="636"/>
      <c r="BR72" s="636"/>
      <c r="BS72" s="636"/>
      <c r="BT72" s="636"/>
      <c r="BU72" s="636"/>
      <c r="BV72" s="636"/>
      <c r="BW72" s="636"/>
      <c r="BX72" s="636"/>
      <c r="BY72" s="636"/>
      <c r="BZ72" s="636"/>
      <c r="CA72" s="636"/>
      <c r="CB72" s="636"/>
      <c r="CC72" s="636"/>
      <c r="CD72" s="636"/>
      <c r="CE72" s="636"/>
      <c r="CF72" s="636"/>
      <c r="CG72" s="636"/>
      <c r="CH72" s="636"/>
      <c r="CI72" s="637"/>
      <c r="CK72" s="1363"/>
    </row>
    <row r="73" spans="1:89" s="1362" customFormat="1" x14ac:dyDescent="0.25">
      <c r="A73" s="1353"/>
      <c r="B73" s="638" t="s">
        <v>468</v>
      </c>
      <c r="C73" s="639" t="s">
        <v>469</v>
      </c>
      <c r="D73" s="634" t="s">
        <v>79</v>
      </c>
      <c r="E73" s="611" t="s">
        <v>254</v>
      </c>
      <c r="F73" s="612">
        <v>2</v>
      </c>
      <c r="G73" s="635"/>
      <c r="H73" s="635"/>
      <c r="I73" s="1431">
        <v>4.9820000000000002</v>
      </c>
      <c r="J73" s="1431">
        <v>5.5639025053969204</v>
      </c>
      <c r="K73" s="1431">
        <v>6.0840227135458296</v>
      </c>
      <c r="L73" s="1431">
        <v>6.5568978656229371</v>
      </c>
      <c r="M73" s="1431">
        <v>6.7796352792528856</v>
      </c>
      <c r="N73" s="1431">
        <v>6.9926934529356535</v>
      </c>
      <c r="O73" s="1431">
        <v>7.1999627920327507</v>
      </c>
      <c r="P73" s="1431">
        <v>7.3998861490106176</v>
      </c>
      <c r="Q73" s="1431">
        <v>7.5963309836747106</v>
      </c>
      <c r="R73" s="1431">
        <v>7.7822823909236485</v>
      </c>
      <c r="S73" s="1431">
        <v>7.9633988010830148</v>
      </c>
      <c r="T73" s="1431">
        <v>8.1398930245137588</v>
      </c>
      <c r="U73" s="1431">
        <v>8.3119685048184024</v>
      </c>
      <c r="V73" s="1431">
        <v>8.4780077904647246</v>
      </c>
      <c r="W73" s="1431">
        <v>8.6400087508643661</v>
      </c>
      <c r="X73" s="1431">
        <v>8.7945252499020778</v>
      </c>
      <c r="Y73" s="1431">
        <v>8.9453510906841291</v>
      </c>
      <c r="Z73" s="1431">
        <v>9.0926487159795641</v>
      </c>
      <c r="AA73" s="1431">
        <v>9.2347614780570879</v>
      </c>
      <c r="AB73" s="1431">
        <v>9.370025894032981</v>
      </c>
      <c r="AC73" s="1431">
        <v>9.5040197093184382</v>
      </c>
      <c r="AD73" s="1431">
        <v>9.6368786006725582</v>
      </c>
      <c r="AE73" s="1431">
        <v>9.7669203324487661</v>
      </c>
      <c r="AF73" s="1431">
        <v>9.8960808413898693</v>
      </c>
      <c r="AG73" s="1431">
        <v>10.017230903351617</v>
      </c>
      <c r="AH73" s="1431">
        <v>10.134107720671011</v>
      </c>
      <c r="AI73" s="1431">
        <v>10.250443507907343</v>
      </c>
      <c r="AJ73" s="1431">
        <v>10.364529889426391</v>
      </c>
      <c r="AK73" s="1431">
        <v>10.474653931223351</v>
      </c>
      <c r="AL73" s="1431">
        <v>10.584534163508373</v>
      </c>
      <c r="AM73" s="1431">
        <v>10.692449128608953</v>
      </c>
      <c r="AN73" s="1431">
        <v>10.796673386282407</v>
      </c>
      <c r="AO73" s="1431">
        <v>10.900913510957807</v>
      </c>
      <c r="AP73" s="1431">
        <v>11.003436615410232</v>
      </c>
      <c r="AQ73" s="1431">
        <v>11.102506332911526</v>
      </c>
      <c r="AR73" s="1431">
        <v>11.201818792329941</v>
      </c>
      <c r="AS73" s="1431">
        <v>11.297819179986444</v>
      </c>
      <c r="AT73" s="1431">
        <v>11.363049043395479</v>
      </c>
      <c r="AU73" s="1431">
        <v>11.428278906804517</v>
      </c>
      <c r="AV73" s="1431">
        <v>11.491696829563303</v>
      </c>
      <c r="AW73" s="1431">
        <v>11.55692669297234</v>
      </c>
      <c r="AX73" s="1431">
        <v>11.622156556381377</v>
      </c>
      <c r="AY73" s="1431">
        <v>11.685574479140163</v>
      </c>
      <c r="AZ73" s="1431">
        <v>11.7508043425492</v>
      </c>
      <c r="BA73" s="1431">
        <v>11.814222265307986</v>
      </c>
      <c r="BB73" s="1431">
        <v>11.879452128717023</v>
      </c>
      <c r="BC73" s="1431">
        <v>11.944681992126059</v>
      </c>
      <c r="BD73" s="1431">
        <v>12.008099914884847</v>
      </c>
      <c r="BE73" s="1431">
        <v>12.073329778293882</v>
      </c>
      <c r="BF73" s="1431">
        <v>12.138559641702919</v>
      </c>
      <c r="BG73" s="1431">
        <v>12.201977564461705</v>
      </c>
      <c r="BH73" s="1431">
        <v>12.267207427870742</v>
      </c>
      <c r="BI73" s="1431">
        <v>12.33243729127978</v>
      </c>
      <c r="BJ73" s="1431">
        <v>12.395855214038566</v>
      </c>
      <c r="BK73" s="1431">
        <v>12.461085077447603</v>
      </c>
      <c r="BL73" s="1431">
        <v>12.524503000206389</v>
      </c>
      <c r="BM73" s="1431">
        <v>12.589732863615426</v>
      </c>
      <c r="BN73" s="1431">
        <v>12.654962727024461</v>
      </c>
      <c r="BO73" s="1431">
        <v>12.718380649783246</v>
      </c>
      <c r="BP73" s="1432"/>
      <c r="BQ73" s="636"/>
      <c r="BR73" s="636"/>
      <c r="BS73" s="636"/>
      <c r="BT73" s="636"/>
      <c r="BU73" s="636"/>
      <c r="BV73" s="636"/>
      <c r="BW73" s="636"/>
      <c r="BX73" s="636"/>
      <c r="BY73" s="636"/>
      <c r="BZ73" s="636"/>
      <c r="CA73" s="636"/>
      <c r="CB73" s="636"/>
      <c r="CC73" s="636"/>
      <c r="CD73" s="636"/>
      <c r="CE73" s="636"/>
      <c r="CF73" s="636"/>
      <c r="CG73" s="636"/>
      <c r="CH73" s="636"/>
      <c r="CI73" s="637"/>
      <c r="CK73" s="1363"/>
    </row>
    <row r="74" spans="1:89" s="1362" customFormat="1" x14ac:dyDescent="0.25">
      <c r="A74" s="1353"/>
      <c r="B74" s="638" t="s">
        <v>470</v>
      </c>
      <c r="C74" s="639" t="s">
        <v>471</v>
      </c>
      <c r="D74" s="634" t="s">
        <v>79</v>
      </c>
      <c r="E74" s="611" t="s">
        <v>254</v>
      </c>
      <c r="F74" s="612">
        <v>2</v>
      </c>
      <c r="G74" s="635"/>
      <c r="H74" s="635"/>
      <c r="I74" s="635">
        <v>196.44</v>
      </c>
      <c r="J74" s="635">
        <v>175.30478606638187</v>
      </c>
      <c r="K74" s="635">
        <v>156.44353501211523</v>
      </c>
      <c r="L74" s="635">
        <v>139.61158845839634</v>
      </c>
      <c r="M74" s="635">
        <v>133.46664318083666</v>
      </c>
      <c r="N74" s="635">
        <v>127.5921650821205</v>
      </c>
      <c r="O74" s="635">
        <v>121.97624966326089</v>
      </c>
      <c r="P74" s="635">
        <v>116.60751639678097</v>
      </c>
      <c r="Q74" s="635">
        <v>111.47508566432863</v>
      </c>
      <c r="R74" s="635">
        <v>106.56855670937222</v>
      </c>
      <c r="S74" s="635">
        <v>101.87798656029929</v>
      </c>
      <c r="T74" s="635">
        <v>97.39386988120603</v>
      </c>
      <c r="U74" s="635">
        <v>93.107119709545856</v>
      </c>
      <c r="V74" s="635">
        <v>89.009049041602324</v>
      </c>
      <c r="W74" s="635">
        <v>85.091353228469572</v>
      </c>
      <c r="X74" s="635">
        <v>81.346093146866366</v>
      </c>
      <c r="Y74" s="635">
        <v>77.765679110679628</v>
      </c>
      <c r="Z74" s="635">
        <v>74.34285549063469</v>
      </c>
      <c r="AA74" s="635">
        <v>71.070686010924092</v>
      </c>
      <c r="AB74" s="635">
        <v>67.942539692999375</v>
      </c>
      <c r="AC74" s="635">
        <v>64.952077418040574</v>
      </c>
      <c r="AD74" s="635">
        <v>62.093239080873325</v>
      </c>
      <c r="AE74" s="635">
        <v>59.360231309300694</v>
      </c>
      <c r="AF74" s="635">
        <v>56.747515723963481</v>
      </c>
      <c r="AG74" s="635">
        <v>54.249797714937834</v>
      </c>
      <c r="AH74" s="635">
        <v>51.86201571232624</v>
      </c>
      <c r="AI74" s="635">
        <v>49.579330929098852</v>
      </c>
      <c r="AJ74" s="635">
        <v>47.397117555399419</v>
      </c>
      <c r="AK74" s="635">
        <v>45.310953384444616</v>
      </c>
      <c r="AL74" s="635">
        <v>43.316610851020606</v>
      </c>
      <c r="AM74" s="635">
        <v>41.410048464416214</v>
      </c>
      <c r="AN74" s="635">
        <v>39.587402618432158</v>
      </c>
      <c r="AO74" s="635">
        <v>37.84497976186907</v>
      </c>
      <c r="AP74" s="635">
        <v>36.179248913628349</v>
      </c>
      <c r="AQ74" s="635">
        <v>34.586834507257585</v>
      </c>
      <c r="AR74" s="635">
        <v>33.06450955044037</v>
      </c>
      <c r="AS74" s="635">
        <v>31.609189085568271</v>
      </c>
      <c r="AT74" s="635">
        <v>31.609189085568271</v>
      </c>
      <c r="AU74" s="635">
        <v>31.609189085568271</v>
      </c>
      <c r="AV74" s="635">
        <v>31.609189085568271</v>
      </c>
      <c r="AW74" s="635">
        <v>31.609189085568271</v>
      </c>
      <c r="AX74" s="635">
        <v>31.609189085568271</v>
      </c>
      <c r="AY74" s="635">
        <v>31.609189085568271</v>
      </c>
      <c r="AZ74" s="635">
        <v>31.609189085568271</v>
      </c>
      <c r="BA74" s="635">
        <v>31.609189085568271</v>
      </c>
      <c r="BB74" s="635">
        <v>31.609189085568271</v>
      </c>
      <c r="BC74" s="635">
        <v>31.609189085568271</v>
      </c>
      <c r="BD74" s="635">
        <v>31.609189085568271</v>
      </c>
      <c r="BE74" s="635">
        <v>31.609189085568271</v>
      </c>
      <c r="BF74" s="635">
        <v>31.609189085568271</v>
      </c>
      <c r="BG74" s="635">
        <v>31.609189085568271</v>
      </c>
      <c r="BH74" s="635">
        <v>31.609189085568271</v>
      </c>
      <c r="BI74" s="635">
        <v>31.609189085568271</v>
      </c>
      <c r="BJ74" s="635">
        <v>31.609189085568271</v>
      </c>
      <c r="BK74" s="635">
        <v>31.609189085568271</v>
      </c>
      <c r="BL74" s="635">
        <v>31.609189085568271</v>
      </c>
      <c r="BM74" s="635">
        <v>31.609189085568271</v>
      </c>
      <c r="BN74" s="635">
        <v>31.609189085568271</v>
      </c>
      <c r="BO74" s="635">
        <v>31.609189085568271</v>
      </c>
      <c r="BP74" s="1433"/>
      <c r="BQ74" s="636"/>
      <c r="BR74" s="636"/>
      <c r="BS74" s="636"/>
      <c r="BT74" s="636"/>
      <c r="BU74" s="636"/>
      <c r="BV74" s="636"/>
      <c r="BW74" s="636"/>
      <c r="BX74" s="636"/>
      <c r="BY74" s="636"/>
      <c r="BZ74" s="636"/>
      <c r="CA74" s="636"/>
      <c r="CB74" s="636"/>
      <c r="CC74" s="636"/>
      <c r="CD74" s="636"/>
      <c r="CE74" s="636"/>
      <c r="CF74" s="636"/>
      <c r="CG74" s="636"/>
      <c r="CH74" s="636"/>
      <c r="CI74" s="637"/>
      <c r="CK74" s="1363"/>
    </row>
    <row r="75" spans="1:89" s="1362" customFormat="1" x14ac:dyDescent="0.25">
      <c r="A75" s="1353"/>
      <c r="B75" s="638" t="s">
        <v>472</v>
      </c>
      <c r="C75" s="639" t="s">
        <v>473</v>
      </c>
      <c r="D75" s="634" t="s">
        <v>79</v>
      </c>
      <c r="E75" s="611" t="s">
        <v>254</v>
      </c>
      <c r="F75" s="612">
        <v>2</v>
      </c>
      <c r="G75" s="635"/>
      <c r="H75" s="635"/>
      <c r="I75" s="635">
        <v>4.3979999999999997</v>
      </c>
      <c r="J75" s="635">
        <v>3.9248139336181405</v>
      </c>
      <c r="K75" s="635">
        <v>3.5025385205827875</v>
      </c>
      <c r="L75" s="635">
        <v>3.1256962229689838</v>
      </c>
      <c r="M75" s="635">
        <v>2.9881200199008338</v>
      </c>
      <c r="N75" s="635">
        <v>2.8565991754793627</v>
      </c>
      <c r="O75" s="635">
        <v>2.7308671656435628</v>
      </c>
      <c r="P75" s="635">
        <v>2.61066919727674</v>
      </c>
      <c r="Q75" s="635">
        <v>2.4957616918739429</v>
      </c>
      <c r="R75" s="635">
        <v>2.3859117919355479</v>
      </c>
      <c r="S75" s="635">
        <v>2.2808968890867254</v>
      </c>
      <c r="T75" s="635">
        <v>2.1805041729665251</v>
      </c>
      <c r="U75" s="635">
        <v>2.0845301999724231</v>
      </c>
      <c r="V75" s="635">
        <v>1.9927804809863934</v>
      </c>
      <c r="W75" s="635">
        <v>1.9050690872470439</v>
      </c>
      <c r="X75" s="635">
        <v>1.8212182735691222</v>
      </c>
      <c r="Y75" s="635">
        <v>1.7410581181468596</v>
      </c>
      <c r="Z75" s="635">
        <v>1.6644261782112166</v>
      </c>
      <c r="AA75" s="635">
        <v>1.591167160843231</v>
      </c>
      <c r="AB75" s="635">
        <v>1.5211326082763761</v>
      </c>
      <c r="AC75" s="635">
        <v>1.4541805970502062</v>
      </c>
      <c r="AD75" s="635">
        <v>1.3901754504056247</v>
      </c>
      <c r="AE75" s="635">
        <v>1.328987463338956</v>
      </c>
      <c r="AF75" s="635">
        <v>1.2704926397576433</v>
      </c>
      <c r="AG75" s="635">
        <v>1.214572441204931</v>
      </c>
      <c r="AH75" s="635">
        <v>1.1611135466443232</v>
      </c>
      <c r="AI75" s="635">
        <v>1.1100076228170273</v>
      </c>
      <c r="AJ75" s="635">
        <v>1.0611511047070183</v>
      </c>
      <c r="AK75" s="635">
        <v>1.0144449856688429</v>
      </c>
      <c r="AL75" s="635">
        <v>0.96979461679285606</v>
      </c>
      <c r="AM75" s="635">
        <v>0.92710951510131612</v>
      </c>
      <c r="AN75" s="635">
        <v>0.88630318018664556</v>
      </c>
      <c r="AO75" s="635">
        <v>0.84729291892028225</v>
      </c>
      <c r="AP75" s="635">
        <v>0.80999967787689642</v>
      </c>
      <c r="AQ75" s="635">
        <v>0.77434788313438663</v>
      </c>
      <c r="AR75" s="635">
        <v>0.74026528712500916</v>
      </c>
      <c r="AS75" s="635">
        <v>0.7076828222272924</v>
      </c>
      <c r="AT75" s="635">
        <v>0.7076828222272924</v>
      </c>
      <c r="AU75" s="635">
        <v>0.7076828222272924</v>
      </c>
      <c r="AV75" s="635">
        <v>0.7076828222272924</v>
      </c>
      <c r="AW75" s="635">
        <v>0.7076828222272924</v>
      </c>
      <c r="AX75" s="635">
        <v>0.7076828222272924</v>
      </c>
      <c r="AY75" s="635">
        <v>0.7076828222272924</v>
      </c>
      <c r="AZ75" s="635">
        <v>0.7076828222272924</v>
      </c>
      <c r="BA75" s="635">
        <v>0.7076828222272924</v>
      </c>
      <c r="BB75" s="635">
        <v>0.7076828222272924</v>
      </c>
      <c r="BC75" s="635">
        <v>0.7076828222272924</v>
      </c>
      <c r="BD75" s="635">
        <v>0.7076828222272924</v>
      </c>
      <c r="BE75" s="635">
        <v>0.7076828222272924</v>
      </c>
      <c r="BF75" s="635">
        <v>0.7076828222272924</v>
      </c>
      <c r="BG75" s="635">
        <v>0.7076828222272924</v>
      </c>
      <c r="BH75" s="635">
        <v>0.7076828222272924</v>
      </c>
      <c r="BI75" s="635">
        <v>0.7076828222272924</v>
      </c>
      <c r="BJ75" s="635">
        <v>0.7076828222272924</v>
      </c>
      <c r="BK75" s="635">
        <v>0.7076828222272924</v>
      </c>
      <c r="BL75" s="635">
        <v>0.7076828222272924</v>
      </c>
      <c r="BM75" s="635">
        <v>0.7076828222272924</v>
      </c>
      <c r="BN75" s="635">
        <v>0.7076828222272924</v>
      </c>
      <c r="BO75" s="635">
        <v>0.7076828222272924</v>
      </c>
      <c r="BP75" s="1433"/>
      <c r="BQ75" s="636"/>
      <c r="BR75" s="636"/>
      <c r="BS75" s="636"/>
      <c r="BT75" s="636"/>
      <c r="BU75" s="636"/>
      <c r="BV75" s="636"/>
      <c r="BW75" s="636"/>
      <c r="BX75" s="636"/>
      <c r="BY75" s="636"/>
      <c r="BZ75" s="636"/>
      <c r="CA75" s="636"/>
      <c r="CB75" s="636"/>
      <c r="CC75" s="636"/>
      <c r="CD75" s="636"/>
      <c r="CE75" s="636"/>
      <c r="CF75" s="636"/>
      <c r="CG75" s="636"/>
      <c r="CH75" s="636"/>
      <c r="CI75" s="637"/>
      <c r="CK75" s="1363"/>
    </row>
    <row r="76" spans="1:89" s="1362" customFormat="1" ht="28.2" thickBot="1" x14ac:dyDescent="0.3">
      <c r="A76" s="1353"/>
      <c r="B76" s="643" t="s">
        <v>474</v>
      </c>
      <c r="C76" s="644" t="s">
        <v>475</v>
      </c>
      <c r="D76" s="645" t="s">
        <v>476</v>
      </c>
      <c r="E76" s="646" t="s">
        <v>254</v>
      </c>
      <c r="F76" s="647">
        <v>2</v>
      </c>
      <c r="G76" s="595"/>
      <c r="H76" s="595"/>
      <c r="I76" s="595">
        <f>SUM(I63:I66)+I73+I74+I75</f>
        <v>551.05600000000015</v>
      </c>
      <c r="J76" s="595">
        <f t="shared" ref="J76:BS76" si="26">SUM(J63:J66)+J73+J74+J75</f>
        <v>557.1498612403575</v>
      </c>
      <c r="K76" s="595">
        <f t="shared" si="26"/>
        <v>562.69890047203012</v>
      </c>
      <c r="L76" s="595">
        <f t="shared" si="26"/>
        <v>568.08634239788614</v>
      </c>
      <c r="M76" s="595">
        <f t="shared" si="26"/>
        <v>572.8569697467982</v>
      </c>
      <c r="N76" s="595">
        <f t="shared" si="26"/>
        <v>577.4122621579113</v>
      </c>
      <c r="O76" s="595">
        <f t="shared" si="26"/>
        <v>581.96339552008908</v>
      </c>
      <c r="P76" s="595">
        <f t="shared" si="26"/>
        <v>586.42428606022293</v>
      </c>
      <c r="Q76" s="595">
        <f t="shared" si="26"/>
        <v>590.98964634683693</v>
      </c>
      <c r="R76" s="595">
        <f t="shared" si="26"/>
        <v>595.24659511219568</v>
      </c>
      <c r="S76" s="595">
        <f t="shared" si="26"/>
        <v>599.50424635601894</v>
      </c>
      <c r="T76" s="595">
        <f t="shared" si="26"/>
        <v>603.75950490954688</v>
      </c>
      <c r="U76" s="595">
        <f t="shared" si="26"/>
        <v>608.01672927527795</v>
      </c>
      <c r="V76" s="595">
        <f t="shared" si="26"/>
        <v>612.16366041552271</v>
      </c>
      <c r="W76" s="595">
        <f t="shared" si="26"/>
        <v>616.31262460926803</v>
      </c>
      <c r="X76" s="595">
        <f t="shared" si="26"/>
        <v>620.25584607287101</v>
      </c>
      <c r="Y76" s="595">
        <f t="shared" si="26"/>
        <v>624.25448421631745</v>
      </c>
      <c r="Z76" s="595">
        <f t="shared" si="26"/>
        <v>628.27401588319958</v>
      </c>
      <c r="AA76" s="595">
        <f t="shared" si="26"/>
        <v>632.16587850767496</v>
      </c>
      <c r="AB76" s="595">
        <f t="shared" si="26"/>
        <v>635.88881242698517</v>
      </c>
      <c r="AC76" s="595">
        <f t="shared" si="26"/>
        <v>639.6717880528056</v>
      </c>
      <c r="AD76" s="595">
        <f t="shared" si="26"/>
        <v>643.56196014010334</v>
      </c>
      <c r="AE76" s="595">
        <f t="shared" si="26"/>
        <v>647.45197277554678</v>
      </c>
      <c r="AF76" s="595">
        <f t="shared" si="26"/>
        <v>651.44376872755822</v>
      </c>
      <c r="AG76" s="595">
        <f t="shared" si="26"/>
        <v>655.13529506425618</v>
      </c>
      <c r="AH76" s="595">
        <f t="shared" si="26"/>
        <v>658.73250259201643</v>
      </c>
      <c r="AI76" s="595">
        <f t="shared" si="26"/>
        <v>662.42934517120432</v>
      </c>
      <c r="AJ76" s="595">
        <f t="shared" si="26"/>
        <v>666.12777967661077</v>
      </c>
      <c r="AK76" s="595">
        <f t="shared" si="26"/>
        <v>669.72576535496421</v>
      </c>
      <c r="AL76" s="595">
        <f t="shared" si="26"/>
        <v>673.42926507215077</v>
      </c>
      <c r="AM76" s="595">
        <f t="shared" si="26"/>
        <v>677.13224300873128</v>
      </c>
      <c r="AN76" s="595">
        <f t="shared" si="26"/>
        <v>680.73666600744139</v>
      </c>
      <c r="AO76" s="595">
        <f t="shared" si="26"/>
        <v>684.44050315438665</v>
      </c>
      <c r="AP76" s="595">
        <f t="shared" si="26"/>
        <v>688.14972502935314</v>
      </c>
      <c r="AQ76" s="595">
        <f t="shared" si="26"/>
        <v>691.75830420965804</v>
      </c>
      <c r="AR76" s="595">
        <f t="shared" si="26"/>
        <v>695.46821513181283</v>
      </c>
      <c r="AS76" s="595">
        <f t="shared" si="26"/>
        <v>699.07743356529306</v>
      </c>
      <c r="AT76" s="595">
        <f t="shared" si="26"/>
        <v>702.79193653118455</v>
      </c>
      <c r="AU76" s="595">
        <f t="shared" si="26"/>
        <v>706.50570261518646</v>
      </c>
      <c r="AV76" s="595">
        <f t="shared" si="26"/>
        <v>710.12071186900414</v>
      </c>
      <c r="AW76" s="595">
        <f t="shared" si="26"/>
        <v>713.83494511667982</v>
      </c>
      <c r="AX76" s="595">
        <f t="shared" si="26"/>
        <v>717.55438472032438</v>
      </c>
      <c r="AY76" s="595">
        <f t="shared" si="26"/>
        <v>721.17301387404177</v>
      </c>
      <c r="AZ76" s="595">
        <f t="shared" si="26"/>
        <v>724.89281655557829</v>
      </c>
      <c r="BA76" s="595">
        <f t="shared" si="26"/>
        <v>728.51177808912564</v>
      </c>
      <c r="BB76" s="595">
        <f t="shared" si="26"/>
        <v>732.23588424835691</v>
      </c>
      <c r="BC76" s="595">
        <f t="shared" si="26"/>
        <v>735.95912205378386</v>
      </c>
      <c r="BD76" s="595">
        <f t="shared" si="26"/>
        <v>739.58347908545386</v>
      </c>
      <c r="BE76" s="595">
        <f t="shared" si="26"/>
        <v>743.30694346000644</v>
      </c>
      <c r="BF76" s="595">
        <f t="shared" si="26"/>
        <v>747.03550460628685</v>
      </c>
      <c r="BG76" s="595">
        <f t="shared" si="26"/>
        <v>750.66315177697675</v>
      </c>
      <c r="BH76" s="595">
        <f t="shared" si="26"/>
        <v>754.39187568339298</v>
      </c>
      <c r="BI76" s="595">
        <f t="shared" si="26"/>
        <v>758.11966678959379</v>
      </c>
      <c r="BJ76" s="595">
        <f t="shared" si="26"/>
        <v>761.75251695613952</v>
      </c>
      <c r="BK76" s="595">
        <f t="shared" si="26"/>
        <v>765.48441793721736</v>
      </c>
      <c r="BL76" s="595">
        <f t="shared" si="26"/>
        <v>769.11736221534568</v>
      </c>
      <c r="BM76" s="595">
        <f t="shared" si="26"/>
        <v>772.84934274353918</v>
      </c>
      <c r="BN76" s="595">
        <f t="shared" si="26"/>
        <v>776.58635313415868</v>
      </c>
      <c r="BO76" s="595">
        <f t="shared" si="26"/>
        <v>780.22238722136331</v>
      </c>
      <c r="BP76" s="595">
        <f t="shared" si="26"/>
        <v>695.94174744242184</v>
      </c>
      <c r="BQ76" s="595">
        <f t="shared" si="26"/>
        <v>695.94174744242184</v>
      </c>
      <c r="BR76" s="595">
        <f t="shared" si="26"/>
        <v>695.94174744242184</v>
      </c>
      <c r="BS76" s="595">
        <f t="shared" si="26"/>
        <v>695.94174744242184</v>
      </c>
      <c r="BT76" s="595">
        <f t="shared" ref="BT76:CI76" si="27">SUM(BT63:BT66)+BT73+BT74+BT75</f>
        <v>695.94174744242184</v>
      </c>
      <c r="BU76" s="595">
        <f t="shared" si="27"/>
        <v>695.94174744242184</v>
      </c>
      <c r="BV76" s="595">
        <f t="shared" si="27"/>
        <v>695.94174744242184</v>
      </c>
      <c r="BW76" s="595">
        <f t="shared" si="27"/>
        <v>695.94174744242184</v>
      </c>
      <c r="BX76" s="595">
        <f t="shared" si="27"/>
        <v>695.94174744242184</v>
      </c>
      <c r="BY76" s="595">
        <f t="shared" si="27"/>
        <v>695.94174744242184</v>
      </c>
      <c r="BZ76" s="595">
        <f t="shared" si="27"/>
        <v>695.94174744242184</v>
      </c>
      <c r="CA76" s="595">
        <f t="shared" si="27"/>
        <v>695.94174744242184</v>
      </c>
      <c r="CB76" s="595">
        <f t="shared" si="27"/>
        <v>695.94174744242184</v>
      </c>
      <c r="CC76" s="595">
        <f t="shared" si="27"/>
        <v>695.94174744242184</v>
      </c>
      <c r="CD76" s="595">
        <f t="shared" si="27"/>
        <v>695.94174744242184</v>
      </c>
      <c r="CE76" s="595">
        <f t="shared" si="27"/>
        <v>695.94174744242184</v>
      </c>
      <c r="CF76" s="595">
        <f t="shared" si="27"/>
        <v>695.94174744242184</v>
      </c>
      <c r="CG76" s="595">
        <f t="shared" si="27"/>
        <v>695.94174744242184</v>
      </c>
      <c r="CH76" s="595">
        <f t="shared" si="27"/>
        <v>695.94174744242184</v>
      </c>
      <c r="CI76" s="595">
        <f t="shared" si="27"/>
        <v>695.94174744242184</v>
      </c>
      <c r="CK76" s="1363"/>
    </row>
    <row r="77" spans="1:89" s="1362" customFormat="1" x14ac:dyDescent="0.25">
      <c r="A77" s="1353"/>
      <c r="B77" s="563" t="s">
        <v>477</v>
      </c>
      <c r="C77" s="564" t="s">
        <v>478</v>
      </c>
      <c r="D77" s="565" t="s">
        <v>79</v>
      </c>
      <c r="E77" s="648" t="s">
        <v>254</v>
      </c>
      <c r="F77" s="649">
        <v>2</v>
      </c>
      <c r="G77" s="631"/>
      <c r="H77" s="631"/>
      <c r="I77" s="631">
        <v>57.417000000000002</v>
      </c>
      <c r="J77" s="631">
        <v>57.587686930442622</v>
      </c>
      <c r="K77" s="631">
        <v>57.870538716721583</v>
      </c>
      <c r="L77" s="631">
        <v>58.042798574282742</v>
      </c>
      <c r="M77" s="1429">
        <v>58.183701012230266</v>
      </c>
      <c r="N77" s="1429">
        <v>58.287583505435201</v>
      </c>
      <c r="O77" s="1429">
        <v>58.386184769343728</v>
      </c>
      <c r="P77" s="1429">
        <v>58.502745812952725</v>
      </c>
      <c r="Q77" s="1429">
        <v>58.631948435064949</v>
      </c>
      <c r="R77" s="1429">
        <v>58.73850323482759</v>
      </c>
      <c r="S77" s="1429">
        <v>58.849313874434017</v>
      </c>
      <c r="T77" s="1429">
        <v>58.955819202306323</v>
      </c>
      <c r="U77" s="1429">
        <v>59.06955429956836</v>
      </c>
      <c r="V77" s="1429">
        <v>59.156949786214724</v>
      </c>
      <c r="W77" s="1429">
        <v>59.250958703609278</v>
      </c>
      <c r="X77" s="1429">
        <v>59.334508210912439</v>
      </c>
      <c r="Y77" s="1429">
        <v>59.524511123192553</v>
      </c>
      <c r="Z77" s="1429">
        <v>59.749519941340552</v>
      </c>
      <c r="AA77" s="1429">
        <v>59.927944342237836</v>
      </c>
      <c r="AB77" s="1429">
        <v>60.162627216543434</v>
      </c>
      <c r="AC77" s="1429">
        <v>60.328545456796427</v>
      </c>
      <c r="AD77" s="1429">
        <v>60.498127827981698</v>
      </c>
      <c r="AE77" s="1429">
        <v>60.671257350133054</v>
      </c>
      <c r="AF77" s="1429">
        <v>60.847823621670344</v>
      </c>
      <c r="AG77" s="1429">
        <v>61.027724461694042</v>
      </c>
      <c r="AH77" s="1429">
        <v>61.210864919314936</v>
      </c>
      <c r="AI77" s="1429">
        <v>61.397155967017845</v>
      </c>
      <c r="AJ77" s="1429">
        <v>61.586514384150405</v>
      </c>
      <c r="AK77" s="1429">
        <v>61.778861556672815</v>
      </c>
      <c r="AL77" s="1429">
        <v>61.974125761109079</v>
      </c>
      <c r="AM77" s="1429">
        <v>62.172237946477274</v>
      </c>
      <c r="AN77" s="1429">
        <v>62.373134107401768</v>
      </c>
      <c r="AO77" s="1429">
        <v>62.576754580991825</v>
      </c>
      <c r="AP77" s="1429">
        <v>62.783042627200665</v>
      </c>
      <c r="AQ77" s="1429">
        <v>62.991945322040586</v>
      </c>
      <c r="AR77" s="1429">
        <v>63.203413328583565</v>
      </c>
      <c r="AS77" s="1429">
        <v>63.417399908799354</v>
      </c>
      <c r="AT77" s="1429">
        <v>63.633860740335493</v>
      </c>
      <c r="AU77" s="1429">
        <v>63.852754494283396</v>
      </c>
      <c r="AV77" s="1429">
        <v>64.074042669737068</v>
      </c>
      <c r="AW77" s="1429">
        <v>64.297688295050023</v>
      </c>
      <c r="AX77" s="1429">
        <v>64.523657314917799</v>
      </c>
      <c r="AY77" s="1429">
        <v>64.751917317132126</v>
      </c>
      <c r="AZ77" s="1429">
        <v>64.982437402450444</v>
      </c>
      <c r="BA77" s="1429">
        <v>65.215189230513545</v>
      </c>
      <c r="BB77" s="1429">
        <v>65.450145378930486</v>
      </c>
      <c r="BC77" s="1429">
        <v>65.687280780175016</v>
      </c>
      <c r="BD77" s="1429">
        <v>65.926571483458758</v>
      </c>
      <c r="BE77" s="1429">
        <v>66.167994573709336</v>
      </c>
      <c r="BF77" s="1429">
        <v>66.411529616868194</v>
      </c>
      <c r="BG77" s="1429">
        <v>66.65715592568607</v>
      </c>
      <c r="BH77" s="1429">
        <v>66.904855528426495</v>
      </c>
      <c r="BI77" s="1429">
        <v>67.154610073943147</v>
      </c>
      <c r="BJ77" s="1429">
        <v>67.406403807436433</v>
      </c>
      <c r="BK77" s="1429">
        <v>67.660220853564113</v>
      </c>
      <c r="BL77" s="1429">
        <v>67.916046693725292</v>
      </c>
      <c r="BM77" s="1429">
        <v>68.173867728753564</v>
      </c>
      <c r="BN77" s="1429">
        <v>68.433671618666722</v>
      </c>
      <c r="BO77" s="1429">
        <v>68.695446475247465</v>
      </c>
      <c r="BP77" s="632"/>
      <c r="BQ77" s="632"/>
      <c r="BR77" s="632"/>
      <c r="BS77" s="632"/>
      <c r="BT77" s="632"/>
      <c r="BU77" s="632"/>
      <c r="BV77" s="632"/>
      <c r="BW77" s="632"/>
      <c r="BX77" s="632"/>
      <c r="BY77" s="632"/>
      <c r="BZ77" s="632"/>
      <c r="CA77" s="632"/>
      <c r="CB77" s="632"/>
      <c r="CC77" s="632"/>
      <c r="CD77" s="632"/>
      <c r="CE77" s="632"/>
      <c r="CF77" s="632"/>
      <c r="CG77" s="632"/>
      <c r="CH77" s="632"/>
      <c r="CI77" s="633"/>
      <c r="CK77" s="1363"/>
    </row>
    <row r="78" spans="1:89" s="1362" customFormat="1" x14ac:dyDescent="0.25">
      <c r="A78" s="1353"/>
      <c r="B78" s="579" t="s">
        <v>479</v>
      </c>
      <c r="C78" s="582" t="s">
        <v>480</v>
      </c>
      <c r="D78" s="573" t="s">
        <v>79</v>
      </c>
      <c r="E78" s="650" t="s">
        <v>254</v>
      </c>
      <c r="F78" s="651">
        <v>2</v>
      </c>
      <c r="G78" s="635"/>
      <c r="H78" s="635"/>
      <c r="I78" s="635">
        <v>0.58899999999999997</v>
      </c>
      <c r="J78" s="635">
        <v>0.59075095532734978</v>
      </c>
      <c r="K78" s="635">
        <v>0.59189297436654376</v>
      </c>
      <c r="L78" s="635">
        <v>0.59075324194924739</v>
      </c>
      <c r="M78" s="1429">
        <v>0.59042983346753031</v>
      </c>
      <c r="N78" s="1429">
        <v>0.59005161389587835</v>
      </c>
      <c r="O78" s="1429">
        <v>0.58999637248534398</v>
      </c>
      <c r="P78" s="1429">
        <v>0.59017586814341916</v>
      </c>
      <c r="Q78" s="1429">
        <v>0.59030079953284664</v>
      </c>
      <c r="R78" s="1429">
        <v>0.59007041943403393</v>
      </c>
      <c r="S78" s="1429">
        <v>0.59011115304500805</v>
      </c>
      <c r="T78" s="1429">
        <v>0.59006597059483867</v>
      </c>
      <c r="U78" s="1429">
        <v>0.59013627413194425</v>
      </c>
      <c r="V78" s="1429">
        <v>0.58987144625087029</v>
      </c>
      <c r="W78" s="1429">
        <v>0.58993600587159167</v>
      </c>
      <c r="X78" s="1429">
        <v>0.5898305462203185</v>
      </c>
      <c r="Y78" s="1429">
        <v>0.59088611515806821</v>
      </c>
      <c r="Z78" s="1429">
        <v>0.59122648101409347</v>
      </c>
      <c r="AA78" s="1429">
        <v>0.59075887558982565</v>
      </c>
      <c r="AB78" s="1429">
        <v>0.59130657357736693</v>
      </c>
      <c r="AC78" s="1429">
        <v>0.59062436130253004</v>
      </c>
      <c r="AD78" s="1429">
        <v>0.59065566757613097</v>
      </c>
      <c r="AE78" s="1429">
        <v>0.59068556106128345</v>
      </c>
      <c r="AF78" s="1429">
        <v>0.5907141153567228</v>
      </c>
      <c r="AG78" s="1429">
        <v>0.59074141963454208</v>
      </c>
      <c r="AH78" s="1429">
        <v>0.59076755287027449</v>
      </c>
      <c r="AI78" s="1429">
        <v>0.59079258089624209</v>
      </c>
      <c r="AJ78" s="1429">
        <v>0.59081656798160131</v>
      </c>
      <c r="AK78" s="1429">
        <v>0.59083956643347069</v>
      </c>
      <c r="AL78" s="1429">
        <v>0.59086164998051705</v>
      </c>
      <c r="AM78" s="1429">
        <v>0.59088285152470932</v>
      </c>
      <c r="AN78" s="1429">
        <v>0.59090322630635495</v>
      </c>
      <c r="AO78" s="1429">
        <v>0.59092282239237004</v>
      </c>
      <c r="AP78" s="1429">
        <v>0.59094167402945108</v>
      </c>
      <c r="AQ78" s="1429">
        <v>0.59095982357834465</v>
      </c>
      <c r="AR78" s="1429">
        <v>0.59097731083263283</v>
      </c>
      <c r="AS78" s="1429">
        <v>0.5909941659652358</v>
      </c>
      <c r="AT78" s="1429">
        <v>0.59101041717191793</v>
      </c>
      <c r="AU78" s="1429">
        <v>0.5910260977343671</v>
      </c>
      <c r="AV78" s="1429">
        <v>0.59104123904088823</v>
      </c>
      <c r="AW78" s="1429">
        <v>0.59105586018645617</v>
      </c>
      <c r="AX78" s="1429">
        <v>0.5910699928136014</v>
      </c>
      <c r="AY78" s="1429">
        <v>0.59108365655170958</v>
      </c>
      <c r="AZ78" s="1429">
        <v>0.59109686965077091</v>
      </c>
      <c r="BA78" s="1429">
        <v>0.59110965965898477</v>
      </c>
      <c r="BB78" s="1429">
        <v>0.59112203894599413</v>
      </c>
      <c r="BC78" s="1429">
        <v>0.59113403271335752</v>
      </c>
      <c r="BD78" s="1429">
        <v>0.59114565472280778</v>
      </c>
      <c r="BE78" s="1429">
        <v>0.59115691787025526</v>
      </c>
      <c r="BF78" s="1429">
        <v>0.59116784778418452</v>
      </c>
      <c r="BG78" s="1429">
        <v>0.5911784454706619</v>
      </c>
      <c r="BH78" s="1429">
        <v>0.59118873823803841</v>
      </c>
      <c r="BI78" s="1429">
        <v>0.59119872572997312</v>
      </c>
      <c r="BJ78" s="1429">
        <v>0.59120843377489507</v>
      </c>
      <c r="BK78" s="1429">
        <v>0.59121786405630072</v>
      </c>
      <c r="BL78" s="1429">
        <v>0.59122703115587472</v>
      </c>
      <c r="BM78" s="1429">
        <v>0.59123594565681192</v>
      </c>
      <c r="BN78" s="1429">
        <v>0.59124462094137198</v>
      </c>
      <c r="BO78" s="1429">
        <v>0.5912530632491223</v>
      </c>
      <c r="BP78" s="636"/>
      <c r="BQ78" s="636"/>
      <c r="BR78" s="636"/>
      <c r="BS78" s="636"/>
      <c r="BT78" s="636"/>
      <c r="BU78" s="636"/>
      <c r="BV78" s="636"/>
      <c r="BW78" s="636"/>
      <c r="BX78" s="636"/>
      <c r="BY78" s="636"/>
      <c r="BZ78" s="636"/>
      <c r="CA78" s="636"/>
      <c r="CB78" s="636"/>
      <c r="CC78" s="636"/>
      <c r="CD78" s="636"/>
      <c r="CE78" s="636"/>
      <c r="CF78" s="636"/>
      <c r="CG78" s="636"/>
      <c r="CH78" s="636"/>
      <c r="CI78" s="637"/>
      <c r="CK78" s="1363"/>
    </row>
    <row r="79" spans="1:89" s="1362" customFormat="1" x14ac:dyDescent="0.25">
      <c r="A79" s="1353"/>
      <c r="B79" s="571" t="s">
        <v>481</v>
      </c>
      <c r="C79" s="652" t="s">
        <v>482</v>
      </c>
      <c r="D79" s="573" t="s">
        <v>79</v>
      </c>
      <c r="E79" s="650" t="s">
        <v>254</v>
      </c>
      <c r="F79" s="651">
        <v>2</v>
      </c>
      <c r="G79" s="635"/>
      <c r="H79" s="635"/>
      <c r="I79" s="635">
        <v>654.9</v>
      </c>
      <c r="J79" s="635">
        <v>724.64233383005137</v>
      </c>
      <c r="K79" s="635">
        <v>786.67805363875186</v>
      </c>
      <c r="L79" s="635">
        <v>842.78893768633463</v>
      </c>
      <c r="M79" s="635">
        <v>868.99071371824084</v>
      </c>
      <c r="N79" s="635">
        <v>894.13284244483032</v>
      </c>
      <c r="O79" s="635">
        <v>918.38057802953233</v>
      </c>
      <c r="P79" s="635">
        <v>941.55426587885029</v>
      </c>
      <c r="Q79" s="635">
        <v>964.24635506021946</v>
      </c>
      <c r="R79" s="635">
        <v>985.9000810603527</v>
      </c>
      <c r="S79" s="635">
        <v>1006.9377239286753</v>
      </c>
      <c r="T79" s="635">
        <v>1026.9064181482402</v>
      </c>
      <c r="U79" s="635">
        <v>1046.3026548683727</v>
      </c>
      <c r="V79" s="635">
        <v>1064.9491581958841</v>
      </c>
      <c r="W79" s="635">
        <v>1083.0764425152511</v>
      </c>
      <c r="X79" s="635">
        <v>1100.3854594622524</v>
      </c>
      <c r="Y79" s="635">
        <v>1117.0558159635546</v>
      </c>
      <c r="Z79" s="635">
        <v>1133.3616647618906</v>
      </c>
      <c r="AA79" s="635">
        <v>1149.2096176781397</v>
      </c>
      <c r="AB79" s="635">
        <v>1164.3344609929168</v>
      </c>
      <c r="AC79" s="635">
        <v>1179.1031175642206</v>
      </c>
      <c r="AD79" s="635">
        <v>1193.7057850266469</v>
      </c>
      <c r="AE79" s="635">
        <v>1208.4013973919364</v>
      </c>
      <c r="AF79" s="635">
        <v>1223.9540578529954</v>
      </c>
      <c r="AG79" s="635">
        <v>1238.4171069631832</v>
      </c>
      <c r="AH79" s="635">
        <v>1252.5683643640698</v>
      </c>
      <c r="AI79" s="635">
        <v>1266.5550130435618</v>
      </c>
      <c r="AJ79" s="635">
        <v>1280.2773140241418</v>
      </c>
      <c r="AK79" s="635">
        <v>1293.6372376649408</v>
      </c>
      <c r="AL79" s="635">
        <v>1306.8664011657138</v>
      </c>
      <c r="AM79" s="635">
        <v>1319.772525029613</v>
      </c>
      <c r="AN79" s="635">
        <v>1332.5355309359572</v>
      </c>
      <c r="AO79" s="635">
        <v>1345.1046176468744</v>
      </c>
      <c r="AP79" s="635">
        <v>1357.4729789700875</v>
      </c>
      <c r="AQ79" s="635">
        <v>1369.7304550517526</v>
      </c>
      <c r="AR79" s="635">
        <v>1381.7249560486337</v>
      </c>
      <c r="AS79" s="635">
        <v>1393.5325893527274</v>
      </c>
      <c r="AT79" s="635">
        <v>1401.7219691963671</v>
      </c>
      <c r="AU79" s="635">
        <v>1409.8167748525102</v>
      </c>
      <c r="AV79" s="635">
        <v>1417.9946049369814</v>
      </c>
      <c r="AW79" s="635">
        <v>1426.1843546847094</v>
      </c>
      <c r="AX79" s="635">
        <v>1434.2794410141469</v>
      </c>
      <c r="AY79" s="635">
        <v>1442.4578089625086</v>
      </c>
      <c r="AZ79" s="635">
        <v>1450.6479108790957</v>
      </c>
      <c r="BA79" s="635">
        <v>1458.8266607574583</v>
      </c>
      <c r="BB79" s="635">
        <v>1467.0170252564114</v>
      </c>
      <c r="BC79" s="635">
        <v>1475.3023942540262</v>
      </c>
      <c r="BD79" s="635">
        <v>1483.4816951400301</v>
      </c>
      <c r="BE79" s="635">
        <v>1491.672435290704</v>
      </c>
      <c r="BF79" s="635">
        <v>1499.9582515180628</v>
      </c>
      <c r="BG79" s="635">
        <v>1508.1380801124633</v>
      </c>
      <c r="BH79" s="635">
        <v>1516.4242096907988</v>
      </c>
      <c r="BI79" s="635">
        <v>1524.7104780356033</v>
      </c>
      <c r="BJ79" s="635">
        <v>1532.8908362945654</v>
      </c>
      <c r="BK79" s="635">
        <v>1541.1774040970827</v>
      </c>
      <c r="BL79" s="635">
        <v>1549.4532402306741</v>
      </c>
      <c r="BM79" s="635">
        <v>1557.7401224107127</v>
      </c>
      <c r="BN79" s="635">
        <v>1566.0271326602417</v>
      </c>
      <c r="BO79" s="635">
        <v>1574.3035551863927</v>
      </c>
      <c r="BP79" s="636"/>
      <c r="BQ79" s="636"/>
      <c r="BR79" s="636"/>
      <c r="BS79" s="636"/>
      <c r="BT79" s="636"/>
      <c r="BU79" s="636"/>
      <c r="BV79" s="636"/>
      <c r="BW79" s="636"/>
      <c r="BX79" s="636"/>
      <c r="BY79" s="636"/>
      <c r="BZ79" s="636"/>
      <c r="CA79" s="636"/>
      <c r="CB79" s="636"/>
      <c r="CC79" s="636"/>
      <c r="CD79" s="636"/>
      <c r="CE79" s="636"/>
      <c r="CF79" s="636"/>
      <c r="CG79" s="636"/>
      <c r="CH79" s="636"/>
      <c r="CI79" s="637"/>
      <c r="CK79" s="1363"/>
    </row>
    <row r="80" spans="1:89" s="1362" customFormat="1" x14ac:dyDescent="0.25">
      <c r="A80" s="1353"/>
      <c r="B80" s="571" t="s">
        <v>483</v>
      </c>
      <c r="C80" s="652" t="s">
        <v>484</v>
      </c>
      <c r="D80" s="573" t="s">
        <v>79</v>
      </c>
      <c r="E80" s="650" t="s">
        <v>254</v>
      </c>
      <c r="F80" s="651">
        <v>2</v>
      </c>
      <c r="G80" s="635"/>
      <c r="H80" s="635"/>
      <c r="I80" s="635">
        <v>526.10199999999998</v>
      </c>
      <c r="J80" s="635">
        <v>467.05966616994868</v>
      </c>
      <c r="K80" s="635">
        <v>414.82394636124815</v>
      </c>
      <c r="L80" s="635">
        <v>368.51306231366539</v>
      </c>
      <c r="M80" s="635">
        <v>351.51128628175917</v>
      </c>
      <c r="N80" s="635">
        <v>335.36915755516964</v>
      </c>
      <c r="O80" s="635">
        <v>319.92142197046769</v>
      </c>
      <c r="P80" s="635">
        <v>305.14773412114977</v>
      </c>
      <c r="Q80" s="635">
        <v>291.05564493978056</v>
      </c>
      <c r="R80" s="635">
        <v>277.70191893964727</v>
      </c>
      <c r="S80" s="635">
        <v>264.96427607132466</v>
      </c>
      <c r="T80" s="635">
        <v>252.69558185175998</v>
      </c>
      <c r="U80" s="635">
        <v>240.99934513162725</v>
      </c>
      <c r="V80" s="635">
        <v>229.85284180411588</v>
      </c>
      <c r="W80" s="635">
        <v>219.22555748474892</v>
      </c>
      <c r="X80" s="635">
        <v>209.11654053774748</v>
      </c>
      <c r="Y80" s="635">
        <v>199.44618403644546</v>
      </c>
      <c r="Z80" s="635">
        <v>190.24033523810937</v>
      </c>
      <c r="AA80" s="635">
        <v>181.49238232186033</v>
      </c>
      <c r="AB80" s="635">
        <v>173.16753900708323</v>
      </c>
      <c r="AC80" s="635">
        <v>165.19888243577935</v>
      </c>
      <c r="AD80" s="635">
        <v>157.59621497335311</v>
      </c>
      <c r="AE80" s="635">
        <v>150.40060260806382</v>
      </c>
      <c r="AF80" s="635">
        <v>143.64794214700458</v>
      </c>
      <c r="AG80" s="635">
        <v>137.18489303681673</v>
      </c>
      <c r="AH80" s="635">
        <v>131.03363563593012</v>
      </c>
      <c r="AI80" s="635">
        <v>125.14698695643835</v>
      </c>
      <c r="AJ80" s="635">
        <v>119.52468597585818</v>
      </c>
      <c r="AK80" s="635">
        <v>114.16476233505918</v>
      </c>
      <c r="AL80" s="635">
        <v>109.03559883428623</v>
      </c>
      <c r="AM80" s="635">
        <v>104.12947497038711</v>
      </c>
      <c r="AN80" s="635">
        <v>99.466469064042741</v>
      </c>
      <c r="AO80" s="635">
        <v>94.997382353125602</v>
      </c>
      <c r="AP80" s="635">
        <v>90.729021029912516</v>
      </c>
      <c r="AQ80" s="635">
        <v>86.671544948247188</v>
      </c>
      <c r="AR80" s="635">
        <v>82.777043951366267</v>
      </c>
      <c r="AS80" s="635">
        <v>79.069410647272576</v>
      </c>
      <c r="AT80" s="635">
        <v>79.080030803632994</v>
      </c>
      <c r="AU80" s="635">
        <v>79.085225147489638</v>
      </c>
      <c r="AV80" s="635">
        <v>79.107395063018728</v>
      </c>
      <c r="AW80" s="635">
        <v>79.117645315290602</v>
      </c>
      <c r="AX80" s="635">
        <v>79.122558985853018</v>
      </c>
      <c r="AY80" s="635">
        <v>79.144191037491311</v>
      </c>
      <c r="AZ80" s="635">
        <v>79.154089120904416</v>
      </c>
      <c r="BA80" s="635">
        <v>79.175339242541682</v>
      </c>
      <c r="BB80" s="635">
        <v>79.184974743588569</v>
      </c>
      <c r="BC80" s="635">
        <v>79.199605745973741</v>
      </c>
      <c r="BD80" s="635">
        <v>79.220304859970014</v>
      </c>
      <c r="BE80" s="635">
        <v>79.229564709295985</v>
      </c>
      <c r="BF80" s="635">
        <v>79.243748481937331</v>
      </c>
      <c r="BG80" s="635">
        <v>79.263919887536559</v>
      </c>
      <c r="BH80" s="635">
        <v>79.277790309201123</v>
      </c>
      <c r="BI80" s="635">
        <v>79.29152196439685</v>
      </c>
      <c r="BJ80" s="635">
        <v>79.311163705434666</v>
      </c>
      <c r="BK80" s="635">
        <v>79.324595902917338</v>
      </c>
      <c r="BL80" s="635">
        <v>79.348759769325852</v>
      </c>
      <c r="BM80" s="635">
        <v>79.361877589287317</v>
      </c>
      <c r="BN80" s="635">
        <v>79.37486733975814</v>
      </c>
      <c r="BO80" s="635">
        <v>79.398444813607227</v>
      </c>
      <c r="BP80" s="636"/>
      <c r="BQ80" s="636"/>
      <c r="BR80" s="636"/>
      <c r="BS80" s="636"/>
      <c r="BT80" s="636"/>
      <c r="BU80" s="636"/>
      <c r="BV80" s="636"/>
      <c r="BW80" s="636"/>
      <c r="BX80" s="636"/>
      <c r="BY80" s="636"/>
      <c r="BZ80" s="636"/>
      <c r="CA80" s="636"/>
      <c r="CB80" s="636"/>
      <c r="CC80" s="636"/>
      <c r="CD80" s="636"/>
      <c r="CE80" s="636"/>
      <c r="CF80" s="636"/>
      <c r="CG80" s="636"/>
      <c r="CH80" s="636"/>
      <c r="CI80" s="637"/>
      <c r="CK80" s="1363"/>
    </row>
    <row r="81" spans="1:89" s="1362" customFormat="1" x14ac:dyDescent="0.25">
      <c r="A81" s="1353"/>
      <c r="B81" s="653" t="s">
        <v>485</v>
      </c>
      <c r="C81" s="652" t="s">
        <v>486</v>
      </c>
      <c r="D81" s="654" t="s">
        <v>487</v>
      </c>
      <c r="E81" s="650" t="s">
        <v>254</v>
      </c>
      <c r="F81" s="651">
        <v>2</v>
      </c>
      <c r="G81" s="583"/>
      <c r="H81" s="583"/>
      <c r="I81" s="583">
        <f t="shared" ref="I81:BS81" si="28">SUM(I77:I80)</f>
        <v>1239.0079999999998</v>
      </c>
      <c r="J81" s="583">
        <f t="shared" si="28"/>
        <v>1249.8804378857701</v>
      </c>
      <c r="K81" s="583">
        <f t="shared" si="28"/>
        <v>1259.9644316910881</v>
      </c>
      <c r="L81" s="583">
        <f t="shared" si="28"/>
        <v>1269.935551816232</v>
      </c>
      <c r="M81" s="588">
        <f t="shared" si="28"/>
        <v>1279.2761308456977</v>
      </c>
      <c r="N81" s="588">
        <f t="shared" si="28"/>
        <v>1288.3796351193309</v>
      </c>
      <c r="O81" s="588">
        <f t="shared" si="28"/>
        <v>1297.278181141829</v>
      </c>
      <c r="P81" s="588">
        <f t="shared" si="28"/>
        <v>1305.7949216810962</v>
      </c>
      <c r="Q81" s="588">
        <f t="shared" si="28"/>
        <v>1314.5242492345978</v>
      </c>
      <c r="R81" s="588">
        <f t="shared" si="28"/>
        <v>1322.9305736542615</v>
      </c>
      <c r="S81" s="588">
        <f t="shared" si="28"/>
        <v>1331.3414250274791</v>
      </c>
      <c r="T81" s="588">
        <f t="shared" si="28"/>
        <v>1339.1478851729012</v>
      </c>
      <c r="U81" s="588">
        <f t="shared" si="28"/>
        <v>1346.9616905737003</v>
      </c>
      <c r="V81" s="588">
        <f t="shared" si="28"/>
        <v>1354.5488212324658</v>
      </c>
      <c r="W81" s="588">
        <f t="shared" si="28"/>
        <v>1362.1428947094807</v>
      </c>
      <c r="X81" s="588">
        <f t="shared" si="28"/>
        <v>1369.4263387571327</v>
      </c>
      <c r="Y81" s="588">
        <f t="shared" si="28"/>
        <v>1376.6173972383506</v>
      </c>
      <c r="Z81" s="588">
        <f t="shared" si="28"/>
        <v>1383.9427464223545</v>
      </c>
      <c r="AA81" s="588">
        <f t="shared" si="28"/>
        <v>1391.2207032178276</v>
      </c>
      <c r="AB81" s="588">
        <f t="shared" si="28"/>
        <v>1398.2559337901207</v>
      </c>
      <c r="AC81" s="588">
        <f t="shared" si="28"/>
        <v>1405.2211698180988</v>
      </c>
      <c r="AD81" s="588">
        <f t="shared" si="28"/>
        <v>1412.390783495558</v>
      </c>
      <c r="AE81" s="588">
        <f t="shared" si="28"/>
        <v>1420.0639429111945</v>
      </c>
      <c r="AF81" s="588">
        <f t="shared" si="28"/>
        <v>1429.0405377370271</v>
      </c>
      <c r="AG81" s="588">
        <f t="shared" si="28"/>
        <v>1437.2204658813284</v>
      </c>
      <c r="AH81" s="588">
        <f t="shared" si="28"/>
        <v>1445.4036324721851</v>
      </c>
      <c r="AI81" s="588">
        <f t="shared" si="28"/>
        <v>1453.6899485479144</v>
      </c>
      <c r="AJ81" s="588">
        <f t="shared" si="28"/>
        <v>1461.9793309521319</v>
      </c>
      <c r="AK81" s="588">
        <f t="shared" si="28"/>
        <v>1470.1717011231062</v>
      </c>
      <c r="AL81" s="588">
        <f t="shared" si="28"/>
        <v>1478.4669874110896</v>
      </c>
      <c r="AM81" s="588">
        <f t="shared" si="28"/>
        <v>1486.6651207980021</v>
      </c>
      <c r="AN81" s="588">
        <f t="shared" si="28"/>
        <v>1494.9660373337081</v>
      </c>
      <c r="AO81" s="588">
        <f t="shared" si="28"/>
        <v>1503.2696774033843</v>
      </c>
      <c r="AP81" s="588">
        <f t="shared" si="28"/>
        <v>1511.5759843012302</v>
      </c>
      <c r="AQ81" s="588">
        <f t="shared" si="28"/>
        <v>1519.9849051456188</v>
      </c>
      <c r="AR81" s="588">
        <f t="shared" si="28"/>
        <v>1528.2963906394161</v>
      </c>
      <c r="AS81" s="588">
        <f t="shared" si="28"/>
        <v>1536.6103940747646</v>
      </c>
      <c r="AT81" s="588">
        <f t="shared" si="28"/>
        <v>1545.0268711575075</v>
      </c>
      <c r="AU81" s="588">
        <f t="shared" si="28"/>
        <v>1553.3457805920175</v>
      </c>
      <c r="AV81" s="588">
        <f t="shared" si="28"/>
        <v>1561.767083908778</v>
      </c>
      <c r="AW81" s="588">
        <f t="shared" si="28"/>
        <v>1570.1907441552366</v>
      </c>
      <c r="AX81" s="588">
        <f t="shared" si="28"/>
        <v>1578.5167273077311</v>
      </c>
      <c r="AY81" s="588">
        <f t="shared" si="28"/>
        <v>1586.9450009736836</v>
      </c>
      <c r="AZ81" s="588">
        <f t="shared" si="28"/>
        <v>1595.3755342721013</v>
      </c>
      <c r="BA81" s="588">
        <f t="shared" si="28"/>
        <v>1603.8082988901724</v>
      </c>
      <c r="BB81" s="588">
        <f t="shared" si="28"/>
        <v>1612.2432674178765</v>
      </c>
      <c r="BC81" s="588">
        <f t="shared" si="28"/>
        <v>1620.7804148128882</v>
      </c>
      <c r="BD81" s="588">
        <f t="shared" si="28"/>
        <v>1629.2197171381815</v>
      </c>
      <c r="BE81" s="588">
        <f t="shared" si="28"/>
        <v>1637.6611514915796</v>
      </c>
      <c r="BF81" s="588">
        <f t="shared" si="28"/>
        <v>1646.2046974646523</v>
      </c>
      <c r="BG81" s="588">
        <f t="shared" si="28"/>
        <v>1654.6503343711565</v>
      </c>
      <c r="BH81" s="588">
        <f t="shared" si="28"/>
        <v>1663.1980442666645</v>
      </c>
      <c r="BI81" s="588">
        <f t="shared" si="28"/>
        <v>1671.7478087996733</v>
      </c>
      <c r="BJ81" s="588">
        <f t="shared" si="28"/>
        <v>1680.1996122412113</v>
      </c>
      <c r="BK81" s="588">
        <f t="shared" si="28"/>
        <v>1688.7534387176204</v>
      </c>
      <c r="BL81" s="588">
        <f t="shared" si="28"/>
        <v>1697.309273724881</v>
      </c>
      <c r="BM81" s="588">
        <f t="shared" si="28"/>
        <v>1705.8671036744104</v>
      </c>
      <c r="BN81" s="588">
        <f t="shared" si="28"/>
        <v>1714.4269162396079</v>
      </c>
      <c r="BO81" s="588">
        <f t="shared" si="28"/>
        <v>1722.9886995384966</v>
      </c>
      <c r="BP81" s="588">
        <f t="shared" si="28"/>
        <v>0</v>
      </c>
      <c r="BQ81" s="588">
        <f t="shared" si="28"/>
        <v>0</v>
      </c>
      <c r="BR81" s="588">
        <f t="shared" si="28"/>
        <v>0</v>
      </c>
      <c r="BS81" s="588">
        <f t="shared" si="28"/>
        <v>0</v>
      </c>
      <c r="BT81" s="588">
        <f t="shared" ref="BT81:CI81" si="29">SUM(BT77:BT80)</f>
        <v>0</v>
      </c>
      <c r="BU81" s="588">
        <f t="shared" si="29"/>
        <v>0</v>
      </c>
      <c r="BV81" s="588">
        <f t="shared" si="29"/>
        <v>0</v>
      </c>
      <c r="BW81" s="588">
        <f t="shared" si="29"/>
        <v>0</v>
      </c>
      <c r="BX81" s="588">
        <f t="shared" si="29"/>
        <v>0</v>
      </c>
      <c r="BY81" s="588">
        <f t="shared" si="29"/>
        <v>0</v>
      </c>
      <c r="BZ81" s="588">
        <f t="shared" si="29"/>
        <v>0</v>
      </c>
      <c r="CA81" s="588">
        <f t="shared" si="29"/>
        <v>0</v>
      </c>
      <c r="CB81" s="588">
        <f t="shared" si="29"/>
        <v>0</v>
      </c>
      <c r="CC81" s="588">
        <f t="shared" si="29"/>
        <v>0</v>
      </c>
      <c r="CD81" s="588">
        <f t="shared" si="29"/>
        <v>0</v>
      </c>
      <c r="CE81" s="588">
        <f t="shared" si="29"/>
        <v>0</v>
      </c>
      <c r="CF81" s="588">
        <f t="shared" si="29"/>
        <v>0</v>
      </c>
      <c r="CG81" s="588">
        <f t="shared" si="29"/>
        <v>0</v>
      </c>
      <c r="CH81" s="588">
        <f t="shared" si="29"/>
        <v>0</v>
      </c>
      <c r="CI81" s="584">
        <f t="shared" si="29"/>
        <v>0</v>
      </c>
      <c r="CK81" s="1363"/>
    </row>
    <row r="82" spans="1:89" s="1362" customFormat="1" x14ac:dyDescent="0.25">
      <c r="A82" s="1353"/>
      <c r="B82" s="653" t="s">
        <v>488</v>
      </c>
      <c r="C82" s="652" t="s">
        <v>489</v>
      </c>
      <c r="D82" s="654" t="s">
        <v>490</v>
      </c>
      <c r="E82" s="650" t="s">
        <v>491</v>
      </c>
      <c r="F82" s="651">
        <v>1</v>
      </c>
      <c r="G82" s="613"/>
      <c r="H82" s="613"/>
      <c r="I82" s="613">
        <f t="shared" ref="I82:BS82" si="30">(I80+I79)/(I66+I74)</f>
        <v>2.3234486923983417</v>
      </c>
      <c r="J82" s="613">
        <f t="shared" si="30"/>
        <v>2.3176374065681311</v>
      </c>
      <c r="K82" s="613">
        <f t="shared" si="30"/>
        <v>2.3128471870518941</v>
      </c>
      <c r="L82" s="613">
        <f t="shared" si="30"/>
        <v>2.3085856955077237</v>
      </c>
      <c r="M82" s="613">
        <f t="shared" si="30"/>
        <v>2.3058391898856789</v>
      </c>
      <c r="N82" s="613">
        <f t="shared" si="30"/>
        <v>2.303612840440401</v>
      </c>
      <c r="O82" s="613">
        <f t="shared" si="30"/>
        <v>2.3010514037526475</v>
      </c>
      <c r="P82" s="613">
        <f t="shared" si="30"/>
        <v>2.2982103543673396</v>
      </c>
      <c r="Q82" s="613">
        <f t="shared" si="30"/>
        <v>2.295367787970906</v>
      </c>
      <c r="R82" s="613">
        <f t="shared" si="30"/>
        <v>2.2932519165934018</v>
      </c>
      <c r="S82" s="613">
        <f t="shared" si="30"/>
        <v>2.2911674814426477</v>
      </c>
      <c r="T82" s="613">
        <f t="shared" si="30"/>
        <v>2.2880409343183787</v>
      </c>
      <c r="U82" s="613">
        <f t="shared" si="30"/>
        <v>2.2849601593248225</v>
      </c>
      <c r="V82" s="613">
        <f t="shared" si="30"/>
        <v>2.2819665580598936</v>
      </c>
      <c r="W82" s="613">
        <f t="shared" si="30"/>
        <v>2.2790151363490909</v>
      </c>
      <c r="X82" s="613">
        <f t="shared" si="30"/>
        <v>2.276360497525403</v>
      </c>
      <c r="Y82" s="613">
        <f t="shared" si="30"/>
        <v>2.273395598090032</v>
      </c>
      <c r="Z82" s="613">
        <f t="shared" si="30"/>
        <v>2.2706412030087062</v>
      </c>
      <c r="AA82" s="613">
        <f t="shared" si="30"/>
        <v>2.2683023435252814</v>
      </c>
      <c r="AB82" s="613">
        <f t="shared" si="30"/>
        <v>2.2662387098373538</v>
      </c>
      <c r="AC82" s="613">
        <f t="shared" si="30"/>
        <v>2.2638252623419208</v>
      </c>
      <c r="AD82" s="613">
        <f t="shared" si="30"/>
        <v>2.2614042711594657</v>
      </c>
      <c r="AE82" s="613">
        <f t="shared" si="30"/>
        <v>2.2598448838941891</v>
      </c>
      <c r="AF82" s="613">
        <f t="shared" si="30"/>
        <v>2.2600866553691605</v>
      </c>
      <c r="AG82" s="613">
        <f t="shared" si="30"/>
        <v>2.2601049142571865</v>
      </c>
      <c r="AH82" s="613">
        <f t="shared" si="30"/>
        <v>2.2604855234618282</v>
      </c>
      <c r="AI82" s="613">
        <f t="shared" si="30"/>
        <v>2.2606637241253296</v>
      </c>
      <c r="AJ82" s="613">
        <f t="shared" si="30"/>
        <v>2.2608398900733606</v>
      </c>
      <c r="AK82" s="613">
        <f t="shared" si="30"/>
        <v>2.2612100195825606</v>
      </c>
      <c r="AL82" s="613">
        <f t="shared" si="30"/>
        <v>2.2613811399638282</v>
      </c>
      <c r="AM82" s="613">
        <f t="shared" si="30"/>
        <v>2.2613915225601038</v>
      </c>
      <c r="AN82" s="613">
        <f t="shared" si="30"/>
        <v>2.2619104698440524</v>
      </c>
      <c r="AO82" s="613">
        <f t="shared" si="30"/>
        <v>2.2620748771416963</v>
      </c>
      <c r="AP82" s="613">
        <f t="shared" si="30"/>
        <v>2.2622374688345817</v>
      </c>
      <c r="AQ82" s="613">
        <f t="shared" si="30"/>
        <v>2.2628988037689002</v>
      </c>
      <c r="AR82" s="613">
        <f t="shared" si="30"/>
        <v>2.2630551434807926</v>
      </c>
      <c r="AS82" s="613">
        <f t="shared" si="30"/>
        <v>2.2635513614293177</v>
      </c>
      <c r="AT82" s="613">
        <f t="shared" si="30"/>
        <v>2.2638553888552391</v>
      </c>
      <c r="AU82" s="613">
        <f t="shared" si="30"/>
        <v>2.2640040893958417</v>
      </c>
      <c r="AV82" s="613">
        <f t="shared" si="30"/>
        <v>2.2646387563557679</v>
      </c>
      <c r="AW82" s="613">
        <f t="shared" si="30"/>
        <v>2.2649321943907181</v>
      </c>
      <c r="AX82" s="613">
        <f t="shared" si="30"/>
        <v>2.2650728599856689</v>
      </c>
      <c r="AY82" s="613">
        <f t="shared" si="30"/>
        <v>2.2656921293027863</v>
      </c>
      <c r="AZ82" s="613">
        <f t="shared" si="30"/>
        <v>2.2659754856602179</v>
      </c>
      <c r="BA82" s="613">
        <f t="shared" si="30"/>
        <v>2.2665838213157992</v>
      </c>
      <c r="BB82" s="613">
        <f t="shared" si="30"/>
        <v>2.2668596606237461</v>
      </c>
      <c r="BC82" s="613">
        <f t="shared" si="30"/>
        <v>2.2672785081287032</v>
      </c>
      <c r="BD82" s="613">
        <f t="shared" si="30"/>
        <v>2.2678710698701292</v>
      </c>
      <c r="BE82" s="613">
        <f t="shared" si="30"/>
        <v>2.2681361552473547</v>
      </c>
      <c r="BF82" s="613">
        <f t="shared" si="30"/>
        <v>2.2685421997291551</v>
      </c>
      <c r="BG82" s="613">
        <f t="shared" si="30"/>
        <v>2.269119654553116</v>
      </c>
      <c r="BH82" s="613">
        <f t="shared" si="30"/>
        <v>2.2695167286122926</v>
      </c>
      <c r="BI82" s="613">
        <f t="shared" si="30"/>
        <v>2.2699098301487601</v>
      </c>
      <c r="BJ82" s="613">
        <f t="shared" si="30"/>
        <v>2.2704721220553647</v>
      </c>
      <c r="BK82" s="613">
        <f t="shared" si="30"/>
        <v>2.2708566508971759</v>
      </c>
      <c r="BL82" s="613">
        <f t="shared" si="30"/>
        <v>2.2715483994793222</v>
      </c>
      <c r="BM82" s="613">
        <f t="shared" si="30"/>
        <v>2.2719239285112156</v>
      </c>
      <c r="BN82" s="613">
        <f t="shared" si="30"/>
        <v>2.2722957912470343</v>
      </c>
      <c r="BO82" s="613">
        <f t="shared" si="30"/>
        <v>2.2729707529369381</v>
      </c>
      <c r="BP82" s="613">
        <f t="shared" si="30"/>
        <v>0</v>
      </c>
      <c r="BQ82" s="613">
        <f t="shared" si="30"/>
        <v>0</v>
      </c>
      <c r="BR82" s="613">
        <f t="shared" si="30"/>
        <v>0</v>
      </c>
      <c r="BS82" s="613">
        <f t="shared" si="30"/>
        <v>0</v>
      </c>
      <c r="BT82" s="613">
        <f t="shared" ref="BT82:CI82" si="31">(BT80+BT79)/(BT66+BT74)</f>
        <v>0</v>
      </c>
      <c r="BU82" s="613">
        <f t="shared" si="31"/>
        <v>0</v>
      </c>
      <c r="BV82" s="613">
        <f t="shared" si="31"/>
        <v>0</v>
      </c>
      <c r="BW82" s="613">
        <f t="shared" si="31"/>
        <v>0</v>
      </c>
      <c r="BX82" s="613">
        <f t="shared" si="31"/>
        <v>0</v>
      </c>
      <c r="BY82" s="613">
        <f t="shared" si="31"/>
        <v>0</v>
      </c>
      <c r="BZ82" s="613">
        <f t="shared" si="31"/>
        <v>0</v>
      </c>
      <c r="CA82" s="613">
        <f t="shared" si="31"/>
        <v>0</v>
      </c>
      <c r="CB82" s="613">
        <f t="shared" si="31"/>
        <v>0</v>
      </c>
      <c r="CC82" s="613">
        <f t="shared" si="31"/>
        <v>0</v>
      </c>
      <c r="CD82" s="613">
        <f t="shared" si="31"/>
        <v>0</v>
      </c>
      <c r="CE82" s="613">
        <f t="shared" si="31"/>
        <v>0</v>
      </c>
      <c r="CF82" s="613">
        <f t="shared" si="31"/>
        <v>0</v>
      </c>
      <c r="CG82" s="613">
        <f t="shared" si="31"/>
        <v>0</v>
      </c>
      <c r="CH82" s="613">
        <f t="shared" si="31"/>
        <v>0</v>
      </c>
      <c r="CI82" s="613">
        <f t="shared" si="31"/>
        <v>0</v>
      </c>
      <c r="CK82" s="1363"/>
    </row>
    <row r="83" spans="1:89" s="1362" customFormat="1" x14ac:dyDescent="0.25">
      <c r="A83" s="1353"/>
      <c r="B83" s="653" t="s">
        <v>492</v>
      </c>
      <c r="C83" s="652" t="s">
        <v>493</v>
      </c>
      <c r="D83" s="654" t="s">
        <v>494</v>
      </c>
      <c r="E83" s="650" t="s">
        <v>285</v>
      </c>
      <c r="F83" s="651">
        <v>1</v>
      </c>
      <c r="G83" s="655"/>
      <c r="H83" s="655"/>
      <c r="I83" s="655">
        <f t="shared" ref="I83:BS83" si="32">I66/(I66+I74)</f>
        <v>0.61353303285284</v>
      </c>
      <c r="J83" s="655">
        <f t="shared" si="32"/>
        <v>0.65906499297821919</v>
      </c>
      <c r="K83" s="655">
        <f t="shared" si="32"/>
        <v>0.69885194541064</v>
      </c>
      <c r="L83" s="655">
        <f t="shared" si="32"/>
        <v>0.73391828293673667</v>
      </c>
      <c r="M83" s="656">
        <f t="shared" si="32"/>
        <v>0.74784751160681306</v>
      </c>
      <c r="N83" s="656">
        <f t="shared" si="32"/>
        <v>0.76094146262245688</v>
      </c>
      <c r="O83" s="656">
        <f t="shared" si="32"/>
        <v>0.77333992797223139</v>
      </c>
      <c r="P83" s="656">
        <f t="shared" si="32"/>
        <v>0.78504197347871318</v>
      </c>
      <c r="Q83" s="656">
        <f t="shared" si="32"/>
        <v>0.79616353610908197</v>
      </c>
      <c r="R83" s="656">
        <f t="shared" si="32"/>
        <v>0.80659373210681817</v>
      </c>
      <c r="S83" s="656">
        <f t="shared" si="32"/>
        <v>0.81647994115756639</v>
      </c>
      <c r="T83" s="656">
        <f t="shared" si="32"/>
        <v>0.82585119354308811</v>
      </c>
      <c r="U83" s="656">
        <f t="shared" si="32"/>
        <v>0.83473492693571572</v>
      </c>
      <c r="V83" s="656">
        <f t="shared" si="32"/>
        <v>0.8431299354822982</v>
      </c>
      <c r="W83" s="656">
        <f t="shared" si="32"/>
        <v>0.85109100502025703</v>
      </c>
      <c r="X83" s="656">
        <f t="shared" si="32"/>
        <v>0.85859278331186328</v>
      </c>
      <c r="Y83" s="656">
        <f t="shared" si="32"/>
        <v>0.8657106843949337</v>
      </c>
      <c r="Z83" s="656">
        <f t="shared" si="32"/>
        <v>0.87246472064385128</v>
      </c>
      <c r="AA83" s="656">
        <f t="shared" si="32"/>
        <v>0.87885356478420529</v>
      </c>
      <c r="AB83" s="656">
        <f t="shared" si="32"/>
        <v>0.88487941438821316</v>
      </c>
      <c r="AC83" s="656">
        <f t="shared" si="32"/>
        <v>0.89061970174815752</v>
      </c>
      <c r="AD83" s="656">
        <f t="shared" si="32"/>
        <v>0.89608694720527848</v>
      </c>
      <c r="AE83" s="656">
        <f t="shared" si="32"/>
        <v>0.90127706977830557</v>
      </c>
      <c r="AF83" s="656">
        <f t="shared" si="32"/>
        <v>0.90621957045026147</v>
      </c>
      <c r="AG83" s="656">
        <f t="shared" si="32"/>
        <v>0.91086794406158955</v>
      </c>
      <c r="AH83" s="656">
        <f t="shared" si="32"/>
        <v>0.91526946641067064</v>
      </c>
      <c r="AI83" s="656">
        <f t="shared" si="32"/>
        <v>0.91946394062966152</v>
      </c>
      <c r="AJ83" s="656">
        <f t="shared" si="32"/>
        <v>0.92344824907826728</v>
      </c>
      <c r="AK83" s="656">
        <f t="shared" si="32"/>
        <v>0.92722159665226755</v>
      </c>
      <c r="AL83" s="656">
        <f t="shared" si="32"/>
        <v>0.93081769301431128</v>
      </c>
      <c r="AM83" s="656">
        <f t="shared" si="32"/>
        <v>0.93423400448469485</v>
      </c>
      <c r="AN83" s="656">
        <f t="shared" si="32"/>
        <v>0.93746994734884193</v>
      </c>
      <c r="AO83" s="656">
        <f t="shared" si="32"/>
        <v>0.94055408717906086</v>
      </c>
      <c r="AP83" s="656">
        <f t="shared" si="32"/>
        <v>0.943484367176193</v>
      </c>
      <c r="AQ83" s="656">
        <f t="shared" si="32"/>
        <v>0.94626036874940711</v>
      </c>
      <c r="AR83" s="656">
        <f t="shared" si="32"/>
        <v>0.94890631190343622</v>
      </c>
      <c r="AS83" s="656">
        <f t="shared" si="32"/>
        <v>0.95141319719223882</v>
      </c>
      <c r="AT83" s="656">
        <f t="shared" si="32"/>
        <v>0.95167575877888611</v>
      </c>
      <c r="AU83" s="656">
        <f t="shared" si="32"/>
        <v>0.95193549786875642</v>
      </c>
      <c r="AV83" s="656">
        <f t="shared" si="32"/>
        <v>0.95218535900683088</v>
      </c>
      <c r="AW83" s="656">
        <f t="shared" si="32"/>
        <v>0.95243966327123253</v>
      </c>
      <c r="AX83" s="656">
        <f t="shared" si="32"/>
        <v>0.95269127678972554</v>
      </c>
      <c r="AY83" s="656">
        <f t="shared" si="32"/>
        <v>0.95293336173006116</v>
      </c>
      <c r="AZ83" s="656">
        <f t="shared" si="32"/>
        <v>0.95317979216297521</v>
      </c>
      <c r="BA83" s="656">
        <f t="shared" si="32"/>
        <v>0.9534169158516953</v>
      </c>
      <c r="BB83" s="656">
        <f t="shared" si="32"/>
        <v>0.95365832171792364</v>
      </c>
      <c r="BC83" s="656">
        <f t="shared" si="32"/>
        <v>0.95389723842549878</v>
      </c>
      <c r="BD83" s="656">
        <f t="shared" si="32"/>
        <v>0.95412716853935375</v>
      </c>
      <c r="BE83" s="656">
        <f t="shared" si="32"/>
        <v>0.95436128758953309</v>
      </c>
      <c r="BF83" s="656">
        <f t="shared" si="32"/>
        <v>0.95459302904895649</v>
      </c>
      <c r="BG83" s="656">
        <f t="shared" si="32"/>
        <v>0.95481608803658513</v>
      </c>
      <c r="BH83" s="656">
        <f t="shared" si="32"/>
        <v>0.95504324528792583</v>
      </c>
      <c r="BI83" s="656">
        <f t="shared" si="32"/>
        <v>0.95526812994724308</v>
      </c>
      <c r="BJ83" s="656">
        <f t="shared" si="32"/>
        <v>0.95548462126981648</v>
      </c>
      <c r="BK83" s="656">
        <f t="shared" si="32"/>
        <v>0.95570512269381402</v>
      </c>
      <c r="BL83" s="656">
        <f t="shared" si="32"/>
        <v>0.95591741483853665</v>
      </c>
      <c r="BM83" s="656">
        <f t="shared" si="32"/>
        <v>0.95613365994034705</v>
      </c>
      <c r="BN83" s="656">
        <f t="shared" si="32"/>
        <v>0.9563477938376953</v>
      </c>
      <c r="BO83" s="656">
        <f t="shared" si="32"/>
        <v>0.95655398474722164</v>
      </c>
      <c r="BP83" s="656">
        <f t="shared" si="32"/>
        <v>1</v>
      </c>
      <c r="BQ83" s="656">
        <f t="shared" si="32"/>
        <v>1</v>
      </c>
      <c r="BR83" s="656">
        <f t="shared" si="32"/>
        <v>1</v>
      </c>
      <c r="BS83" s="656">
        <f t="shared" si="32"/>
        <v>1</v>
      </c>
      <c r="BT83" s="656">
        <f t="shared" ref="BT83:CI83" si="33">BT66/(BT66+BT74)</f>
        <v>1</v>
      </c>
      <c r="BU83" s="656">
        <f t="shared" si="33"/>
        <v>1</v>
      </c>
      <c r="BV83" s="656">
        <f t="shared" si="33"/>
        <v>1</v>
      </c>
      <c r="BW83" s="656">
        <f t="shared" si="33"/>
        <v>1</v>
      </c>
      <c r="BX83" s="656">
        <f t="shared" si="33"/>
        <v>1</v>
      </c>
      <c r="BY83" s="656">
        <f t="shared" si="33"/>
        <v>1</v>
      </c>
      <c r="BZ83" s="656">
        <f t="shared" si="33"/>
        <v>1</v>
      </c>
      <c r="CA83" s="656">
        <f t="shared" si="33"/>
        <v>1</v>
      </c>
      <c r="CB83" s="656">
        <f t="shared" si="33"/>
        <v>1</v>
      </c>
      <c r="CC83" s="656">
        <f t="shared" si="33"/>
        <v>1</v>
      </c>
      <c r="CD83" s="656">
        <f t="shared" si="33"/>
        <v>1</v>
      </c>
      <c r="CE83" s="656">
        <f t="shared" si="33"/>
        <v>1</v>
      </c>
      <c r="CF83" s="656">
        <f t="shared" si="33"/>
        <v>1</v>
      </c>
      <c r="CG83" s="656">
        <f t="shared" si="33"/>
        <v>1</v>
      </c>
      <c r="CH83" s="656">
        <f t="shared" si="33"/>
        <v>1</v>
      </c>
      <c r="CI83" s="657">
        <f t="shared" si="33"/>
        <v>1</v>
      </c>
      <c r="CK83" s="1363"/>
    </row>
    <row r="84" spans="1:89" s="1362" customFormat="1" ht="14.4" thickBot="1" x14ac:dyDescent="0.3">
      <c r="A84" s="1353"/>
      <c r="B84" s="658" t="s">
        <v>495</v>
      </c>
      <c r="C84" s="659" t="s">
        <v>496</v>
      </c>
      <c r="D84" s="660" t="s">
        <v>497</v>
      </c>
      <c r="E84" s="661" t="s">
        <v>285</v>
      </c>
      <c r="F84" s="662">
        <v>1</v>
      </c>
      <c r="G84" s="663"/>
      <c r="H84" s="663"/>
      <c r="I84" s="663">
        <f t="shared" ref="I84:BS84" si="34">(I66)/(I66+I75+I74+I73)</f>
        <v>0.60241617842786144</v>
      </c>
      <c r="J84" s="663">
        <f t="shared" si="34"/>
        <v>0.64712312645887271</v>
      </c>
      <c r="K84" s="663">
        <f t="shared" si="34"/>
        <v>0.68618916292667465</v>
      </c>
      <c r="L84" s="663">
        <f t="shared" si="34"/>
        <v>0.72062011922858171</v>
      </c>
      <c r="M84" s="663">
        <f t="shared" si="34"/>
        <v>0.73429695854211852</v>
      </c>
      <c r="N84" s="663">
        <f t="shared" si="34"/>
        <v>0.74715365493658581</v>
      </c>
      <c r="O84" s="663">
        <f t="shared" si="34"/>
        <v>0.75932746745268043</v>
      </c>
      <c r="P84" s="663">
        <f t="shared" si="34"/>
        <v>0.77081747883971952</v>
      </c>
      <c r="Q84" s="663">
        <f t="shared" si="34"/>
        <v>0.78173752535584529</v>
      </c>
      <c r="R84" s="663">
        <f t="shared" si="34"/>
        <v>0.7919787323923978</v>
      </c>
      <c r="S84" s="663">
        <f t="shared" si="34"/>
        <v>0.80168580920258692</v>
      </c>
      <c r="T84" s="663">
        <f t="shared" si="34"/>
        <v>0.81088726005669776</v>
      </c>
      <c r="U84" s="663">
        <f t="shared" si="34"/>
        <v>0.81961002547272432</v>
      </c>
      <c r="V84" s="663">
        <f t="shared" si="34"/>
        <v>0.82785292144685907</v>
      </c>
      <c r="W84" s="663">
        <f t="shared" si="34"/>
        <v>0.83566974112966508</v>
      </c>
      <c r="X84" s="663">
        <f t="shared" si="34"/>
        <v>0.84303559165091391</v>
      </c>
      <c r="Y84" s="663">
        <f t="shared" si="34"/>
        <v>0.85002452059081557</v>
      </c>
      <c r="Z84" s="663">
        <f t="shared" si="34"/>
        <v>0.85665617771140634</v>
      </c>
      <c r="AA84" s="663">
        <f t="shared" si="34"/>
        <v>0.86292925978769996</v>
      </c>
      <c r="AB84" s="663">
        <f t="shared" si="34"/>
        <v>0.86884592457320986</v>
      </c>
      <c r="AC84" s="663">
        <f t="shared" si="34"/>
        <v>0.87448220133303822</v>
      </c>
      <c r="AD84" s="663">
        <f t="shared" si="34"/>
        <v>0.87985038354727263</v>
      </c>
      <c r="AE84" s="663">
        <f t="shared" si="34"/>
        <v>0.8849464641796011</v>
      </c>
      <c r="AF84" s="663">
        <f t="shared" si="34"/>
        <v>0.88979940967274285</v>
      </c>
      <c r="AG84" s="663">
        <f t="shared" si="34"/>
        <v>0.89436355751303198</v>
      </c>
      <c r="AH84" s="663">
        <f t="shared" si="34"/>
        <v>0.89868532688944003</v>
      </c>
      <c r="AI84" s="663">
        <f t="shared" si="34"/>
        <v>0.90280379972499269</v>
      </c>
      <c r="AJ84" s="663">
        <f t="shared" si="34"/>
        <v>0.90671591486918668</v>
      </c>
      <c r="AK84" s="663">
        <f t="shared" si="34"/>
        <v>0.91042089162461848</v>
      </c>
      <c r="AL84" s="663">
        <f t="shared" si="34"/>
        <v>0.91395182885485615</v>
      </c>
      <c r="AM84" s="663">
        <f t="shared" si="34"/>
        <v>0.91730623878896878</v>
      </c>
      <c r="AN84" s="663">
        <f t="shared" si="34"/>
        <v>0.9204835482889413</v>
      </c>
      <c r="AO84" s="663">
        <f t="shared" si="34"/>
        <v>0.92351180533586619</v>
      </c>
      <c r="AP84" s="663">
        <f t="shared" si="34"/>
        <v>0.92638899039856382</v>
      </c>
      <c r="AQ84" s="663">
        <f t="shared" si="34"/>
        <v>0.92911469247082135</v>
      </c>
      <c r="AR84" s="663">
        <f t="shared" si="34"/>
        <v>0.93171269270526014</v>
      </c>
      <c r="AS84" s="663">
        <f t="shared" si="34"/>
        <v>0.93417415472045984</v>
      </c>
      <c r="AT84" s="663">
        <f t="shared" si="34"/>
        <v>0.93443195884698671</v>
      </c>
      <c r="AU84" s="663">
        <f t="shared" si="34"/>
        <v>0.93468699161870294</v>
      </c>
      <c r="AV84" s="663">
        <f t="shared" si="34"/>
        <v>0.93493232542124738</v>
      </c>
      <c r="AW84" s="663">
        <f t="shared" si="34"/>
        <v>0.93518202184330712</v>
      </c>
      <c r="AX84" s="663">
        <f t="shared" si="34"/>
        <v>0.93542907627417704</v>
      </c>
      <c r="AY84" s="663">
        <f t="shared" si="34"/>
        <v>0.93566677477907045</v>
      </c>
      <c r="AZ84" s="663">
        <f t="shared" si="34"/>
        <v>0.93590874003879609</v>
      </c>
      <c r="BA84" s="663">
        <f t="shared" si="34"/>
        <v>0.93614156718700881</v>
      </c>
      <c r="BB84" s="663">
        <f t="shared" si="34"/>
        <v>0.93637859892221487</v>
      </c>
      <c r="BC84" s="663">
        <f t="shared" si="34"/>
        <v>0.93661318660084525</v>
      </c>
      <c r="BD84" s="663">
        <f t="shared" si="34"/>
        <v>0.9368389505175001</v>
      </c>
      <c r="BE84" s="663">
        <f t="shared" si="34"/>
        <v>0.9370688274694392</v>
      </c>
      <c r="BF84" s="663">
        <f t="shared" si="34"/>
        <v>0.93729636991115584</v>
      </c>
      <c r="BG84" s="663">
        <f t="shared" si="34"/>
        <v>0.93751538720231364</v>
      </c>
      <c r="BH84" s="663">
        <f t="shared" si="34"/>
        <v>0.93773842849907729</v>
      </c>
      <c r="BI84" s="663">
        <f t="shared" si="34"/>
        <v>0.93795923838183615</v>
      </c>
      <c r="BJ84" s="663">
        <f t="shared" si="34"/>
        <v>0.93817180701013159</v>
      </c>
      <c r="BK84" s="663">
        <f t="shared" si="34"/>
        <v>0.93838831307919335</v>
      </c>
      <c r="BL84" s="663">
        <f t="shared" si="34"/>
        <v>0.93859675861624847</v>
      </c>
      <c r="BM84" s="663">
        <f t="shared" si="34"/>
        <v>0.93880908548515507</v>
      </c>
      <c r="BN84" s="663">
        <f t="shared" si="34"/>
        <v>0.93901933940337134</v>
      </c>
      <c r="BO84" s="663">
        <f t="shared" si="34"/>
        <v>0.93922179425599073</v>
      </c>
      <c r="BP84" s="663">
        <f t="shared" si="34"/>
        <v>1</v>
      </c>
      <c r="BQ84" s="663">
        <f t="shared" si="34"/>
        <v>1</v>
      </c>
      <c r="BR84" s="663">
        <f t="shared" si="34"/>
        <v>1</v>
      </c>
      <c r="BS84" s="663">
        <f t="shared" si="34"/>
        <v>1</v>
      </c>
      <c r="BT84" s="663">
        <f t="shared" ref="BT84:CI84" si="35">(BT66)/(BT66+BT75+BT74+BT73)</f>
        <v>1</v>
      </c>
      <c r="BU84" s="663">
        <f t="shared" si="35"/>
        <v>1</v>
      </c>
      <c r="BV84" s="663">
        <f t="shared" si="35"/>
        <v>1</v>
      </c>
      <c r="BW84" s="663">
        <f t="shared" si="35"/>
        <v>1</v>
      </c>
      <c r="BX84" s="663">
        <f t="shared" si="35"/>
        <v>1</v>
      </c>
      <c r="BY84" s="663">
        <f t="shared" si="35"/>
        <v>1</v>
      </c>
      <c r="BZ84" s="663">
        <f t="shared" si="35"/>
        <v>1</v>
      </c>
      <c r="CA84" s="663">
        <f t="shared" si="35"/>
        <v>1</v>
      </c>
      <c r="CB84" s="663">
        <f t="shared" si="35"/>
        <v>1</v>
      </c>
      <c r="CC84" s="663">
        <f t="shared" si="35"/>
        <v>1</v>
      </c>
      <c r="CD84" s="663">
        <f t="shared" si="35"/>
        <v>1</v>
      </c>
      <c r="CE84" s="663">
        <f t="shared" si="35"/>
        <v>1</v>
      </c>
      <c r="CF84" s="663">
        <f t="shared" si="35"/>
        <v>1</v>
      </c>
      <c r="CG84" s="663">
        <f t="shared" si="35"/>
        <v>1</v>
      </c>
      <c r="CH84" s="663">
        <f t="shared" si="35"/>
        <v>1</v>
      </c>
      <c r="CI84" s="663">
        <f t="shared" si="35"/>
        <v>1</v>
      </c>
      <c r="CK84" s="1363"/>
    </row>
    <row r="85" spans="1:89" s="1362" customFormat="1" ht="28.2" thickBot="1" x14ac:dyDescent="0.3">
      <c r="A85" s="1353"/>
      <c r="B85" s="664" t="s">
        <v>498</v>
      </c>
      <c r="C85" s="665" t="s">
        <v>155</v>
      </c>
      <c r="D85" s="665" t="s">
        <v>499</v>
      </c>
      <c r="E85" s="665" t="s">
        <v>146</v>
      </c>
      <c r="F85" s="666">
        <v>2</v>
      </c>
      <c r="G85" s="667"/>
      <c r="H85" s="667"/>
      <c r="I85" s="667">
        <f t="shared" ref="I85:BS85" si="36">SUM(I45:I47)+I43+I54+I59+I60+I53</f>
        <v>283.43771864700085</v>
      </c>
      <c r="J85" s="667">
        <f t="shared" si="36"/>
        <v>278.92361535263348</v>
      </c>
      <c r="K85" s="667">
        <f t="shared" si="36"/>
        <v>279.54480200779875</v>
      </c>
      <c r="L85" s="667">
        <f t="shared" si="36"/>
        <v>278.93413189404333</v>
      </c>
      <c r="M85" s="667">
        <f t="shared" si="36"/>
        <v>279.21570306045902</v>
      </c>
      <c r="N85" s="667">
        <f t="shared" si="36"/>
        <v>279.64864307183785</v>
      </c>
      <c r="O85" s="667">
        <f t="shared" si="36"/>
        <v>279.80633600864383</v>
      </c>
      <c r="P85" s="667">
        <f t="shared" si="36"/>
        <v>279.96763831131614</v>
      </c>
      <c r="Q85" s="667">
        <f t="shared" si="36"/>
        <v>280.17749263091429</v>
      </c>
      <c r="R85" s="667">
        <f t="shared" si="36"/>
        <v>280.27042460955892</v>
      </c>
      <c r="S85" s="667">
        <f t="shared" si="36"/>
        <v>280.37095276521768</v>
      </c>
      <c r="T85" s="667">
        <f t="shared" si="36"/>
        <v>280.48723451998552</v>
      </c>
      <c r="U85" s="667">
        <f t="shared" si="36"/>
        <v>280.60957344789847</v>
      </c>
      <c r="V85" s="667">
        <f t="shared" si="36"/>
        <v>280.67331495065844</v>
      </c>
      <c r="W85" s="667">
        <f t="shared" si="36"/>
        <v>281.34956549548036</v>
      </c>
      <c r="X85" s="667">
        <f t="shared" si="36"/>
        <v>281.97444488962935</v>
      </c>
      <c r="Y85" s="667">
        <f t="shared" si="36"/>
        <v>282.7283475950328</v>
      </c>
      <c r="Z85" s="667">
        <f t="shared" si="36"/>
        <v>283.53009231976756</v>
      </c>
      <c r="AA85" s="667">
        <f t="shared" si="36"/>
        <v>284.33418605701229</v>
      </c>
      <c r="AB85" s="667">
        <f t="shared" si="36"/>
        <v>285.19416983063667</v>
      </c>
      <c r="AC85" s="667">
        <f t="shared" si="36"/>
        <v>286.03093070820518</v>
      </c>
      <c r="AD85" s="667">
        <f t="shared" si="36"/>
        <v>286.9105092970251</v>
      </c>
      <c r="AE85" s="667">
        <f t="shared" si="36"/>
        <v>287.78885887379801</v>
      </c>
      <c r="AF85" s="667">
        <f t="shared" si="36"/>
        <v>288.67821722596352</v>
      </c>
      <c r="AG85" s="667">
        <f t="shared" si="36"/>
        <v>289.4985091760185</v>
      </c>
      <c r="AH85" s="667">
        <f t="shared" si="36"/>
        <v>290.29638799380359</v>
      </c>
      <c r="AI85" s="667">
        <f t="shared" si="36"/>
        <v>291.13841239535418</v>
      </c>
      <c r="AJ85" s="667">
        <f t="shared" si="36"/>
        <v>291.99190833119428</v>
      </c>
      <c r="AK85" s="667">
        <f t="shared" si="36"/>
        <v>292.82435817915126</v>
      </c>
      <c r="AL85" s="667">
        <f t="shared" si="36"/>
        <v>293.69951383974143</v>
      </c>
      <c r="AM85" s="667">
        <f t="shared" si="36"/>
        <v>294.58754281510613</v>
      </c>
      <c r="AN85" s="667">
        <f t="shared" si="36"/>
        <v>295.44765175409242</v>
      </c>
      <c r="AO85" s="667">
        <f t="shared" si="36"/>
        <v>296.35207261153897</v>
      </c>
      <c r="AP85" s="667">
        <f t="shared" si="36"/>
        <v>297.26545191684693</v>
      </c>
      <c r="AQ85" s="667">
        <f t="shared" si="36"/>
        <v>298.1499384169914</v>
      </c>
      <c r="AR85" s="667">
        <f t="shared" si="36"/>
        <v>299.08048569364257</v>
      </c>
      <c r="AS85" s="667">
        <f t="shared" si="36"/>
        <v>299.98424954585539</v>
      </c>
      <c r="AT85" s="667">
        <f t="shared" si="36"/>
        <v>301.02897389084512</v>
      </c>
      <c r="AU85" s="667">
        <f t="shared" si="36"/>
        <v>302.07903984216028</v>
      </c>
      <c r="AV85" s="667">
        <f t="shared" si="36"/>
        <v>303.09417130766866</v>
      </c>
      <c r="AW85" s="667">
        <f t="shared" si="36"/>
        <v>304.1468002460856</v>
      </c>
      <c r="AX85" s="667">
        <f t="shared" si="36"/>
        <v>305.20466267584834</v>
      </c>
      <c r="AY85" s="667">
        <f t="shared" si="36"/>
        <v>306.22752931410616</v>
      </c>
      <c r="AZ85" s="667">
        <f t="shared" si="36"/>
        <v>307.2877952035567</v>
      </c>
      <c r="BA85" s="667">
        <f t="shared" si="36"/>
        <v>308.31578993332357</v>
      </c>
      <c r="BB85" s="667">
        <f t="shared" si="36"/>
        <v>309.38112947800869</v>
      </c>
      <c r="BC85" s="667">
        <f t="shared" si="36"/>
        <v>310.4462066645292</v>
      </c>
      <c r="BD85" s="667">
        <f t="shared" si="36"/>
        <v>311.48170369201102</v>
      </c>
      <c r="BE85" s="667">
        <f t="shared" si="36"/>
        <v>312.55447516990716</v>
      </c>
      <c r="BF85" s="667">
        <f t="shared" si="36"/>
        <v>313.62694407194647</v>
      </c>
      <c r="BG85" s="667">
        <f t="shared" si="36"/>
        <v>314.6697773021246</v>
      </c>
      <c r="BH85" s="667">
        <f t="shared" si="36"/>
        <v>315.74717298615906</v>
      </c>
      <c r="BI85" s="667">
        <f t="shared" si="36"/>
        <v>316.82695577227656</v>
      </c>
      <c r="BJ85" s="667">
        <f t="shared" si="36"/>
        <v>317.87705730289588</v>
      </c>
      <c r="BK85" s="667">
        <f t="shared" si="36"/>
        <v>318.96168689583016</v>
      </c>
      <c r="BL85" s="667">
        <f t="shared" si="36"/>
        <v>320.01397014137126</v>
      </c>
      <c r="BM85" s="667">
        <f t="shared" si="36"/>
        <v>321.10346674967229</v>
      </c>
      <c r="BN85" s="667">
        <f t="shared" si="36"/>
        <v>322.19529749009587</v>
      </c>
      <c r="BO85" s="667">
        <f t="shared" si="36"/>
        <v>323.2547620977021</v>
      </c>
      <c r="BP85" s="667">
        <f t="shared" si="36"/>
        <v>0</v>
      </c>
      <c r="BQ85" s="667">
        <f t="shared" si="36"/>
        <v>0</v>
      </c>
      <c r="BR85" s="667">
        <f t="shared" si="36"/>
        <v>0</v>
      </c>
      <c r="BS85" s="667">
        <f t="shared" si="36"/>
        <v>0</v>
      </c>
      <c r="BT85" s="667">
        <f t="shared" ref="BT85:CI85" si="37">SUM(BT45:BT47)+BT43+BT54+BT59+BT60+BT53</f>
        <v>0</v>
      </c>
      <c r="BU85" s="667">
        <f t="shared" si="37"/>
        <v>0</v>
      </c>
      <c r="BV85" s="667">
        <f t="shared" si="37"/>
        <v>0</v>
      </c>
      <c r="BW85" s="667">
        <f t="shared" si="37"/>
        <v>0</v>
      </c>
      <c r="BX85" s="667">
        <f t="shared" si="37"/>
        <v>0</v>
      </c>
      <c r="BY85" s="667">
        <f t="shared" si="37"/>
        <v>0</v>
      </c>
      <c r="BZ85" s="667">
        <f t="shared" si="37"/>
        <v>0</v>
      </c>
      <c r="CA85" s="667">
        <f t="shared" si="37"/>
        <v>0</v>
      </c>
      <c r="CB85" s="667">
        <f t="shared" si="37"/>
        <v>0</v>
      </c>
      <c r="CC85" s="667">
        <f t="shared" si="37"/>
        <v>0</v>
      </c>
      <c r="CD85" s="667">
        <f t="shared" si="37"/>
        <v>0</v>
      </c>
      <c r="CE85" s="667">
        <f t="shared" si="37"/>
        <v>0</v>
      </c>
      <c r="CF85" s="667">
        <f t="shared" si="37"/>
        <v>0</v>
      </c>
      <c r="CG85" s="667">
        <f t="shared" si="37"/>
        <v>0</v>
      </c>
      <c r="CH85" s="667">
        <f t="shared" si="37"/>
        <v>0</v>
      </c>
      <c r="CI85" s="667">
        <f t="shared" si="37"/>
        <v>0</v>
      </c>
      <c r="CK85" s="1363"/>
    </row>
    <row r="86" spans="1:89" s="1362" customFormat="1" x14ac:dyDescent="0.25">
      <c r="A86" s="1353"/>
      <c r="B86" s="668" t="s">
        <v>500</v>
      </c>
      <c r="C86" s="669" t="s">
        <v>501</v>
      </c>
      <c r="D86" s="565" t="s">
        <v>79</v>
      </c>
      <c r="E86" s="669" t="s">
        <v>146</v>
      </c>
      <c r="F86" s="670">
        <v>2</v>
      </c>
      <c r="G86" s="671"/>
      <c r="H86" s="671"/>
      <c r="I86" s="671">
        <v>1.798824177179168</v>
      </c>
      <c r="J86" s="671">
        <v>1.860548727580466</v>
      </c>
      <c r="K86" s="671">
        <v>1.9279681540864271</v>
      </c>
      <c r="L86" s="671">
        <v>1.9879730573775269</v>
      </c>
      <c r="M86" s="671">
        <v>2.0478226064021681</v>
      </c>
      <c r="N86" s="671">
        <v>2.1056098070117919</v>
      </c>
      <c r="O86" s="671">
        <v>2.16119782146618</v>
      </c>
      <c r="P86" s="671">
        <v>2.2211990374804609</v>
      </c>
      <c r="Q86" s="671">
        <v>1.72131574685644</v>
      </c>
      <c r="R86" s="671">
        <v>1.779560517564444</v>
      </c>
      <c r="S86" s="671">
        <v>1.806544677213278</v>
      </c>
      <c r="T86" s="671">
        <v>1.8434381513605811</v>
      </c>
      <c r="U86" s="671">
        <v>1.9115423428488361</v>
      </c>
      <c r="V86" s="671">
        <v>1.4801262672405331</v>
      </c>
      <c r="W86" s="671">
        <v>1.5283783496798311</v>
      </c>
      <c r="X86" s="671">
        <v>1.538073834127031</v>
      </c>
      <c r="Y86" s="671">
        <v>1.5920792627533671</v>
      </c>
      <c r="Z86" s="671">
        <v>1.6219296703577899</v>
      </c>
      <c r="AA86" s="671">
        <v>1.22529143262443</v>
      </c>
      <c r="AB86" s="671">
        <v>1.2205054678718541</v>
      </c>
      <c r="AC86" s="671">
        <v>1.298419874342525</v>
      </c>
      <c r="AD86" s="671">
        <v>1.301213498197511</v>
      </c>
      <c r="AE86" s="671">
        <v>1.3282980868112859</v>
      </c>
      <c r="AF86" s="671">
        <v>0.91235696456694104</v>
      </c>
      <c r="AG86" s="671">
        <v>0.90873305663291504</v>
      </c>
      <c r="AH86" s="671">
        <v>0.96326874720045097</v>
      </c>
      <c r="AI86" s="671">
        <v>0.99286783520589506</v>
      </c>
      <c r="AJ86" s="671">
        <v>0.97693370634105403</v>
      </c>
      <c r="AK86" s="671">
        <v>0.55780290759689</v>
      </c>
      <c r="AL86" s="671">
        <v>0.60038096364850602</v>
      </c>
      <c r="AM86" s="671">
        <v>0.60405994666961804</v>
      </c>
      <c r="AN86" s="671">
        <v>0.60432205506816905</v>
      </c>
      <c r="AO86" s="671">
        <v>0.62129394010540695</v>
      </c>
      <c r="AP86" s="671">
        <v>0.60311024773275701</v>
      </c>
      <c r="AQ86" s="671">
        <v>0.66532561574196702</v>
      </c>
      <c r="AR86" s="671">
        <v>0.62898839905326998</v>
      </c>
      <c r="AS86" s="671">
        <v>0.65045412694321203</v>
      </c>
      <c r="AT86" s="671">
        <v>0.67159763174035803</v>
      </c>
      <c r="AU86" s="671">
        <v>0.68545202267433403</v>
      </c>
      <c r="AV86" s="671">
        <v>0.63092414962971699</v>
      </c>
      <c r="AW86" s="671">
        <v>0.68509960373676204</v>
      </c>
      <c r="AX86" s="671">
        <v>0.70652229061586802</v>
      </c>
      <c r="AY86" s="671">
        <v>0.70035923605574002</v>
      </c>
      <c r="AZ86" s="671">
        <v>0.72576235996956395</v>
      </c>
      <c r="BA86" s="671">
        <v>0.70748688085693201</v>
      </c>
      <c r="BB86" s="671">
        <v>0.73883053731918802</v>
      </c>
      <c r="BC86" s="671">
        <v>0.76345711301779196</v>
      </c>
      <c r="BD86" s="671">
        <v>0.72351620011695705</v>
      </c>
      <c r="BE86" s="671">
        <v>0.77143444097847902</v>
      </c>
      <c r="BF86" s="671">
        <v>0.79968109856575798</v>
      </c>
      <c r="BG86" s="671">
        <v>0.78646533246126304</v>
      </c>
      <c r="BH86" s="671">
        <v>0.813440178020153</v>
      </c>
      <c r="BI86" s="671">
        <v>0.79571313467723404</v>
      </c>
      <c r="BJ86" s="671">
        <v>0.85175222358486202</v>
      </c>
      <c r="BK86" s="671">
        <v>0.77834596180773596</v>
      </c>
      <c r="BL86" s="671">
        <v>0.84894671239053798</v>
      </c>
      <c r="BM86" s="671">
        <v>0.838800110706727</v>
      </c>
      <c r="BN86" s="671">
        <v>0.88380291439678604</v>
      </c>
      <c r="BO86" s="671">
        <v>0.87197588601259601</v>
      </c>
      <c r="BP86" s="672"/>
      <c r="BQ86" s="672"/>
      <c r="BR86" s="672"/>
      <c r="BS86" s="672"/>
      <c r="BT86" s="672"/>
      <c r="BU86" s="672"/>
      <c r="BV86" s="672"/>
      <c r="BW86" s="672"/>
      <c r="BX86" s="672"/>
      <c r="BY86" s="672"/>
      <c r="BZ86" s="672"/>
      <c r="CA86" s="672"/>
      <c r="CB86" s="672"/>
      <c r="CC86" s="672"/>
      <c r="CD86" s="672"/>
      <c r="CE86" s="672"/>
      <c r="CF86" s="672"/>
      <c r="CG86" s="672"/>
      <c r="CH86" s="672"/>
      <c r="CI86" s="673"/>
    </row>
    <row r="87" spans="1:89" s="1362" customFormat="1" x14ac:dyDescent="0.25">
      <c r="A87" s="1353"/>
      <c r="B87" s="674" t="s">
        <v>502</v>
      </c>
      <c r="C87" s="675" t="s">
        <v>503</v>
      </c>
      <c r="D87" s="573" t="s">
        <v>79</v>
      </c>
      <c r="E87" s="675" t="s">
        <v>146</v>
      </c>
      <c r="F87" s="676">
        <v>2</v>
      </c>
      <c r="G87" s="677"/>
      <c r="H87" s="677"/>
      <c r="I87" s="677">
        <v>11.80115554171562</v>
      </c>
      <c r="J87" s="677">
        <v>11.84047966426867</v>
      </c>
      <c r="K87" s="677">
        <v>11.923799228770187</v>
      </c>
      <c r="L87" s="677">
        <v>12.056651411519256</v>
      </c>
      <c r="M87" s="677">
        <v>12.014673664508226</v>
      </c>
      <c r="N87" s="677">
        <v>12.279865756730906</v>
      </c>
      <c r="O87" s="677">
        <v>12.422945350277612</v>
      </c>
      <c r="P87" s="677">
        <v>12.592452491283694</v>
      </c>
      <c r="Q87" s="677">
        <v>10.665120494953054</v>
      </c>
      <c r="R87" s="677">
        <v>10.866287514874266</v>
      </c>
      <c r="S87" s="677">
        <v>10.98743483636426</v>
      </c>
      <c r="T87" s="677">
        <v>11.112490095282888</v>
      </c>
      <c r="U87" s="677">
        <v>11.351363382808158</v>
      </c>
      <c r="V87" s="677">
        <v>10.070139705554062</v>
      </c>
      <c r="W87" s="677">
        <v>10.194233787536859</v>
      </c>
      <c r="X87" s="677">
        <v>10.387396859755777</v>
      </c>
      <c r="Y87" s="677">
        <v>10.512984187203163</v>
      </c>
      <c r="Z87" s="677">
        <v>10.543577186493486</v>
      </c>
      <c r="AA87" s="677">
        <v>9.6310493593253454</v>
      </c>
      <c r="AB87" s="677">
        <v>9.7170901283974871</v>
      </c>
      <c r="AC87" s="677">
        <v>9.8247517951450654</v>
      </c>
      <c r="AD87" s="677">
        <v>9.911292811720033</v>
      </c>
      <c r="AE87" s="677">
        <v>10.001828650262972</v>
      </c>
      <c r="AF87" s="677">
        <v>9.1366578558921105</v>
      </c>
      <c r="AG87" s="677">
        <v>9.2752071330570338</v>
      </c>
      <c r="AH87" s="677">
        <v>9.4360543425531205</v>
      </c>
      <c r="AI87" s="677">
        <v>9.6053615323666151</v>
      </c>
      <c r="AJ87" s="677">
        <v>9.6080134916653268</v>
      </c>
      <c r="AK87" s="677">
        <v>8.855001722608506</v>
      </c>
      <c r="AL87" s="677">
        <v>8.9373140428447666</v>
      </c>
      <c r="AM87" s="677">
        <v>9.1136522013362651</v>
      </c>
      <c r="AN87" s="677">
        <v>9.0886471938213571</v>
      </c>
      <c r="AO87" s="677">
        <v>9.1937392644963687</v>
      </c>
      <c r="AP87" s="677">
        <v>9.4199254138585893</v>
      </c>
      <c r="AQ87" s="677">
        <v>9.4561662645121025</v>
      </c>
      <c r="AR87" s="677">
        <v>9.6843369518993772</v>
      </c>
      <c r="AS87" s="677">
        <v>9.9138966016749386</v>
      </c>
      <c r="AT87" s="677">
        <v>10.048686323074714</v>
      </c>
      <c r="AU87" s="677">
        <v>10.186290673136318</v>
      </c>
      <c r="AV87" s="677">
        <v>10.328029750233384</v>
      </c>
      <c r="AW87" s="677">
        <v>10.451435300095095</v>
      </c>
      <c r="AX87" s="677">
        <v>10.665140855177864</v>
      </c>
      <c r="AY87" s="677">
        <v>10.658098382858871</v>
      </c>
      <c r="AZ87" s="677">
        <v>10.914320053187737</v>
      </c>
      <c r="BA87" s="677">
        <v>11.045758565448425</v>
      </c>
      <c r="BB87" s="677">
        <v>11.260517788951754</v>
      </c>
      <c r="BC87" s="677">
        <v>11.488834506576186</v>
      </c>
      <c r="BD87" s="677">
        <v>11.530331986512948</v>
      </c>
      <c r="BE87" s="677">
        <v>11.837242649333854</v>
      </c>
      <c r="BF87" s="677">
        <v>12.017491733426045</v>
      </c>
      <c r="BG87" s="677">
        <v>12.030189279724391</v>
      </c>
      <c r="BH87" s="677">
        <v>12.391465976182126</v>
      </c>
      <c r="BI87" s="677">
        <v>12.61696716627999</v>
      </c>
      <c r="BJ87" s="677">
        <v>12.767937352018466</v>
      </c>
      <c r="BK87" s="677">
        <v>13.082339950901053</v>
      </c>
      <c r="BL87" s="677">
        <v>13.272039928196648</v>
      </c>
      <c r="BM87" s="677">
        <v>13.386376535784015</v>
      </c>
      <c r="BN87" s="677">
        <v>13.65137296283709</v>
      </c>
      <c r="BO87" s="677">
        <v>13.861873774138614</v>
      </c>
      <c r="BP87" s="678"/>
      <c r="BQ87" s="678"/>
      <c r="BR87" s="678"/>
      <c r="BS87" s="678"/>
      <c r="BT87" s="678"/>
      <c r="BU87" s="678"/>
      <c r="BV87" s="678"/>
      <c r="BW87" s="678"/>
      <c r="BX87" s="678"/>
      <c r="BY87" s="678"/>
      <c r="BZ87" s="678"/>
      <c r="CA87" s="678"/>
      <c r="CB87" s="678"/>
      <c r="CC87" s="678"/>
      <c r="CD87" s="678"/>
      <c r="CE87" s="678"/>
      <c r="CF87" s="678"/>
      <c r="CG87" s="678"/>
      <c r="CH87" s="678"/>
      <c r="CI87" s="679"/>
    </row>
    <row r="88" spans="1:89" s="1362" customFormat="1" x14ac:dyDescent="0.25">
      <c r="A88" s="1353"/>
      <c r="B88" s="674" t="s">
        <v>504</v>
      </c>
      <c r="C88" s="675" t="s">
        <v>294</v>
      </c>
      <c r="D88" s="573" t="s">
        <v>505</v>
      </c>
      <c r="E88" s="675" t="s">
        <v>146</v>
      </c>
      <c r="F88" s="676">
        <v>2</v>
      </c>
      <c r="G88" s="680"/>
      <c r="H88" s="680"/>
      <c r="I88" s="680">
        <f t="shared" ref="I88:BS88" si="38">I86+I87</f>
        <v>13.599979718894787</v>
      </c>
      <c r="J88" s="680">
        <f t="shared" si="38"/>
        <v>13.701028391849137</v>
      </c>
      <c r="K88" s="680">
        <f t="shared" si="38"/>
        <v>13.851767382856615</v>
      </c>
      <c r="L88" s="680">
        <f t="shared" si="38"/>
        <v>14.044624468896783</v>
      </c>
      <c r="M88" s="681">
        <f t="shared" si="38"/>
        <v>14.062496270910394</v>
      </c>
      <c r="N88" s="681">
        <f t="shared" si="38"/>
        <v>14.385475563742698</v>
      </c>
      <c r="O88" s="681">
        <f t="shared" si="38"/>
        <v>14.584143171743792</v>
      </c>
      <c r="P88" s="681">
        <f t="shared" si="38"/>
        <v>14.813651528764154</v>
      </c>
      <c r="Q88" s="681">
        <f t="shared" si="38"/>
        <v>12.386436241809495</v>
      </c>
      <c r="R88" s="681">
        <f t="shared" si="38"/>
        <v>12.64584803243871</v>
      </c>
      <c r="S88" s="681">
        <f t="shared" si="38"/>
        <v>12.793979513577538</v>
      </c>
      <c r="T88" s="681">
        <f t="shared" si="38"/>
        <v>12.95592824664347</v>
      </c>
      <c r="U88" s="681">
        <f t="shared" si="38"/>
        <v>13.262905725656994</v>
      </c>
      <c r="V88" s="681">
        <f t="shared" si="38"/>
        <v>11.550265972794595</v>
      </c>
      <c r="W88" s="681">
        <f t="shared" si="38"/>
        <v>11.722612137216691</v>
      </c>
      <c r="X88" s="681">
        <f t="shared" si="38"/>
        <v>11.925470693882808</v>
      </c>
      <c r="Y88" s="681">
        <f t="shared" si="38"/>
        <v>12.10506344995653</v>
      </c>
      <c r="Z88" s="681">
        <f t="shared" si="38"/>
        <v>12.165506856851277</v>
      </c>
      <c r="AA88" s="681">
        <f t="shared" si="38"/>
        <v>10.856340791949776</v>
      </c>
      <c r="AB88" s="681">
        <f t="shared" si="38"/>
        <v>10.937595596269341</v>
      </c>
      <c r="AC88" s="681">
        <f t="shared" si="38"/>
        <v>11.12317166948759</v>
      </c>
      <c r="AD88" s="681">
        <f t="shared" si="38"/>
        <v>11.212506309917543</v>
      </c>
      <c r="AE88" s="681">
        <f t="shared" si="38"/>
        <v>11.330126737074258</v>
      </c>
      <c r="AF88" s="681">
        <f t="shared" si="38"/>
        <v>10.049014820459051</v>
      </c>
      <c r="AG88" s="681">
        <f t="shared" si="38"/>
        <v>10.183940189689949</v>
      </c>
      <c r="AH88" s="681">
        <f t="shared" si="38"/>
        <v>10.399323089753571</v>
      </c>
      <c r="AI88" s="681">
        <f t="shared" si="38"/>
        <v>10.598229367572511</v>
      </c>
      <c r="AJ88" s="681">
        <f t="shared" si="38"/>
        <v>10.584947198006381</v>
      </c>
      <c r="AK88" s="681">
        <f t="shared" si="38"/>
        <v>9.4128046302053967</v>
      </c>
      <c r="AL88" s="681">
        <f t="shared" si="38"/>
        <v>9.5376950064932728</v>
      </c>
      <c r="AM88" s="681">
        <f t="shared" si="38"/>
        <v>9.7177121480058837</v>
      </c>
      <c r="AN88" s="681">
        <f t="shared" si="38"/>
        <v>9.6929692488895256</v>
      </c>
      <c r="AO88" s="681">
        <f t="shared" si="38"/>
        <v>9.8150332046017752</v>
      </c>
      <c r="AP88" s="681">
        <f t="shared" si="38"/>
        <v>10.023035661591347</v>
      </c>
      <c r="AQ88" s="681">
        <f t="shared" si="38"/>
        <v>10.121491880254069</v>
      </c>
      <c r="AR88" s="681">
        <f t="shared" si="38"/>
        <v>10.313325350952647</v>
      </c>
      <c r="AS88" s="681">
        <f t="shared" si="38"/>
        <v>10.56435072861815</v>
      </c>
      <c r="AT88" s="681">
        <f t="shared" si="38"/>
        <v>10.720283954815072</v>
      </c>
      <c r="AU88" s="681">
        <f t="shared" si="38"/>
        <v>10.871742695810651</v>
      </c>
      <c r="AV88" s="681">
        <f t="shared" si="38"/>
        <v>10.958953899863101</v>
      </c>
      <c r="AW88" s="681">
        <f t="shared" si="38"/>
        <v>11.136534903831858</v>
      </c>
      <c r="AX88" s="681">
        <f t="shared" si="38"/>
        <v>11.371663145793732</v>
      </c>
      <c r="AY88" s="681">
        <f t="shared" si="38"/>
        <v>11.35845761891461</v>
      </c>
      <c r="AZ88" s="681">
        <f t="shared" si="38"/>
        <v>11.640082413157302</v>
      </c>
      <c r="BA88" s="681">
        <f t="shared" si="38"/>
        <v>11.753245446305357</v>
      </c>
      <c r="BB88" s="681">
        <f t="shared" si="38"/>
        <v>11.999348326270942</v>
      </c>
      <c r="BC88" s="681">
        <f>BC86+BC87</f>
        <v>12.252291619593978</v>
      </c>
      <c r="BD88" s="681">
        <f t="shared" si="38"/>
        <v>12.253848186629906</v>
      </c>
      <c r="BE88" s="681">
        <f t="shared" si="38"/>
        <v>12.608677090312334</v>
      </c>
      <c r="BF88" s="681">
        <f t="shared" si="38"/>
        <v>12.817172831991803</v>
      </c>
      <c r="BG88" s="681">
        <f t="shared" si="38"/>
        <v>12.816654612185655</v>
      </c>
      <c r="BH88" s="681">
        <f t="shared" si="38"/>
        <v>13.204906154202279</v>
      </c>
      <c r="BI88" s="681">
        <f t="shared" si="38"/>
        <v>13.412680300957224</v>
      </c>
      <c r="BJ88" s="681">
        <f t="shared" si="38"/>
        <v>13.619689575603328</v>
      </c>
      <c r="BK88" s="681">
        <f t="shared" si="38"/>
        <v>13.860685912708789</v>
      </c>
      <c r="BL88" s="681">
        <f t="shared" si="38"/>
        <v>14.120986640587185</v>
      </c>
      <c r="BM88" s="681">
        <f t="shared" si="38"/>
        <v>14.225176646490741</v>
      </c>
      <c r="BN88" s="681">
        <f t="shared" si="38"/>
        <v>14.535175877233875</v>
      </c>
      <c r="BO88" s="681">
        <f t="shared" si="38"/>
        <v>14.733849660151209</v>
      </c>
      <c r="BP88" s="681">
        <f t="shared" si="38"/>
        <v>0</v>
      </c>
      <c r="BQ88" s="681">
        <f t="shared" si="38"/>
        <v>0</v>
      </c>
      <c r="BR88" s="681">
        <f t="shared" si="38"/>
        <v>0</v>
      </c>
      <c r="BS88" s="681">
        <f t="shared" si="38"/>
        <v>0</v>
      </c>
      <c r="BT88" s="681">
        <f t="shared" ref="BT88:CI88" si="39">BT86+BT87</f>
        <v>0</v>
      </c>
      <c r="BU88" s="681">
        <f t="shared" si="39"/>
        <v>0</v>
      </c>
      <c r="BV88" s="681">
        <f t="shared" si="39"/>
        <v>0</v>
      </c>
      <c r="BW88" s="681">
        <f t="shared" si="39"/>
        <v>0</v>
      </c>
      <c r="BX88" s="681">
        <f t="shared" si="39"/>
        <v>0</v>
      </c>
      <c r="BY88" s="681">
        <f t="shared" si="39"/>
        <v>0</v>
      </c>
      <c r="BZ88" s="681">
        <f t="shared" si="39"/>
        <v>0</v>
      </c>
      <c r="CA88" s="681">
        <f t="shared" si="39"/>
        <v>0</v>
      </c>
      <c r="CB88" s="681">
        <f t="shared" si="39"/>
        <v>0</v>
      </c>
      <c r="CC88" s="681">
        <f t="shared" si="39"/>
        <v>0</v>
      </c>
      <c r="CD88" s="681">
        <f t="shared" si="39"/>
        <v>0</v>
      </c>
      <c r="CE88" s="681">
        <f t="shared" si="39"/>
        <v>0</v>
      </c>
      <c r="CF88" s="681">
        <f t="shared" si="39"/>
        <v>0</v>
      </c>
      <c r="CG88" s="681">
        <f t="shared" si="39"/>
        <v>0</v>
      </c>
      <c r="CH88" s="681">
        <f t="shared" si="39"/>
        <v>0</v>
      </c>
      <c r="CI88" s="682">
        <f t="shared" si="39"/>
        <v>0</v>
      </c>
    </row>
    <row r="89" spans="1:89" s="1362" customFormat="1" x14ac:dyDescent="0.25">
      <c r="A89" s="1353"/>
      <c r="B89" s="1102" t="s">
        <v>506</v>
      </c>
      <c r="C89" s="1103" t="s">
        <v>507</v>
      </c>
      <c r="D89" s="1104" t="s">
        <v>508</v>
      </c>
      <c r="E89" s="1103" t="s">
        <v>146</v>
      </c>
      <c r="F89" s="1105">
        <v>2</v>
      </c>
      <c r="G89" s="683"/>
      <c r="H89" s="683"/>
      <c r="I89" s="683">
        <f t="shared" ref="I89:BS89" si="40">I42-I85</f>
        <v>29.478531352999141</v>
      </c>
      <c r="J89" s="683">
        <f t="shared" si="40"/>
        <v>29.126384647366535</v>
      </c>
      <c r="K89" s="683">
        <f t="shared" si="40"/>
        <v>28.098947992201261</v>
      </c>
      <c r="L89" s="683">
        <f t="shared" si="40"/>
        <v>28.303368105956679</v>
      </c>
      <c r="M89" s="684">
        <f t="shared" si="40"/>
        <v>33.585546939541018</v>
      </c>
      <c r="N89" s="684">
        <f t="shared" si="40"/>
        <v>32.746356928162186</v>
      </c>
      <c r="O89" s="684">
        <f t="shared" si="40"/>
        <v>32.182413991356214</v>
      </c>
      <c r="P89" s="684">
        <f t="shared" si="40"/>
        <v>31.614861688683902</v>
      </c>
      <c r="Q89" s="684">
        <f t="shared" si="40"/>
        <v>30.998757369085752</v>
      </c>
      <c r="R89" s="684">
        <f t="shared" si="40"/>
        <v>28.879575390441119</v>
      </c>
      <c r="S89" s="684">
        <f t="shared" si="40"/>
        <v>28.372797234782354</v>
      </c>
      <c r="T89" s="684">
        <f t="shared" si="40"/>
        <v>27.850265480014514</v>
      </c>
      <c r="U89" s="684">
        <f t="shared" si="40"/>
        <v>27.321676552101565</v>
      </c>
      <c r="V89" s="684">
        <f t="shared" si="40"/>
        <v>26.851685049341597</v>
      </c>
      <c r="W89" s="684">
        <f t="shared" si="40"/>
        <v>21.769184504519671</v>
      </c>
      <c r="X89" s="684">
        <f t="shared" si="40"/>
        <v>20.738055110370681</v>
      </c>
      <c r="Y89" s="684">
        <f t="shared" si="40"/>
        <v>19.577902404967233</v>
      </c>
      <c r="Z89" s="684">
        <f t="shared" si="40"/>
        <v>18.369907680232473</v>
      </c>
      <c r="AA89" s="684">
        <f t="shared" si="40"/>
        <v>17.159563942987745</v>
      </c>
      <c r="AB89" s="684">
        <f t="shared" si="40"/>
        <v>15.943330169363378</v>
      </c>
      <c r="AC89" s="684">
        <f t="shared" si="40"/>
        <v>14.70031929179487</v>
      </c>
      <c r="AD89" s="684">
        <f t="shared" si="40"/>
        <v>13.414490702974945</v>
      </c>
      <c r="AE89" s="684">
        <f t="shared" si="40"/>
        <v>12.12989112620204</v>
      </c>
      <c r="AF89" s="684">
        <f t="shared" si="40"/>
        <v>10.834282774036524</v>
      </c>
      <c r="AG89" s="684">
        <f t="shared" si="40"/>
        <v>9.6077408239815441</v>
      </c>
      <c r="AH89" s="684">
        <f t="shared" si="40"/>
        <v>8.4036120061964539</v>
      </c>
      <c r="AI89" s="684">
        <f t="shared" si="40"/>
        <v>7.1553376046458652</v>
      </c>
      <c r="AJ89" s="684">
        <f t="shared" si="40"/>
        <v>5.8955916688057641</v>
      </c>
      <c r="AK89" s="684">
        <f t="shared" si="40"/>
        <v>4.6568918208487844</v>
      </c>
      <c r="AL89" s="684">
        <f t="shared" si="40"/>
        <v>3.3754861602586175</v>
      </c>
      <c r="AM89" s="684">
        <f t="shared" si="40"/>
        <v>2.0812071848939127</v>
      </c>
      <c r="AN89" s="684">
        <f t="shared" si="40"/>
        <v>0.81484824590762628</v>
      </c>
      <c r="AO89" s="684">
        <f t="shared" si="40"/>
        <v>-0.49582261153892659</v>
      </c>
      <c r="AP89" s="684">
        <f t="shared" si="40"/>
        <v>-1.8154519168468823</v>
      </c>
      <c r="AQ89" s="684">
        <f t="shared" si="40"/>
        <v>-3.1061884169913583</v>
      </c>
      <c r="AR89" s="684">
        <f t="shared" si="40"/>
        <v>-4.4429856936425267</v>
      </c>
      <c r="AS89" s="684">
        <f t="shared" si="40"/>
        <v>-5.7529995458553458</v>
      </c>
      <c r="AT89" s="684">
        <f t="shared" si="40"/>
        <v>-7.2039738908450772</v>
      </c>
      <c r="AU89" s="684">
        <f t="shared" si="40"/>
        <v>-8.660289842160239</v>
      </c>
      <c r="AV89" s="684">
        <f t="shared" si="40"/>
        <v>-10.081671307668614</v>
      </c>
      <c r="AW89" s="684">
        <f t="shared" si="40"/>
        <v>-11.540550246085559</v>
      </c>
      <c r="AX89" s="684">
        <f t="shared" si="40"/>
        <v>-13.004662675848294</v>
      </c>
      <c r="AY89" s="684">
        <f t="shared" si="40"/>
        <v>-14.433779314106118</v>
      </c>
      <c r="AZ89" s="684">
        <f t="shared" si="40"/>
        <v>-15.900295203556652</v>
      </c>
      <c r="BA89" s="684">
        <f t="shared" si="40"/>
        <v>-17.334539933323526</v>
      </c>
      <c r="BB89" s="684">
        <f t="shared" si="40"/>
        <v>-18.806129478008643</v>
      </c>
      <c r="BC89" s="684">
        <f t="shared" si="40"/>
        <v>-20.277456664529154</v>
      </c>
      <c r="BD89" s="684">
        <f t="shared" si="40"/>
        <v>-21.719203692010979</v>
      </c>
      <c r="BE89" s="684">
        <f t="shared" si="40"/>
        <v>-23.198225169907118</v>
      </c>
      <c r="BF89" s="684">
        <f t="shared" si="40"/>
        <v>-24.676944071946423</v>
      </c>
      <c r="BG89" s="684">
        <f t="shared" si="40"/>
        <v>-26.126027302124555</v>
      </c>
      <c r="BH89" s="684">
        <f t="shared" si="40"/>
        <v>-27.609672986159012</v>
      </c>
      <c r="BI89" s="684">
        <f t="shared" si="40"/>
        <v>-29.095705772276517</v>
      </c>
      <c r="BJ89" s="684">
        <f t="shared" si="40"/>
        <v>-30.552057302895832</v>
      </c>
      <c r="BK89" s="684">
        <f t="shared" si="40"/>
        <v>-32.04293689583011</v>
      </c>
      <c r="BL89" s="684">
        <f t="shared" si="40"/>
        <v>-33.501470141371215</v>
      </c>
      <c r="BM89" s="684">
        <f t="shared" si="40"/>
        <v>-34.997216749672248</v>
      </c>
      <c r="BN89" s="684">
        <f t="shared" si="40"/>
        <v>-36.495297490095822</v>
      </c>
      <c r="BO89" s="684">
        <f t="shared" si="40"/>
        <v>-37.961012097702053</v>
      </c>
      <c r="BP89" s="684">
        <f t="shared" si="40"/>
        <v>0</v>
      </c>
      <c r="BQ89" s="684">
        <f t="shared" si="40"/>
        <v>0</v>
      </c>
      <c r="BR89" s="684">
        <f t="shared" si="40"/>
        <v>0</v>
      </c>
      <c r="BS89" s="684">
        <f t="shared" si="40"/>
        <v>0</v>
      </c>
      <c r="BT89" s="684">
        <f t="shared" ref="BT89:CI89" si="41">BT42-BT85</f>
        <v>0</v>
      </c>
      <c r="BU89" s="684">
        <f t="shared" si="41"/>
        <v>0</v>
      </c>
      <c r="BV89" s="684">
        <f t="shared" si="41"/>
        <v>0</v>
      </c>
      <c r="BW89" s="684">
        <f t="shared" si="41"/>
        <v>0</v>
      </c>
      <c r="BX89" s="684">
        <f t="shared" si="41"/>
        <v>0</v>
      </c>
      <c r="BY89" s="684">
        <f t="shared" si="41"/>
        <v>0</v>
      </c>
      <c r="BZ89" s="684">
        <f t="shared" si="41"/>
        <v>0</v>
      </c>
      <c r="CA89" s="684">
        <f t="shared" si="41"/>
        <v>0</v>
      </c>
      <c r="CB89" s="684">
        <f t="shared" si="41"/>
        <v>0</v>
      </c>
      <c r="CC89" s="684">
        <f t="shared" si="41"/>
        <v>0</v>
      </c>
      <c r="CD89" s="684">
        <f t="shared" si="41"/>
        <v>0</v>
      </c>
      <c r="CE89" s="684">
        <f t="shared" si="41"/>
        <v>0</v>
      </c>
      <c r="CF89" s="684">
        <f t="shared" si="41"/>
        <v>0</v>
      </c>
      <c r="CG89" s="684">
        <f t="shared" si="41"/>
        <v>0</v>
      </c>
      <c r="CH89" s="684">
        <f t="shared" si="41"/>
        <v>0</v>
      </c>
      <c r="CI89" s="685">
        <f t="shared" si="41"/>
        <v>0</v>
      </c>
    </row>
    <row r="90" spans="1:89" s="1362" customFormat="1" ht="14.4" thickBot="1" x14ac:dyDescent="0.3">
      <c r="A90" s="1353"/>
      <c r="B90" s="1102" t="s">
        <v>509</v>
      </c>
      <c r="C90" s="1103" t="s">
        <v>510</v>
      </c>
      <c r="D90" s="1104" t="s">
        <v>511</v>
      </c>
      <c r="E90" s="1103" t="s">
        <v>146</v>
      </c>
      <c r="F90" s="1105">
        <v>2</v>
      </c>
      <c r="G90" s="1101"/>
      <c r="H90" s="1101"/>
      <c r="I90" s="1101">
        <f t="shared" ref="I90:BO90" si="42">I25-I44</f>
        <v>0</v>
      </c>
      <c r="J90" s="1101">
        <f t="shared" si="42"/>
        <v>0</v>
      </c>
      <c r="K90" s="1101">
        <f t="shared" si="42"/>
        <v>0</v>
      </c>
      <c r="L90" s="1101">
        <f t="shared" si="42"/>
        <v>0</v>
      </c>
      <c r="M90" s="1101">
        <f t="shared" si="42"/>
        <v>0</v>
      </c>
      <c r="N90" s="1101">
        <f t="shared" si="42"/>
        <v>0</v>
      </c>
      <c r="O90" s="1101">
        <f t="shared" si="42"/>
        <v>0</v>
      </c>
      <c r="P90" s="1101">
        <f t="shared" si="42"/>
        <v>0</v>
      </c>
      <c r="Q90" s="1101">
        <f t="shared" si="42"/>
        <v>0</v>
      </c>
      <c r="R90" s="1101">
        <f t="shared" si="42"/>
        <v>0</v>
      </c>
      <c r="S90" s="1101">
        <f t="shared" si="42"/>
        <v>0</v>
      </c>
      <c r="T90" s="1101">
        <f t="shared" si="42"/>
        <v>0</v>
      </c>
      <c r="U90" s="1101">
        <f t="shared" si="42"/>
        <v>0</v>
      </c>
      <c r="V90" s="1101">
        <f t="shared" si="42"/>
        <v>0</v>
      </c>
      <c r="W90" s="1101">
        <f t="shared" si="42"/>
        <v>0</v>
      </c>
      <c r="X90" s="1101">
        <f t="shared" si="42"/>
        <v>0</v>
      </c>
      <c r="Y90" s="1101">
        <f t="shared" si="42"/>
        <v>0</v>
      </c>
      <c r="Z90" s="1101">
        <f t="shared" si="42"/>
        <v>0</v>
      </c>
      <c r="AA90" s="1101">
        <f t="shared" si="42"/>
        <v>0</v>
      </c>
      <c r="AB90" s="1101">
        <f t="shared" si="42"/>
        <v>0</v>
      </c>
      <c r="AC90" s="1101">
        <f t="shared" si="42"/>
        <v>0</v>
      </c>
      <c r="AD90" s="1101">
        <f t="shared" si="42"/>
        <v>0</v>
      </c>
      <c r="AE90" s="1101">
        <f t="shared" si="42"/>
        <v>0</v>
      </c>
      <c r="AF90" s="1101">
        <f t="shared" si="42"/>
        <v>0</v>
      </c>
      <c r="AG90" s="1101">
        <f t="shared" si="42"/>
        <v>0</v>
      </c>
      <c r="AH90" s="1101">
        <f t="shared" si="42"/>
        <v>0</v>
      </c>
      <c r="AI90" s="1101">
        <f t="shared" si="42"/>
        <v>0</v>
      </c>
      <c r="AJ90" s="1101">
        <f t="shared" si="42"/>
        <v>0</v>
      </c>
      <c r="AK90" s="1101">
        <f t="shared" si="42"/>
        <v>0</v>
      </c>
      <c r="AL90" s="1101">
        <f t="shared" si="42"/>
        <v>0</v>
      </c>
      <c r="AM90" s="1101">
        <f t="shared" si="42"/>
        <v>0</v>
      </c>
      <c r="AN90" s="1101">
        <f t="shared" si="42"/>
        <v>0</v>
      </c>
      <c r="AO90" s="1101">
        <f t="shared" si="42"/>
        <v>0</v>
      </c>
      <c r="AP90" s="1101">
        <f t="shared" si="42"/>
        <v>0</v>
      </c>
      <c r="AQ90" s="1101">
        <f t="shared" si="42"/>
        <v>0</v>
      </c>
      <c r="AR90" s="1101">
        <f t="shared" si="42"/>
        <v>0</v>
      </c>
      <c r="AS90" s="1101">
        <f t="shared" si="42"/>
        <v>0</v>
      </c>
      <c r="AT90" s="1101">
        <f t="shared" si="42"/>
        <v>0</v>
      </c>
      <c r="AU90" s="1101">
        <f t="shared" si="42"/>
        <v>0</v>
      </c>
      <c r="AV90" s="1101">
        <f t="shared" si="42"/>
        <v>0</v>
      </c>
      <c r="AW90" s="1101">
        <f t="shared" si="42"/>
        <v>0</v>
      </c>
      <c r="AX90" s="1101">
        <f t="shared" si="42"/>
        <v>0</v>
      </c>
      <c r="AY90" s="1101">
        <f t="shared" si="42"/>
        <v>0</v>
      </c>
      <c r="AZ90" s="1101">
        <f t="shared" si="42"/>
        <v>0</v>
      </c>
      <c r="BA90" s="1101">
        <f t="shared" si="42"/>
        <v>0</v>
      </c>
      <c r="BB90" s="1101">
        <f t="shared" si="42"/>
        <v>0</v>
      </c>
      <c r="BC90" s="1101">
        <f t="shared" si="42"/>
        <v>0</v>
      </c>
      <c r="BD90" s="1101">
        <f t="shared" si="42"/>
        <v>0</v>
      </c>
      <c r="BE90" s="1101">
        <f t="shared" si="42"/>
        <v>0</v>
      </c>
      <c r="BF90" s="1101">
        <f t="shared" si="42"/>
        <v>0</v>
      </c>
      <c r="BG90" s="1101">
        <f t="shared" si="42"/>
        <v>0</v>
      </c>
      <c r="BH90" s="1101">
        <f t="shared" si="42"/>
        <v>0</v>
      </c>
      <c r="BI90" s="1101">
        <f t="shared" si="42"/>
        <v>0</v>
      </c>
      <c r="BJ90" s="1101">
        <f t="shared" si="42"/>
        <v>0</v>
      </c>
      <c r="BK90" s="1101">
        <f t="shared" si="42"/>
        <v>0</v>
      </c>
      <c r="BL90" s="1101">
        <f t="shared" si="42"/>
        <v>0</v>
      </c>
      <c r="BM90" s="1101">
        <f t="shared" si="42"/>
        <v>0</v>
      </c>
      <c r="BN90" s="1101">
        <f t="shared" si="42"/>
        <v>0</v>
      </c>
      <c r="BO90" s="1101">
        <f t="shared" si="42"/>
        <v>0</v>
      </c>
      <c r="BP90" s="1101">
        <f t="shared" ref="BP90:BS90" si="43">BP25-BP44</f>
        <v>0</v>
      </c>
      <c r="BQ90" s="1101">
        <f t="shared" si="43"/>
        <v>0</v>
      </c>
      <c r="BR90" s="1101">
        <f t="shared" si="43"/>
        <v>0</v>
      </c>
      <c r="BS90" s="1101">
        <f t="shared" si="43"/>
        <v>0</v>
      </c>
      <c r="BT90" s="1101">
        <f t="shared" ref="BT90:CI90" si="44">BT25-BT44</f>
        <v>0</v>
      </c>
      <c r="BU90" s="1101">
        <f t="shared" si="44"/>
        <v>0</v>
      </c>
      <c r="BV90" s="1101">
        <f t="shared" si="44"/>
        <v>0</v>
      </c>
      <c r="BW90" s="1101">
        <f t="shared" si="44"/>
        <v>0</v>
      </c>
      <c r="BX90" s="1101">
        <f t="shared" si="44"/>
        <v>0</v>
      </c>
      <c r="BY90" s="1101">
        <f t="shared" si="44"/>
        <v>0</v>
      </c>
      <c r="BZ90" s="1101">
        <f t="shared" si="44"/>
        <v>0</v>
      </c>
      <c r="CA90" s="1101">
        <f t="shared" si="44"/>
        <v>0</v>
      </c>
      <c r="CB90" s="1101">
        <f t="shared" si="44"/>
        <v>0</v>
      </c>
      <c r="CC90" s="1101">
        <f t="shared" si="44"/>
        <v>0</v>
      </c>
      <c r="CD90" s="1101">
        <f t="shared" si="44"/>
        <v>0</v>
      </c>
      <c r="CE90" s="1101">
        <f t="shared" si="44"/>
        <v>0</v>
      </c>
      <c r="CF90" s="1101">
        <f t="shared" si="44"/>
        <v>0</v>
      </c>
      <c r="CG90" s="1101">
        <f t="shared" si="44"/>
        <v>0</v>
      </c>
      <c r="CH90" s="1101">
        <f t="shared" si="44"/>
        <v>0</v>
      </c>
      <c r="CI90" s="1101">
        <f t="shared" si="44"/>
        <v>0</v>
      </c>
    </row>
    <row r="91" spans="1:89" s="1362" customFormat="1" ht="14.4" thickBot="1" x14ac:dyDescent="0.3">
      <c r="A91" s="1353"/>
      <c r="B91" s="686" t="s">
        <v>512</v>
      </c>
      <c r="C91" s="687" t="s">
        <v>303</v>
      </c>
      <c r="D91" s="688" t="s">
        <v>513</v>
      </c>
      <c r="E91" s="687" t="s">
        <v>146</v>
      </c>
      <c r="F91" s="689">
        <v>2</v>
      </c>
      <c r="G91" s="690"/>
      <c r="H91" s="690"/>
      <c r="I91" s="690">
        <f t="shared" ref="I91:BS91" si="45">I89-I88</f>
        <v>15.878551634104355</v>
      </c>
      <c r="J91" s="690">
        <f t="shared" si="45"/>
        <v>15.425356255517398</v>
      </c>
      <c r="K91" s="690">
        <f t="shared" si="45"/>
        <v>14.247180609344646</v>
      </c>
      <c r="L91" s="690">
        <f t="shared" si="45"/>
        <v>14.258743637059895</v>
      </c>
      <c r="M91" s="691">
        <f t="shared" si="45"/>
        <v>19.523050668630624</v>
      </c>
      <c r="N91" s="691">
        <f t="shared" si="45"/>
        <v>18.360881364419487</v>
      </c>
      <c r="O91" s="691">
        <f t="shared" si="45"/>
        <v>17.598270819612424</v>
      </c>
      <c r="P91" s="691">
        <f t="shared" si="45"/>
        <v>16.801210159919748</v>
      </c>
      <c r="Q91" s="691">
        <f t="shared" si="45"/>
        <v>18.612321127276257</v>
      </c>
      <c r="R91" s="691">
        <f t="shared" si="45"/>
        <v>16.233727358002408</v>
      </c>
      <c r="S91" s="691">
        <f t="shared" si="45"/>
        <v>15.578817721204816</v>
      </c>
      <c r="T91" s="691">
        <f t="shared" si="45"/>
        <v>14.894337233371044</v>
      </c>
      <c r="U91" s="691">
        <f t="shared" si="45"/>
        <v>14.058770826444571</v>
      </c>
      <c r="V91" s="691">
        <f t="shared" si="45"/>
        <v>15.301419076547003</v>
      </c>
      <c r="W91" s="691">
        <f t="shared" si="45"/>
        <v>10.04657236730298</v>
      </c>
      <c r="X91" s="691">
        <f t="shared" si="45"/>
        <v>8.8125844164878728</v>
      </c>
      <c r="Y91" s="691">
        <f t="shared" si="45"/>
        <v>7.4728389550107028</v>
      </c>
      <c r="Z91" s="691">
        <f t="shared" si="45"/>
        <v>6.2044008233811958</v>
      </c>
      <c r="AA91" s="691">
        <f t="shared" si="45"/>
        <v>6.3032231510379688</v>
      </c>
      <c r="AB91" s="691">
        <f t="shared" si="45"/>
        <v>5.0057345730940366</v>
      </c>
      <c r="AC91" s="691">
        <f t="shared" si="45"/>
        <v>3.5771476223072796</v>
      </c>
      <c r="AD91" s="691">
        <f t="shared" si="45"/>
        <v>2.2019843930574012</v>
      </c>
      <c r="AE91" s="691">
        <f t="shared" si="45"/>
        <v>0.79976438912778214</v>
      </c>
      <c r="AF91" s="691">
        <f t="shared" si="45"/>
        <v>0.78526795357747226</v>
      </c>
      <c r="AG91" s="691">
        <f t="shared" si="45"/>
        <v>-0.5761993657084048</v>
      </c>
      <c r="AH91" s="691">
        <f t="shared" si="45"/>
        <v>-1.9957110835571168</v>
      </c>
      <c r="AI91" s="691">
        <f t="shared" si="45"/>
        <v>-3.4428917629266458</v>
      </c>
      <c r="AJ91" s="691">
        <f t="shared" si="45"/>
        <v>-4.6893555292006166</v>
      </c>
      <c r="AK91" s="691">
        <f t="shared" si="45"/>
        <v>-4.7559128093566123</v>
      </c>
      <c r="AL91" s="691">
        <f t="shared" si="45"/>
        <v>-6.1622088462346554</v>
      </c>
      <c r="AM91" s="691">
        <f t="shared" si="45"/>
        <v>-7.636504963111971</v>
      </c>
      <c r="AN91" s="691">
        <f t="shared" si="45"/>
        <v>-8.8781210029818993</v>
      </c>
      <c r="AO91" s="691">
        <f t="shared" si="45"/>
        <v>-10.310855816140702</v>
      </c>
      <c r="AP91" s="691">
        <f t="shared" si="45"/>
        <v>-11.83848757843823</v>
      </c>
      <c r="AQ91" s="691">
        <f t="shared" si="45"/>
        <v>-13.227680297245428</v>
      </c>
      <c r="AR91" s="691">
        <f t="shared" si="45"/>
        <v>-14.756311044595174</v>
      </c>
      <c r="AS91" s="691">
        <f t="shared" si="45"/>
        <v>-16.317350274473498</v>
      </c>
      <c r="AT91" s="691">
        <f t="shared" si="45"/>
        <v>-17.924257845660151</v>
      </c>
      <c r="AU91" s="691">
        <f t="shared" si="45"/>
        <v>-19.532032537970892</v>
      </c>
      <c r="AV91" s="691">
        <f t="shared" si="45"/>
        <v>-21.040625207531715</v>
      </c>
      <c r="AW91" s="691">
        <f t="shared" si="45"/>
        <v>-22.677085149917417</v>
      </c>
      <c r="AX91" s="691">
        <f t="shared" si="45"/>
        <v>-24.376325821642027</v>
      </c>
      <c r="AY91" s="691">
        <f t="shared" si="45"/>
        <v>-25.792236933020728</v>
      </c>
      <c r="AZ91" s="691">
        <f t="shared" si="45"/>
        <v>-27.540377616713954</v>
      </c>
      <c r="BA91" s="691">
        <f t="shared" si="45"/>
        <v>-29.087785379628883</v>
      </c>
      <c r="BB91" s="691">
        <f t="shared" si="45"/>
        <v>-30.805477804279583</v>
      </c>
      <c r="BC91" s="691">
        <f t="shared" si="45"/>
        <v>-32.52974828412313</v>
      </c>
      <c r="BD91" s="691">
        <f t="shared" si="45"/>
        <v>-33.973051878640888</v>
      </c>
      <c r="BE91" s="691">
        <f t="shared" si="45"/>
        <v>-35.806902260219452</v>
      </c>
      <c r="BF91" s="691">
        <f t="shared" si="45"/>
        <v>-37.494116903938227</v>
      </c>
      <c r="BG91" s="691">
        <f t="shared" si="45"/>
        <v>-38.942681914310214</v>
      </c>
      <c r="BH91" s="691">
        <f t="shared" si="45"/>
        <v>-40.814579140361289</v>
      </c>
      <c r="BI91" s="691">
        <f t="shared" si="45"/>
        <v>-42.508386073233737</v>
      </c>
      <c r="BJ91" s="691">
        <f t="shared" si="45"/>
        <v>-44.171746878499164</v>
      </c>
      <c r="BK91" s="691">
        <f t="shared" si="45"/>
        <v>-45.903622808538898</v>
      </c>
      <c r="BL91" s="691">
        <f t="shared" si="45"/>
        <v>-47.622456781958398</v>
      </c>
      <c r="BM91" s="691">
        <f t="shared" si="45"/>
        <v>-49.222393396162985</v>
      </c>
      <c r="BN91" s="691">
        <f t="shared" si="45"/>
        <v>-51.030473367329698</v>
      </c>
      <c r="BO91" s="691">
        <f t="shared" si="45"/>
        <v>-52.694861757853261</v>
      </c>
      <c r="BP91" s="691">
        <f t="shared" si="45"/>
        <v>0</v>
      </c>
      <c r="BQ91" s="691">
        <f t="shared" si="45"/>
        <v>0</v>
      </c>
      <c r="BR91" s="691">
        <f t="shared" si="45"/>
        <v>0</v>
      </c>
      <c r="BS91" s="691">
        <f t="shared" si="45"/>
        <v>0</v>
      </c>
      <c r="BT91" s="691">
        <f t="shared" ref="BT91:CI91" si="46">BT89-BT88</f>
        <v>0</v>
      </c>
      <c r="BU91" s="691">
        <f t="shared" si="46"/>
        <v>0</v>
      </c>
      <c r="BV91" s="691">
        <f t="shared" si="46"/>
        <v>0</v>
      </c>
      <c r="BW91" s="691">
        <f t="shared" si="46"/>
        <v>0</v>
      </c>
      <c r="BX91" s="691">
        <f t="shared" si="46"/>
        <v>0</v>
      </c>
      <c r="BY91" s="691">
        <f t="shared" si="46"/>
        <v>0</v>
      </c>
      <c r="BZ91" s="691">
        <f t="shared" si="46"/>
        <v>0</v>
      </c>
      <c r="CA91" s="691">
        <f t="shared" si="46"/>
        <v>0</v>
      </c>
      <c r="CB91" s="691">
        <f t="shared" si="46"/>
        <v>0</v>
      </c>
      <c r="CC91" s="691">
        <f t="shared" si="46"/>
        <v>0</v>
      </c>
      <c r="CD91" s="691">
        <f t="shared" si="46"/>
        <v>0</v>
      </c>
      <c r="CE91" s="691">
        <f t="shared" si="46"/>
        <v>0</v>
      </c>
      <c r="CF91" s="691">
        <f t="shared" si="46"/>
        <v>0</v>
      </c>
      <c r="CG91" s="691">
        <f t="shared" si="46"/>
        <v>0</v>
      </c>
      <c r="CH91" s="691">
        <f t="shared" si="46"/>
        <v>0</v>
      </c>
      <c r="CI91" s="692">
        <f t="shared" si="46"/>
        <v>0</v>
      </c>
    </row>
    <row r="92" spans="1:89" ht="14.4" thickBot="1" x14ac:dyDescent="0.3">
      <c r="B92" s="693"/>
      <c r="C92" s="694"/>
      <c r="D92" s="57"/>
      <c r="E92" s="694"/>
      <c r="F92" s="695"/>
      <c r="G92" s="696"/>
      <c r="H92" s="696"/>
      <c r="I92" s="696"/>
      <c r="J92" s="696"/>
      <c r="K92" s="696"/>
      <c r="L92" s="696"/>
      <c r="M92" s="696"/>
      <c r="N92" s="696"/>
      <c r="O92" s="696"/>
      <c r="P92" s="696"/>
      <c r="Q92" s="696"/>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c r="CA92" s="696"/>
      <c r="CB92" s="696"/>
      <c r="CC92" s="696"/>
      <c r="CD92" s="696"/>
      <c r="CE92" s="696"/>
      <c r="CF92" s="696"/>
      <c r="CG92" s="696"/>
      <c r="CH92" s="696"/>
      <c r="CI92" s="696"/>
    </row>
    <row r="93" spans="1:89" ht="14.4" thickBot="1" x14ac:dyDescent="0.3">
      <c r="B93" s="697" t="s">
        <v>349</v>
      </c>
      <c r="C93" s="1379" t="s">
        <v>115</v>
      </c>
      <c r="D93" s="57"/>
      <c r="E93" s="694"/>
      <c r="F93" s="695"/>
      <c r="G93" s="696"/>
      <c r="H93" s="696"/>
      <c r="I93" s="696"/>
      <c r="J93" s="696"/>
      <c r="K93" s="696"/>
      <c r="L93" s="696"/>
      <c r="M93" s="696"/>
      <c r="N93" s="696"/>
      <c r="O93" s="696"/>
      <c r="P93" s="696"/>
      <c r="Q93" s="696"/>
      <c r="R93" s="696"/>
      <c r="S93" s="696"/>
      <c r="T93" s="696"/>
      <c r="U93" s="696"/>
      <c r="V93" s="696"/>
      <c r="W93" s="696"/>
      <c r="X93" s="696"/>
      <c r="Y93" s="696"/>
      <c r="Z93" s="696"/>
      <c r="AA93" s="696"/>
      <c r="AB93" s="696"/>
      <c r="AC93" s="696"/>
      <c r="AD93" s="696"/>
      <c r="AE93" s="696"/>
      <c r="AF93" s="696"/>
      <c r="AG93" s="696"/>
      <c r="AH93" s="696"/>
      <c r="AI93" s="696"/>
      <c r="AJ93" s="696"/>
      <c r="AK93" s="696"/>
      <c r="AL93" s="696"/>
      <c r="AM93" s="696"/>
      <c r="AN93" s="696"/>
      <c r="AO93" s="696"/>
      <c r="AP93" s="696"/>
      <c r="AQ93" s="696"/>
      <c r="AR93" s="696"/>
      <c r="AS93" s="696"/>
      <c r="AT93" s="696"/>
      <c r="AU93" s="696"/>
      <c r="AV93" s="696"/>
      <c r="AW93" s="696"/>
      <c r="AX93" s="696"/>
      <c r="AY93" s="696"/>
      <c r="AZ93" s="696"/>
      <c r="BA93" s="696"/>
      <c r="BB93" s="696"/>
      <c r="BC93" s="696"/>
      <c r="BD93" s="696"/>
      <c r="BE93" s="696"/>
      <c r="BF93" s="696"/>
      <c r="BG93" s="696"/>
      <c r="BH93" s="696"/>
      <c r="BI93" s="696"/>
      <c r="BJ93" s="696"/>
      <c r="BK93" s="696"/>
      <c r="BL93" s="696"/>
      <c r="BM93" s="696"/>
      <c r="BN93" s="696"/>
      <c r="BO93" s="696"/>
      <c r="BP93" s="696"/>
      <c r="BQ93" s="696"/>
      <c r="BR93" s="696"/>
      <c r="BS93" s="696"/>
      <c r="BT93" s="696"/>
      <c r="BU93" s="696"/>
      <c r="BV93" s="696"/>
      <c r="BW93" s="696"/>
      <c r="BX93" s="696"/>
      <c r="BY93" s="696"/>
      <c r="BZ93" s="696"/>
      <c r="CA93" s="696"/>
      <c r="CB93" s="696"/>
      <c r="CC93" s="696"/>
      <c r="CD93" s="696"/>
      <c r="CE93" s="696"/>
      <c r="CF93" s="696"/>
      <c r="CG93" s="696"/>
      <c r="CH93" s="696"/>
      <c r="CI93" s="696"/>
    </row>
    <row r="94" spans="1:89" ht="14.4" thickBot="1" x14ac:dyDescent="0.3">
      <c r="B94" s="698" t="s">
        <v>356</v>
      </c>
      <c r="C94" s="699" t="s">
        <v>514</v>
      </c>
      <c r="D94" s="699" t="s">
        <v>515</v>
      </c>
      <c r="E94" s="699" t="s">
        <v>117</v>
      </c>
      <c r="F94" s="700" t="s">
        <v>118</v>
      </c>
      <c r="G94" s="701" t="s">
        <v>119</v>
      </c>
      <c r="H94" s="701" t="s">
        <v>120</v>
      </c>
      <c r="I94" s="701" t="s">
        <v>121</v>
      </c>
      <c r="J94" s="701" t="s">
        <v>122</v>
      </c>
      <c r="K94" s="701" t="s">
        <v>123</v>
      </c>
      <c r="L94" s="701" t="s">
        <v>124</v>
      </c>
      <c r="M94" s="699" t="s">
        <v>125</v>
      </c>
      <c r="N94" s="699" t="s">
        <v>126</v>
      </c>
      <c r="O94" s="699" t="s">
        <v>127</v>
      </c>
      <c r="P94" s="699" t="s">
        <v>128</v>
      </c>
      <c r="Q94" s="699" t="s">
        <v>129</v>
      </c>
      <c r="R94" s="699" t="s">
        <v>130</v>
      </c>
      <c r="S94" s="699" t="s">
        <v>157</v>
      </c>
      <c r="T94" s="699" t="s">
        <v>158</v>
      </c>
      <c r="U94" s="699" t="s">
        <v>159</v>
      </c>
      <c r="V94" s="699" t="s">
        <v>160</v>
      </c>
      <c r="W94" s="699" t="s">
        <v>131</v>
      </c>
      <c r="X94" s="699" t="s">
        <v>161</v>
      </c>
      <c r="Y94" s="699" t="s">
        <v>162</v>
      </c>
      <c r="Z94" s="699" t="s">
        <v>163</v>
      </c>
      <c r="AA94" s="699" t="s">
        <v>164</v>
      </c>
      <c r="AB94" s="699" t="s">
        <v>132</v>
      </c>
      <c r="AC94" s="699" t="s">
        <v>165</v>
      </c>
      <c r="AD94" s="699" t="s">
        <v>166</v>
      </c>
      <c r="AE94" s="699" t="s">
        <v>167</v>
      </c>
      <c r="AF94" s="699" t="s">
        <v>168</v>
      </c>
      <c r="AG94" s="699" t="s">
        <v>133</v>
      </c>
      <c r="AH94" s="699" t="s">
        <v>169</v>
      </c>
      <c r="AI94" s="699" t="s">
        <v>170</v>
      </c>
      <c r="AJ94" s="699" t="s">
        <v>171</v>
      </c>
      <c r="AK94" s="699" t="s">
        <v>172</v>
      </c>
      <c r="AL94" s="699" t="s">
        <v>134</v>
      </c>
      <c r="AM94" s="699" t="s">
        <v>173</v>
      </c>
      <c r="AN94" s="699" t="s">
        <v>174</v>
      </c>
      <c r="AO94" s="699" t="s">
        <v>175</v>
      </c>
      <c r="AP94" s="699" t="s">
        <v>176</v>
      </c>
      <c r="AQ94" s="699" t="s">
        <v>135</v>
      </c>
      <c r="AR94" s="699" t="s">
        <v>177</v>
      </c>
      <c r="AS94" s="699" t="s">
        <v>178</v>
      </c>
      <c r="AT94" s="699" t="s">
        <v>179</v>
      </c>
      <c r="AU94" s="699" t="s">
        <v>180</v>
      </c>
      <c r="AV94" s="699" t="s">
        <v>136</v>
      </c>
      <c r="AW94" s="699" t="s">
        <v>181</v>
      </c>
      <c r="AX94" s="699" t="s">
        <v>182</v>
      </c>
      <c r="AY94" s="699" t="s">
        <v>183</v>
      </c>
      <c r="AZ94" s="699" t="s">
        <v>184</v>
      </c>
      <c r="BA94" s="699" t="s">
        <v>137</v>
      </c>
      <c r="BB94" s="699" t="s">
        <v>185</v>
      </c>
      <c r="BC94" s="699" t="s">
        <v>186</v>
      </c>
      <c r="BD94" s="699" t="s">
        <v>187</v>
      </c>
      <c r="BE94" s="699" t="s">
        <v>188</v>
      </c>
      <c r="BF94" s="699" t="s">
        <v>138</v>
      </c>
      <c r="BG94" s="699" t="s">
        <v>189</v>
      </c>
      <c r="BH94" s="699" t="s">
        <v>190</v>
      </c>
      <c r="BI94" s="699" t="s">
        <v>191</v>
      </c>
      <c r="BJ94" s="699" t="s">
        <v>192</v>
      </c>
      <c r="BK94" s="699" t="s">
        <v>139</v>
      </c>
      <c r="BL94" s="699" t="s">
        <v>193</v>
      </c>
      <c r="BM94" s="699" t="s">
        <v>194</v>
      </c>
      <c r="BN94" s="699" t="s">
        <v>195</v>
      </c>
      <c r="BO94" s="699" t="s">
        <v>196</v>
      </c>
      <c r="BP94" s="699" t="s">
        <v>140</v>
      </c>
      <c r="BQ94" s="699" t="s">
        <v>197</v>
      </c>
      <c r="BR94" s="699" t="s">
        <v>198</v>
      </c>
      <c r="BS94" s="699" t="s">
        <v>199</v>
      </c>
      <c r="BT94" s="699" t="s">
        <v>200</v>
      </c>
      <c r="BU94" s="699" t="s">
        <v>141</v>
      </c>
      <c r="BV94" s="699" t="s">
        <v>201</v>
      </c>
      <c r="BW94" s="699" t="s">
        <v>202</v>
      </c>
      <c r="BX94" s="699" t="s">
        <v>203</v>
      </c>
      <c r="BY94" s="699" t="s">
        <v>204</v>
      </c>
      <c r="BZ94" s="699" t="s">
        <v>142</v>
      </c>
      <c r="CA94" s="699" t="s">
        <v>205</v>
      </c>
      <c r="CB94" s="699" t="s">
        <v>206</v>
      </c>
      <c r="CC94" s="699" t="s">
        <v>207</v>
      </c>
      <c r="CD94" s="699" t="s">
        <v>208</v>
      </c>
      <c r="CE94" s="699" t="s">
        <v>143</v>
      </c>
      <c r="CF94" s="699" t="s">
        <v>209</v>
      </c>
      <c r="CG94" s="699" t="s">
        <v>210</v>
      </c>
      <c r="CH94" s="699" t="s">
        <v>211</v>
      </c>
      <c r="CI94" s="702" t="s">
        <v>212</v>
      </c>
    </row>
    <row r="95" spans="1:89" ht="27.6" x14ac:dyDescent="0.25">
      <c r="B95" s="711" t="s">
        <v>516</v>
      </c>
      <c r="C95" s="712" t="s">
        <v>517</v>
      </c>
      <c r="D95" s="712" t="s">
        <v>518</v>
      </c>
      <c r="E95" s="712" t="s">
        <v>146</v>
      </c>
      <c r="F95" s="713">
        <v>2</v>
      </c>
      <c r="G95" s="714"/>
      <c r="H95" s="715"/>
      <c r="I95" s="715"/>
      <c r="J95" s="715"/>
      <c r="K95" s="715"/>
      <c r="L95" s="715"/>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10"/>
    </row>
    <row r="96" spans="1:89" x14ac:dyDescent="0.25">
      <c r="B96" s="703" t="s">
        <v>519</v>
      </c>
      <c r="C96" s="704" t="s">
        <v>520</v>
      </c>
      <c r="D96" s="704" t="s">
        <v>521</v>
      </c>
      <c r="E96" s="704" t="s">
        <v>146</v>
      </c>
      <c r="F96" s="705">
        <v>2</v>
      </c>
      <c r="G96" s="714"/>
      <c r="H96" s="715"/>
      <c r="I96" s="715"/>
      <c r="J96" s="715"/>
      <c r="K96" s="715"/>
      <c r="L96" s="715"/>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10"/>
    </row>
    <row r="97" spans="2:87" x14ac:dyDescent="0.25">
      <c r="B97" s="711" t="s">
        <v>522</v>
      </c>
      <c r="C97" s="712" t="s">
        <v>523</v>
      </c>
      <c r="D97" s="712" t="s">
        <v>524</v>
      </c>
      <c r="E97" s="712" t="s">
        <v>146</v>
      </c>
      <c r="F97" s="713">
        <v>2</v>
      </c>
      <c r="G97" s="714"/>
      <c r="H97" s="715"/>
      <c r="I97" s="715"/>
      <c r="J97" s="715"/>
      <c r="K97" s="715"/>
      <c r="L97" s="715"/>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10"/>
    </row>
    <row r="98" spans="2:87" ht="27.6" x14ac:dyDescent="0.25">
      <c r="B98" s="711" t="s">
        <v>525</v>
      </c>
      <c r="C98" s="712" t="s">
        <v>526</v>
      </c>
      <c r="D98" s="712" t="s">
        <v>527</v>
      </c>
      <c r="E98" s="712" t="s">
        <v>146</v>
      </c>
      <c r="F98" s="713">
        <v>2</v>
      </c>
      <c r="G98" s="714"/>
      <c r="H98" s="715"/>
      <c r="I98" s="715"/>
      <c r="J98" s="715"/>
      <c r="K98" s="715"/>
      <c r="L98" s="715"/>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10"/>
    </row>
    <row r="99" spans="2:87" ht="27.6" x14ac:dyDescent="0.25">
      <c r="B99" s="711" t="s">
        <v>528</v>
      </c>
      <c r="C99" s="712" t="s">
        <v>529</v>
      </c>
      <c r="D99" s="712" t="s">
        <v>530</v>
      </c>
      <c r="E99" s="712" t="s">
        <v>146</v>
      </c>
      <c r="F99" s="713">
        <v>2</v>
      </c>
      <c r="G99" s="714"/>
      <c r="H99" s="715"/>
      <c r="I99" s="715"/>
      <c r="J99" s="715"/>
      <c r="K99" s="715"/>
      <c r="L99" s="715"/>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10"/>
    </row>
    <row r="100" spans="2:87" x14ac:dyDescent="0.25">
      <c r="B100" s="716" t="s">
        <v>531</v>
      </c>
      <c r="C100" s="717" t="s">
        <v>532</v>
      </c>
      <c r="D100" s="717" t="s">
        <v>533</v>
      </c>
      <c r="E100" s="717" t="s">
        <v>146</v>
      </c>
      <c r="F100" s="713">
        <v>2</v>
      </c>
      <c r="G100" s="714"/>
      <c r="H100" s="715"/>
      <c r="I100" s="715"/>
      <c r="J100" s="715"/>
      <c r="K100" s="715"/>
      <c r="L100" s="715"/>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10"/>
    </row>
    <row r="101" spans="2:87" x14ac:dyDescent="0.25">
      <c r="B101" s="711" t="s">
        <v>534</v>
      </c>
      <c r="C101" s="712" t="s">
        <v>535</v>
      </c>
      <c r="D101" s="712" t="s">
        <v>536</v>
      </c>
      <c r="E101" s="712" t="s">
        <v>146</v>
      </c>
      <c r="F101" s="713">
        <v>2</v>
      </c>
      <c r="G101" s="714"/>
      <c r="H101" s="715"/>
      <c r="I101" s="715"/>
      <c r="J101" s="715"/>
      <c r="K101" s="715"/>
      <c r="L101" s="715"/>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10"/>
    </row>
    <row r="102" spans="2:87" ht="30.6" customHeight="1" x14ac:dyDescent="0.25">
      <c r="B102" s="718" t="s">
        <v>537</v>
      </c>
      <c r="C102" s="719" t="s">
        <v>538</v>
      </c>
      <c r="D102" s="720" t="s">
        <v>539</v>
      </c>
      <c r="E102" s="719" t="s">
        <v>146</v>
      </c>
      <c r="F102" s="721">
        <v>2</v>
      </c>
      <c r="G102" s="714"/>
      <c r="H102" s="715"/>
      <c r="I102" s="715"/>
      <c r="J102" s="715"/>
      <c r="K102" s="715"/>
      <c r="L102" s="715"/>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10"/>
    </row>
    <row r="103" spans="2:87" ht="30.6" customHeight="1" x14ac:dyDescent="0.25">
      <c r="B103" s="718" t="s">
        <v>540</v>
      </c>
      <c r="C103" s="719" t="s">
        <v>541</v>
      </c>
      <c r="D103" s="720" t="s">
        <v>542</v>
      </c>
      <c r="E103" s="719" t="s">
        <v>146</v>
      </c>
      <c r="F103" s="721">
        <v>2</v>
      </c>
      <c r="G103" s="714"/>
      <c r="H103" s="715"/>
      <c r="I103" s="715"/>
      <c r="J103" s="715"/>
      <c r="K103" s="715"/>
      <c r="L103" s="715"/>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10"/>
    </row>
    <row r="104" spans="2:87" ht="27.6" x14ac:dyDescent="0.25">
      <c r="B104" s="711" t="s">
        <v>543</v>
      </c>
      <c r="C104" s="712" t="s">
        <v>544</v>
      </c>
      <c r="D104" s="712" t="s">
        <v>545</v>
      </c>
      <c r="E104" s="712" t="s">
        <v>146</v>
      </c>
      <c r="F104" s="713">
        <v>2</v>
      </c>
      <c r="G104" s="714"/>
      <c r="H104" s="715"/>
      <c r="I104" s="715"/>
      <c r="J104" s="715"/>
      <c r="K104" s="715"/>
      <c r="L104" s="715"/>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10"/>
    </row>
    <row r="105" spans="2:87" x14ac:dyDescent="0.25">
      <c r="B105" s="711" t="s">
        <v>546</v>
      </c>
      <c r="C105" s="712" t="s">
        <v>547</v>
      </c>
      <c r="D105" s="712" t="s">
        <v>548</v>
      </c>
      <c r="E105" s="712" t="s">
        <v>146</v>
      </c>
      <c r="F105" s="713">
        <v>2</v>
      </c>
      <c r="G105" s="714"/>
      <c r="H105" s="715"/>
      <c r="I105" s="715"/>
      <c r="J105" s="715"/>
      <c r="K105" s="715"/>
      <c r="L105" s="715"/>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10"/>
    </row>
    <row r="106" spans="2:87" ht="14.4" thickBot="1" x14ac:dyDescent="0.3">
      <c r="B106" s="722" t="s">
        <v>549</v>
      </c>
      <c r="C106" s="723" t="s">
        <v>550</v>
      </c>
      <c r="D106" s="723" t="s">
        <v>551</v>
      </c>
      <c r="E106" s="723" t="s">
        <v>146</v>
      </c>
      <c r="F106" s="724">
        <v>2</v>
      </c>
      <c r="G106" s="725"/>
      <c r="H106" s="726"/>
      <c r="I106" s="726"/>
      <c r="J106" s="726"/>
      <c r="K106" s="726"/>
      <c r="L106" s="726"/>
      <c r="M106" s="727"/>
      <c r="N106" s="727"/>
      <c r="O106" s="727"/>
      <c r="P106" s="727"/>
      <c r="Q106" s="727"/>
      <c r="R106" s="727"/>
      <c r="S106" s="727"/>
      <c r="T106" s="727"/>
      <c r="U106" s="727"/>
      <c r="V106" s="727"/>
      <c r="W106" s="727"/>
      <c r="X106" s="727"/>
      <c r="Y106" s="727"/>
      <c r="Z106" s="727"/>
      <c r="AA106" s="727"/>
      <c r="AB106" s="727"/>
      <c r="AC106" s="727"/>
      <c r="AD106" s="727"/>
      <c r="AE106" s="727"/>
      <c r="AF106" s="727"/>
      <c r="AG106" s="727"/>
      <c r="AH106" s="727"/>
      <c r="AI106" s="727"/>
      <c r="AJ106" s="727"/>
      <c r="AK106" s="727"/>
      <c r="AL106" s="727"/>
      <c r="AM106" s="727"/>
      <c r="AN106" s="727"/>
      <c r="AO106" s="727"/>
      <c r="AP106" s="727"/>
      <c r="AQ106" s="727"/>
      <c r="AR106" s="727"/>
      <c r="AS106" s="727"/>
      <c r="AT106" s="727"/>
      <c r="AU106" s="727"/>
      <c r="AV106" s="727"/>
      <c r="AW106" s="727"/>
      <c r="AX106" s="727"/>
      <c r="AY106" s="727"/>
      <c r="AZ106" s="727"/>
      <c r="BA106" s="727"/>
      <c r="BB106" s="727"/>
      <c r="BC106" s="727"/>
      <c r="BD106" s="727"/>
      <c r="BE106" s="727"/>
      <c r="BF106" s="727"/>
      <c r="BG106" s="727"/>
      <c r="BH106" s="727"/>
      <c r="BI106" s="727"/>
      <c r="BJ106" s="727"/>
      <c r="BK106" s="727"/>
      <c r="BL106" s="727"/>
      <c r="BM106" s="727"/>
      <c r="BN106" s="727"/>
      <c r="BO106" s="727"/>
      <c r="BP106" s="727"/>
      <c r="BQ106" s="727"/>
      <c r="BR106" s="727"/>
      <c r="BS106" s="727"/>
      <c r="BT106" s="727"/>
      <c r="BU106" s="727"/>
      <c r="BV106" s="727"/>
      <c r="BW106" s="727"/>
      <c r="BX106" s="727"/>
      <c r="BY106" s="727"/>
      <c r="BZ106" s="727"/>
      <c r="CA106" s="727"/>
      <c r="CB106" s="727"/>
      <c r="CC106" s="727"/>
      <c r="CD106" s="727"/>
      <c r="CE106" s="727"/>
      <c r="CF106" s="727"/>
      <c r="CG106" s="727"/>
      <c r="CH106" s="727"/>
      <c r="CI106" s="728"/>
    </row>
    <row r="107" spans="2:87" ht="41.4" x14ac:dyDescent="0.25">
      <c r="B107" s="729" t="s">
        <v>552</v>
      </c>
      <c r="C107" s="730" t="s">
        <v>553</v>
      </c>
      <c r="D107" s="731" t="s">
        <v>554</v>
      </c>
      <c r="E107" s="730" t="s">
        <v>146</v>
      </c>
      <c r="F107" s="732">
        <v>2</v>
      </c>
      <c r="G107" s="706"/>
      <c r="H107" s="707"/>
      <c r="I107" s="707"/>
      <c r="J107" s="707"/>
      <c r="K107" s="707"/>
      <c r="L107" s="707"/>
      <c r="M107" s="708">
        <f>((SUM('5. Options Benefits'!R$13:R$16))+'5. Options Benefits'!R7)*-1</f>
        <v>-0.13735253231476602</v>
      </c>
      <c r="N107" s="708">
        <f>((SUM('5. Options Benefits'!S$13:S$16))+'5. Options Benefits'!S7)*-1</f>
        <v>-0.4696148139545846</v>
      </c>
      <c r="O107" s="708">
        <f>((SUM('5. Options Benefits'!T$13:T$16))+'5. Options Benefits'!T7)*-1</f>
        <v>-0.91971534152437939</v>
      </c>
      <c r="P107" s="708">
        <f>((SUM('5. Options Benefits'!U$13:U$16))+'5. Options Benefits'!U7)*-1</f>
        <v>-1.4900653984658163</v>
      </c>
      <c r="Q107" s="708">
        <f>((SUM('5. Options Benefits'!V$13:V$16))+'5. Options Benefits'!V7)*-1</f>
        <v>-2.1800251770376566</v>
      </c>
      <c r="R107" s="708">
        <f>((SUM('5. Options Benefits'!W$13:W$16))+'5. Options Benefits'!W7)*-1</f>
        <v>-3.0474332239598549</v>
      </c>
      <c r="S107" s="708">
        <f>((SUM('5. Options Benefits'!X$13:X$16))+'5. Options Benefits'!X7)*-1</f>
        <v>-3.9748183016786061</v>
      </c>
      <c r="T107" s="708">
        <f>((SUM('5. Options Benefits'!Y$13:Y$16))+'5. Options Benefits'!Y7)*-1</f>
        <v>-5.0198614510098372</v>
      </c>
      <c r="U107" s="708">
        <f>((SUM('5. Options Benefits'!Z$13:Z$16))+'5. Options Benefits'!Z7)*-1</f>
        <v>-6.1818583578987196</v>
      </c>
      <c r="V107" s="708">
        <f>((SUM('5. Options Benefits'!AA$13:AA$16))+'5. Options Benefits'!AA7)*-1</f>
        <v>-7.4603740782402479</v>
      </c>
      <c r="W107" s="708">
        <f>((SUM('5. Options Benefits'!AB$13:AB$16))+'5. Options Benefits'!AB7)*-1</f>
        <v>-8.8284940457763845</v>
      </c>
      <c r="X107" s="708">
        <f>((SUM('5. Options Benefits'!AC$13:AC$16))+'5. Options Benefits'!AC7)*-1</f>
        <v>-10.285101513553309</v>
      </c>
      <c r="Y107" s="708">
        <f>((SUM('5. Options Benefits'!AD$13:AD$16))+'5. Options Benefits'!AD7)*-1</f>
        <v>-11.855907487446437</v>
      </c>
      <c r="Z107" s="708">
        <f>((SUM('5. Options Benefits'!AE$13:AE$16))+'5. Options Benefits'!AE7)*-1</f>
        <v>-13.539888878425494</v>
      </c>
      <c r="AA107" s="708">
        <f>((SUM('5. Options Benefits'!AF$13:AF$16))+'5. Options Benefits'!AF7)*-1</f>
        <v>-15.335807220012638</v>
      </c>
      <c r="AB107" s="708">
        <f>((SUM('5. Options Benefits'!AG$13:AG$16))+'5. Options Benefits'!AG7)*-1</f>
        <v>-17.00033298651854</v>
      </c>
      <c r="AC107" s="708">
        <f>((SUM('5. Options Benefits'!AH$13:AH$16))+'5. Options Benefits'!AH7)*-1</f>
        <v>-18.398061109122253</v>
      </c>
      <c r="AD107" s="708">
        <f>((SUM('5. Options Benefits'!AI$13:AI$16))+'5. Options Benefits'!AI7)*-1</f>
        <v>-19.554547223753712</v>
      </c>
      <c r="AE107" s="708">
        <f>((SUM('5. Options Benefits'!AJ$13:AJ$16))+'5. Options Benefits'!AJ7)*-1</f>
        <v>-20.471290170704481</v>
      </c>
      <c r="AF107" s="708">
        <f>((SUM('5. Options Benefits'!AK$13:AK$16))+'5. Options Benefits'!AK7)*-1</f>
        <v>-21.149564072623928</v>
      </c>
      <c r="AG107" s="708">
        <f>((SUM('5. Options Benefits'!AL$13:AL$16))+'5. Options Benefits'!AL7)*-1</f>
        <v>-21.590638216213289</v>
      </c>
      <c r="AH107" s="708">
        <f>((SUM('5. Options Benefits'!AM$13:AM$16))+'5. Options Benefits'!AM7)*-1</f>
        <v>-21.795782100859871</v>
      </c>
      <c r="AI107" s="708">
        <f>((SUM('5. Options Benefits'!AN$13:AN$16))+'5. Options Benefits'!AN7)*-1</f>
        <v>-21.766265240558035</v>
      </c>
      <c r="AJ107" s="708">
        <f>((SUM('5. Options Benefits'!AO$13:AO$16))+'5. Options Benefits'!AO7)*-1</f>
        <v>-21.503445074130134</v>
      </c>
      <c r="AK107" s="708">
        <f>((SUM('5. Options Benefits'!AP$13:AP$16))+'5. Options Benefits'!AP7)*-1</f>
        <v>-21.008822284620255</v>
      </c>
      <c r="AL107" s="708">
        <f>((SUM('5. Options Benefits'!AQ$13:AQ$16))+'5. Options Benefits'!AQ7)*-1</f>
        <v>-20.279640117144851</v>
      </c>
      <c r="AM107" s="708">
        <f>((SUM('5. Options Benefits'!AR$13:AR$16))+'5. Options Benefits'!AR7)*-1</f>
        <v>-19.317089176882615</v>
      </c>
      <c r="AN107" s="708">
        <f>((SUM('5. Options Benefits'!AS$13:AS$16))+'5. Options Benefits'!AS7)*-1</f>
        <v>-18.126114620132252</v>
      </c>
      <c r="AO107" s="708">
        <f>((SUM('5. Options Benefits'!AT$13:AT$16))+'5. Options Benefits'!AT7)*-1</f>
        <v>-16.708286777465339</v>
      </c>
      <c r="AP107" s="708">
        <f>((SUM('5. Options Benefits'!AU$13:AU$16))+'5. Options Benefits'!AU7)*-1</f>
        <v>-15.065245878867094</v>
      </c>
      <c r="AQ107" s="708">
        <f>((SUM('5. Options Benefits'!AV$13:AV$16))+'5. Options Benefits'!AV7)*-1</f>
        <v>-13.370781746026774</v>
      </c>
      <c r="AR107" s="708">
        <f>((SUM('5. Options Benefits'!AW$13:AW$16))+'5. Options Benefits'!AW7)*-1</f>
        <v>-11.797524679140654</v>
      </c>
      <c r="AS107" s="708">
        <f>((SUM('5. Options Benefits'!AX$13:AX$16))+'5. Options Benefits'!AX7)*-1</f>
        <v>-10.344612461685648</v>
      </c>
      <c r="AT107" s="708">
        <f>((SUM('5. Options Benefits'!AY$13:AY$16))+'5. Options Benefits'!AY7)*-1</f>
        <v>-9.0113597911736463</v>
      </c>
      <c r="AU107" s="708">
        <f>((SUM('5. Options Benefits'!AZ$13:AZ$16))+'5. Options Benefits'!AZ7)*-1</f>
        <v>-7.797104369573284</v>
      </c>
      <c r="AV107" s="708">
        <f>((SUM('5. Options Benefits'!BA$13:BA$16))+'5. Options Benefits'!BA7)*-1</f>
        <v>-6.7012054492827007</v>
      </c>
      <c r="AW107" s="708">
        <f>((SUM('5. Options Benefits'!BB$13:BB$16))+'5. Options Benefits'!BB7)*-1</f>
        <v>-5.7230424747356547</v>
      </c>
      <c r="AX107" s="708">
        <f>((SUM('5. Options Benefits'!BC$13:BC$16))+'5. Options Benefits'!BC7)*-1</f>
        <v>-4.862013842779711</v>
      </c>
      <c r="AY107" s="708">
        <f>((SUM('5. Options Benefits'!BD$13:BD$16))+'5. Options Benefits'!BD7)*-1</f>
        <v>-4.1175357610814887</v>
      </c>
      <c r="AZ107" s="708">
        <f>((SUM('5. Options Benefits'!BE$13:BE$16))+'5. Options Benefits'!BE7)*-1</f>
        <v>-3.4890411923621363</v>
      </c>
      <c r="BA107" s="708">
        <f>((SUM('5. Options Benefits'!BF$13:BF$16))+'5. Options Benefits'!BF7)*-1</f>
        <v>-2.9759788671112561</v>
      </c>
      <c r="BB107" s="708">
        <f>((SUM('5. Options Benefits'!BG$13:BG$16))+'5. Options Benefits'!BG7)*-1</f>
        <v>-2.5778123738457959</v>
      </c>
      <c r="BC107" s="708">
        <f>((SUM('5. Options Benefits'!BH$13:BH$16))+'5. Options Benefits'!BH7)*-1</f>
        <v>-2.2940193202352073</v>
      </c>
      <c r="BD107" s="708">
        <f>((SUM('5. Options Benefits'!BI$13:BI$16))+'5. Options Benefits'!BI7)*-1</f>
        <v>-2.1240905438032271</v>
      </c>
      <c r="BE107" s="708">
        <f>((SUM('5. Options Benefits'!BJ$13:BJ$16))+'5. Options Benefits'!BJ7)*-1</f>
        <v>-2.0675293827848811</v>
      </c>
      <c r="BF107" s="708">
        <f>((SUM('5. Options Benefits'!BK$13:BK$16))+'5. Options Benefits'!BK7)*-1</f>
        <v>-2.0675293827848811</v>
      </c>
      <c r="BG107" s="708">
        <f>((SUM('5. Options Benefits'!BL$13:BL$16))+'5. Options Benefits'!BL7)*-1</f>
        <v>-2.0675293827848811</v>
      </c>
      <c r="BH107" s="708">
        <f>((SUM('5. Options Benefits'!BM$13:BM$16))+'5. Options Benefits'!BM7)*-1</f>
        <v>-2.0675293827848811</v>
      </c>
      <c r="BI107" s="708">
        <f>((SUM('5. Options Benefits'!BN$13:BN$16))+'5. Options Benefits'!BN7)*-1</f>
        <v>-2.0675293827848811</v>
      </c>
      <c r="BJ107" s="708">
        <f>((SUM('5. Options Benefits'!BO$13:BO$16))+'5. Options Benefits'!BO7)*-1</f>
        <v>-2.0675293827848811</v>
      </c>
      <c r="BK107" s="708">
        <f>((SUM('5. Options Benefits'!BP$13:BP$16))+'5. Options Benefits'!BP7)*-1</f>
        <v>-2.0675293827848811</v>
      </c>
      <c r="BL107" s="708">
        <f>((SUM('5. Options Benefits'!BQ$13:BQ$16))+'5. Options Benefits'!BQ7)*-1</f>
        <v>-2.0675293827848811</v>
      </c>
      <c r="BM107" s="708">
        <f>((SUM('5. Options Benefits'!BR$13:BR$16))+'5. Options Benefits'!BR7)*-1</f>
        <v>-2.0675293827848811</v>
      </c>
      <c r="BN107" s="708">
        <f>((SUM('5. Options Benefits'!BS$13:BS$16))+'5. Options Benefits'!BS7)*-1</f>
        <v>-2.0675293827848811</v>
      </c>
      <c r="BO107" s="708">
        <f>((SUM('5. Options Benefits'!BT$13:BT$16))+'5. Options Benefits'!BT7)*-1</f>
        <v>-2.0675293827848811</v>
      </c>
      <c r="BP107" s="708"/>
      <c r="BQ107" s="708"/>
      <c r="BR107" s="708"/>
      <c r="BS107" s="708"/>
      <c r="BT107" s="708"/>
      <c r="BU107" s="708"/>
      <c r="BV107" s="708"/>
      <c r="BW107" s="708"/>
      <c r="BX107" s="708"/>
      <c r="BY107" s="708"/>
      <c r="BZ107" s="708"/>
      <c r="CA107" s="708"/>
      <c r="CB107" s="708"/>
      <c r="CC107" s="708"/>
      <c r="CD107" s="708"/>
      <c r="CE107" s="708"/>
      <c r="CF107" s="708"/>
      <c r="CG107" s="708"/>
      <c r="CH107" s="708"/>
      <c r="CI107" s="733"/>
    </row>
    <row r="108" spans="2:87" ht="55.2" x14ac:dyDescent="0.25">
      <c r="B108" s="734" t="s">
        <v>555</v>
      </c>
      <c r="C108" s="735" t="s">
        <v>556</v>
      </c>
      <c r="D108" s="736" t="s">
        <v>557</v>
      </c>
      <c r="E108" s="735" t="s">
        <v>146</v>
      </c>
      <c r="F108" s="737">
        <v>2</v>
      </c>
      <c r="G108" s="714"/>
      <c r="H108" s="715"/>
      <c r="I108" s="715"/>
      <c r="J108" s="715"/>
      <c r="K108" s="715"/>
      <c r="L108" s="715"/>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10"/>
    </row>
    <row r="109" spans="2:87" ht="41.4" x14ac:dyDescent="0.25">
      <c r="B109" s="734" t="s">
        <v>558</v>
      </c>
      <c r="C109" s="735" t="s">
        <v>559</v>
      </c>
      <c r="D109" s="736" t="s">
        <v>560</v>
      </c>
      <c r="E109" s="735" t="s">
        <v>146</v>
      </c>
      <c r="F109" s="737">
        <v>2</v>
      </c>
      <c r="G109" s="714"/>
      <c r="H109" s="715"/>
      <c r="I109" s="715"/>
      <c r="J109" s="715"/>
      <c r="K109" s="715"/>
      <c r="L109" s="715"/>
      <c r="M109" s="709">
        <f>((SUM('5. Options Benefits'!R$8:R$12)+SUM('5. Options Benefits'!R$17:R$17))*-1)*M$173</f>
        <v>-0.61075614569537628</v>
      </c>
      <c r="N109" s="709">
        <f>((SUM('5. Options Benefits'!S$8:S$12)+SUM('5. Options Benefits'!S$17:S$17))*-1)*N$173</f>
        <v>-2.3487698633994269</v>
      </c>
      <c r="O109" s="709">
        <f>((SUM('5. Options Benefits'!T$8:T$12)+SUM('5. Options Benefits'!T$17:T$17))*-1)*O$173</f>
        <v>-4.1417010376241485</v>
      </c>
      <c r="P109" s="709">
        <f>((SUM('5. Options Benefits'!U$8:U$12)+SUM('5. Options Benefits'!U$17:U$17))*-1)*P$173</f>
        <v>-5.9811741741071742</v>
      </c>
      <c r="Q109" s="709">
        <f>((SUM('5. Options Benefits'!V$8:V$12)+SUM('5. Options Benefits'!V$17:V$17))*-1)*Q$173</f>
        <v>-7.865896288925029</v>
      </c>
      <c r="R109" s="709">
        <f>((SUM('5. Options Benefits'!W$8:W$12)+SUM('5. Options Benefits'!W$17:W$17))*-1)*R$173</f>
        <v>-11.807353321776317</v>
      </c>
      <c r="S109" s="709">
        <f>((SUM('5. Options Benefits'!X$8:X$12)+SUM('5. Options Benefits'!X$17:X$17))*-1)*S$173</f>
        <v>-15.99318888682078</v>
      </c>
      <c r="T109" s="709">
        <f>((SUM('5. Options Benefits'!Y$8:Y$12)+SUM('5. Options Benefits'!Y$17:Y$17))*-1)*T$173</f>
        <v>-18.332340653030922</v>
      </c>
      <c r="U109" s="709">
        <f>((SUM('5. Options Benefits'!Z$8:Z$12)+SUM('5. Options Benefits'!Z$17:Z$17))*-1)*U$173</f>
        <v>-20.691574299321541</v>
      </c>
      <c r="V109" s="709">
        <f>((SUM('5. Options Benefits'!AA$8:AA$12)+SUM('5. Options Benefits'!AA$17:AA$17))*-1)*V$173</f>
        <v>-23.073143837833516</v>
      </c>
      <c r="W109" s="709">
        <f>((SUM('5. Options Benefits'!AB$8:AB$12)+SUM('5. Options Benefits'!AB$17:AB$17))*-1)*W$173</f>
        <v>-24.705000788126238</v>
      </c>
      <c r="X109" s="709">
        <f>((SUM('5. Options Benefits'!AC$8:AC$12)+SUM('5. Options Benefits'!AC$17:AC$17))*-1)*X$173</f>
        <v>-26.311161469259588</v>
      </c>
      <c r="Y109" s="709">
        <f>((SUM('5. Options Benefits'!AD$8:AD$12)+SUM('5. Options Benefits'!AD$17:AD$17))*-1)*Y$173</f>
        <v>-27.911548490645689</v>
      </c>
      <c r="Z109" s="709">
        <f>((SUM('5. Options Benefits'!AE$8:AE$12)+SUM('5. Options Benefits'!AE$17:AE$17))*-1)*Z$173</f>
        <v>-29.506146755905515</v>
      </c>
      <c r="AA109" s="709">
        <f>((SUM('5. Options Benefits'!AF$8:AF$12)+SUM('5. Options Benefits'!AF$17:AF$17))*-1)*AA$173</f>
        <v>-31.086569540349476</v>
      </c>
      <c r="AB109" s="709">
        <f>((SUM('5. Options Benefits'!AG$8:AG$12)+SUM('5. Options Benefits'!AG$17:AG$17))*-1)*AB$173</f>
        <v>-32.279494456520666</v>
      </c>
      <c r="AC109" s="709">
        <f>((SUM('5. Options Benefits'!AH$8:AH$12)+SUM('5. Options Benefits'!AH$17:AH$17))*-1)*AC$173</f>
        <v>-33.135282333510887</v>
      </c>
      <c r="AD109" s="709">
        <f>((SUM('5. Options Benefits'!AI$8:AI$12)+SUM('5. Options Benefits'!AI$17:AI$17))*-1)*AD$173</f>
        <v>-33.969204301270246</v>
      </c>
      <c r="AE109" s="709">
        <f>((SUM('5. Options Benefits'!AJ$8:AJ$12)+SUM('5. Options Benefits'!AJ$17:AJ$17))*-1)*AE$173</f>
        <v>-34.791476035672439</v>
      </c>
      <c r="AF109" s="709">
        <f>((SUM('5. Options Benefits'!AK$8:AK$12)+SUM('5. Options Benefits'!AK$17:AK$17))*-1)*AF$173</f>
        <v>-35.598985039048252</v>
      </c>
      <c r="AG109" s="709">
        <f>((SUM('5. Options Benefits'!AL$8:AL$12)+SUM('5. Options Benefits'!AL$17:AL$17))*-1)*AG$173</f>
        <v>-36.310793277171172</v>
      </c>
      <c r="AH109" s="709">
        <f>((SUM('5. Options Benefits'!AM$8:AM$12)+SUM('5. Options Benefits'!AM$17:AM$17))*-1)*AH$173</f>
        <v>-37.152944614776899</v>
      </c>
      <c r="AI109" s="709">
        <f>((SUM('5. Options Benefits'!AN$8:AN$12)+SUM('5. Options Benefits'!AN$17:AN$17))*-1)*AI$173</f>
        <v>-38.00277776302341</v>
      </c>
      <c r="AJ109" s="709">
        <f>((SUM('5. Options Benefits'!AO$8:AO$12)+SUM('5. Options Benefits'!AO$17:AO$17))*-1)*AJ$173</f>
        <v>-38.853878514325402</v>
      </c>
      <c r="AK109" s="709">
        <f>((SUM('5. Options Benefits'!AP$8:AP$12)+SUM('5. Options Benefits'!AP$17:AP$17))*-1)*AK$173</f>
        <v>-39.704571540408722</v>
      </c>
      <c r="AL109" s="709">
        <f>((SUM('5. Options Benefits'!AQ$8:AQ$12)+SUM('5. Options Benefits'!AQ$17:AQ$17))*-1)*AL$173</f>
        <v>-40.539486033442465</v>
      </c>
      <c r="AM109" s="709">
        <f>((SUM('5. Options Benefits'!AR$8:AR$12)+SUM('5. Options Benefits'!AR$17:AR$17))*-1)*AM$173</f>
        <v>-41.344183032636565</v>
      </c>
      <c r="AN109" s="709">
        <f>((SUM('5. Options Benefits'!AS$8:AS$12)+SUM('5. Options Benefits'!AS$17:AS$17))*-1)*AN$173</f>
        <v>-42.14089806436975</v>
      </c>
      <c r="AO109" s="709">
        <f>((SUM('5. Options Benefits'!AT$8:AT$12)+SUM('5. Options Benefits'!AT$17:AT$17))*-1)*AO$173</f>
        <v>-42.939843177708511</v>
      </c>
      <c r="AP109" s="709">
        <f>((SUM('5. Options Benefits'!AU$8:AU$12)+SUM('5. Options Benefits'!AU$17:AU$17))*-1)*AP$173</f>
        <v>-43.728030215736069</v>
      </c>
      <c r="AQ109" s="709">
        <f>((SUM('5. Options Benefits'!AV$8:AV$12)+SUM('5. Options Benefits'!AV$17:AV$17))*-1)*AQ$173</f>
        <v>-41.93269616851947</v>
      </c>
      <c r="AR109" s="709">
        <f>((SUM('5. Options Benefits'!AW$8:AW$12)+SUM('5. Options Benefits'!AW$17:AW$17))*-1)*AR$173</f>
        <v>-39.82483297831088</v>
      </c>
      <c r="AS109" s="709">
        <f>((SUM('5. Options Benefits'!AX$8:AX$12)+SUM('5. Options Benefits'!AX$17:AX$17))*-1)*AS$173</f>
        <v>-39.973355142011592</v>
      </c>
      <c r="AT109" s="709">
        <f>((SUM('5. Options Benefits'!AY$8:AY$12)+SUM('5. Options Benefits'!AY$17:AY$17))*-1)*AT$173</f>
        <v>-40.065571786708567</v>
      </c>
      <c r="AU109" s="709">
        <f>((SUM('5. Options Benefits'!AZ$8:AZ$12)+SUM('5. Options Benefits'!AZ$17:AZ$17))*-1)*AU$173</f>
        <v>-40.102378449366746</v>
      </c>
      <c r="AV109" s="709">
        <f>((SUM('5. Options Benefits'!BA$8:BA$12)+SUM('5. Options Benefits'!BA$17:BA$17))*-1)*AV$173</f>
        <v>-40.138440724700651</v>
      </c>
      <c r="AW109" s="709">
        <f>((SUM('5. Options Benefits'!BB$8:BB$12)+SUM('5. Options Benefits'!BB$17:BB$17))*-1)*AW$173</f>
        <v>-40.177088800868233</v>
      </c>
      <c r="AX109" s="709">
        <f>((SUM('5. Options Benefits'!BC$8:BC$12)+SUM('5. Options Benefits'!BC$17:BC$17))*-1)*AX$173</f>
        <v>-40.217109280254377</v>
      </c>
      <c r="AY109" s="709">
        <f>((SUM('5. Options Benefits'!BD$8:BD$12)+SUM('5. Options Benefits'!BD$17:BD$17))*-1)*AY$173</f>
        <v>-40.265494958612734</v>
      </c>
      <c r="AZ109" s="709">
        <f>((SUM('5. Options Benefits'!BE$8:BE$12)+SUM('5. Options Benefits'!BE$17:BE$17))*-1)*AZ$173</f>
        <v>-40.325124129005225</v>
      </c>
      <c r="BA109" s="709">
        <f>((SUM('5. Options Benefits'!BF$8:BF$12)+SUM('5. Options Benefits'!BF$17:BF$17))*-1)*BA$173</f>
        <v>-40.38348525152233</v>
      </c>
      <c r="BB109" s="709">
        <f>((SUM('5. Options Benefits'!BG$8:BG$12)+SUM('5. Options Benefits'!BG$17:BG$17))*-1)*BB$173</f>
        <v>-40.443387613015894</v>
      </c>
      <c r="BC109" s="709">
        <f>((SUM('5. Options Benefits'!BH$8:BH$12)+SUM('5. Options Benefits'!BH$17:BH$17))*-1)*BC$173</f>
        <v>-40.503159723456996</v>
      </c>
      <c r="BD109" s="709">
        <f>((SUM('5. Options Benefits'!BI$8:BI$12)+SUM('5. Options Benefits'!BI$17:BI$17))*-1)*BD$173</f>
        <v>-40.561150068501973</v>
      </c>
      <c r="BE109" s="709">
        <f>((SUM('5. Options Benefits'!BJ$8:BJ$12)+SUM('5. Options Benefits'!BJ$17:BJ$17))*-1)*BE$173</f>
        <v>-40.620674742764727</v>
      </c>
      <c r="BF109" s="709">
        <f>((SUM('5. Options Benefits'!BK$8:BK$12)+SUM('5. Options Benefits'!BK$17:BK$17))*-1)*BF$173</f>
        <v>-40.680598716641001</v>
      </c>
      <c r="BG109" s="709">
        <f>((SUM('5. Options Benefits'!BL$8:BL$12)+SUM('5. Options Benefits'!BL$17:BL$17))*-1)*BG$173</f>
        <v>-40.738225764159345</v>
      </c>
      <c r="BH109" s="709">
        <f>((SUM('5. Options Benefits'!BM$8:BM$12)+SUM('5. Options Benefits'!BM$17:BM$17))*-1)*BH$173</f>
        <v>-40.796855908076985</v>
      </c>
      <c r="BI109" s="709">
        <f>((SUM('5. Options Benefits'!BN$8:BN$12)+SUM('5. Options Benefits'!BN$17:BN$17))*-1)*BI$173</f>
        <v>-40.856416019555155</v>
      </c>
      <c r="BJ109" s="709">
        <f>((SUM('5. Options Benefits'!BO$8:BO$12)+SUM('5. Options Benefits'!BO$17:BO$17))*-1)*BJ$173</f>
        <v>-40.913694017454787</v>
      </c>
      <c r="BK109" s="709">
        <f>((SUM('5. Options Benefits'!BP$8:BP$12)+SUM('5. Options Benefits'!BP$17:BP$17))*-1)*BK$173</f>
        <v>-40.971969808183708</v>
      </c>
      <c r="BL109" s="709">
        <f>((SUM('5. Options Benefits'!BQ$8:BQ$12)+SUM('5. Options Benefits'!BQ$17:BQ$17))*-1)*BL$173</f>
        <v>-41.029025567070931</v>
      </c>
      <c r="BM109" s="709">
        <f>((SUM('5. Options Benefits'!BR$8:BR$12)+SUM('5. Options Benefits'!BR$17:BR$17))*-1)*BM$173</f>
        <v>-41.087601366026938</v>
      </c>
      <c r="BN109" s="709">
        <f>((SUM('5. Options Benefits'!BS$8:BS$12)+SUM('5. Options Benefits'!BS$17:BS$17))*-1)*BN$173</f>
        <v>-41.146058072775318</v>
      </c>
      <c r="BO109" s="709">
        <f>((SUM('5. Options Benefits'!BT$8:BT$12)+SUM('5. Options Benefits'!BT$17:BT$17))*-1)*BO$173</f>
        <v>-41.202783085920302</v>
      </c>
      <c r="BP109" s="709"/>
      <c r="BQ109" s="709"/>
      <c r="BR109" s="709"/>
      <c r="BS109" s="709"/>
      <c r="BT109" s="709"/>
      <c r="BU109" s="709"/>
      <c r="BV109" s="709"/>
      <c r="BW109" s="709"/>
      <c r="BX109" s="709"/>
      <c r="BY109" s="709"/>
      <c r="BZ109" s="709"/>
      <c r="CA109" s="709"/>
      <c r="CB109" s="709"/>
      <c r="CC109" s="709"/>
      <c r="CD109" s="709"/>
      <c r="CE109" s="709"/>
      <c r="CF109" s="709"/>
      <c r="CG109" s="709"/>
      <c r="CH109" s="709"/>
      <c r="CI109" s="710"/>
    </row>
    <row r="110" spans="2:87" ht="41.4" x14ac:dyDescent="0.25">
      <c r="B110" s="734" t="s">
        <v>561</v>
      </c>
      <c r="C110" s="735" t="s">
        <v>562</v>
      </c>
      <c r="D110" s="736" t="s">
        <v>563</v>
      </c>
      <c r="E110" s="735" t="s">
        <v>146</v>
      </c>
      <c r="F110" s="737">
        <v>2</v>
      </c>
      <c r="G110" s="714"/>
      <c r="H110" s="715"/>
      <c r="I110" s="715"/>
      <c r="J110" s="715"/>
      <c r="K110" s="715"/>
      <c r="L110" s="715"/>
      <c r="M110" s="709">
        <f>((SUM('5. Options Benefits'!R$8:R$12)+SUM('5. Options Benefits'!R$17:R$17))*-1)*(1-M$173)</f>
        <v>-0.20181125429638996</v>
      </c>
      <c r="N110" s="709">
        <f>((SUM('5. Options Benefits'!S$8:S$12)+SUM('5. Options Benefits'!S$17:S$17))*-1)*(1-N$173)</f>
        <v>-0.7083567319345222</v>
      </c>
      <c r="O110" s="709">
        <f>((SUM('5. Options Benefits'!T$8:T$12)+SUM('5. Options Benefits'!T$17:T$17))*-1)*(1-O$173)</f>
        <v>-1.1408232450509272</v>
      </c>
      <c r="P110" s="709">
        <f>((SUM('5. Options Benefits'!U$8:U$12)+SUM('5. Options Benefits'!U$17:U$17))*-1)*(1-P$173)</f>
        <v>-1.5057187149775886</v>
      </c>
      <c r="Q110" s="709">
        <f>((SUM('5. Options Benefits'!V$8:V$12)+SUM('5. Options Benefits'!V$17:V$17))*-1)*(1-Q$173)</f>
        <v>-1.8097344690396311</v>
      </c>
      <c r="R110" s="709">
        <f>((SUM('5. Options Benefits'!W$8:W$12)+SUM('5. Options Benefits'!W$17:W$17))*-1)*(1-R$173)</f>
        <v>-2.4843038708144376</v>
      </c>
      <c r="S110" s="709">
        <f>((SUM('5. Options Benefits'!X$8:X$12)+SUM('5. Options Benefits'!X$17:X$17))*-1)*(1-S$173)</f>
        <v>-3.0765099609265589</v>
      </c>
      <c r="T110" s="709">
        <f>((SUM('5. Options Benefits'!Y$8:Y$12)+SUM('5. Options Benefits'!Y$17:Y$17))*-1)*(1-T$173)</f>
        <v>-3.2225555472649421</v>
      </c>
      <c r="U110" s="709">
        <f>((SUM('5. Options Benefits'!Z$8:Z$12)+SUM('5. Options Benefits'!Z$17:Z$17))*-1)*(1-U$173)</f>
        <v>-3.3214084463917883</v>
      </c>
      <c r="V110" s="709">
        <f>((SUM('5. Options Benefits'!AA$8:AA$12)+SUM('5. Options Benefits'!AA$17:AA$17))*-1)*(1-V$173)</f>
        <v>-3.3794672560815835</v>
      </c>
      <c r="W110" s="709">
        <f>((SUM('5. Options Benefits'!AB$8:AB$12)+SUM('5. Options Benefits'!AB$17:AB$17))*-1)*(1-W$173)</f>
        <v>-3.2976280019735951</v>
      </c>
      <c r="X110" s="709">
        <f>((SUM('5. Options Benefits'!AC$8:AC$12)+SUM('5. Options Benefits'!AC$17:AC$17))*-1)*(1-X$173)</f>
        <v>-3.1969532916427266</v>
      </c>
      <c r="Y110" s="709">
        <f>((SUM('5. Options Benefits'!AD$8:AD$12)+SUM('5. Options Benefits'!AD$17:AD$17))*-1)*(1-Y$173)</f>
        <v>-3.0814406072607348</v>
      </c>
      <c r="Z110" s="709">
        <f>((SUM('5. Options Benefits'!AE$8:AE$12)+SUM('5. Options Benefits'!AE$17:AE$17))*-1)*(1-Z$173)</f>
        <v>-2.9532130650258832</v>
      </c>
      <c r="AA110" s="709">
        <f>((SUM('5. Options Benefits'!AF$8:AF$12)+SUM('5. Options Benefits'!AF$17:AF$17))*-1)*(1-AA$173)</f>
        <v>-2.8138943145824529</v>
      </c>
      <c r="AB110" s="709">
        <f>((SUM('5. Options Benefits'!AG$8:AG$12)+SUM('5. Options Benefits'!AG$17:AG$17))*-1)*(1-AB$173)</f>
        <v>-2.6352554678725078</v>
      </c>
      <c r="AC110" s="709">
        <f>((SUM('5. Options Benefits'!AH$8:AH$12)+SUM('5. Options Benefits'!AH$17:AH$17))*-1)*(1-AC$173)</f>
        <v>-2.430381446304402</v>
      </c>
      <c r="AD110" s="709">
        <f>((SUM('5. Options Benefits'!AI$8:AI$12)+SUM('5. Options Benefits'!AI$17:AI$17))*-1)*(1-AD$173)</f>
        <v>-2.2284050922713252</v>
      </c>
      <c r="AE110" s="709">
        <f>((SUM('5. Options Benefits'!AJ$8:AJ$12)+SUM('5. Options Benefits'!AJ$17:AJ$17))*-1)*(1-AE$173)</f>
        <v>-2.0307855966504031</v>
      </c>
      <c r="AF110" s="709">
        <f>((SUM('5. Options Benefits'!AK$8:AK$12)+SUM('5. Options Benefits'!AK$17:AK$17))*-1)*(1-AF$173)</f>
        <v>-1.8371674502131754</v>
      </c>
      <c r="AG110" s="709">
        <f>((SUM('5. Options Benefits'!AL$8:AL$12)+SUM('5. Options Benefits'!AL$17:AL$17))*-1)*(1-AG$173)</f>
        <v>-1.8624608634904976</v>
      </c>
      <c r="AH110" s="709">
        <f>((SUM('5. Options Benefits'!AM$8:AM$12)+SUM('5. Options Benefits'!AM$17:AM$17))*-1)*(1-AH$173)</f>
        <v>-1.8944116450779338</v>
      </c>
      <c r="AI110" s="709">
        <f>((SUM('5. Options Benefits'!AN$8:AN$12)+SUM('5. Options Benefits'!AN$17:AN$17))*-1)*(1-AI$173)</f>
        <v>-1.9260541380713474</v>
      </c>
      <c r="AJ110" s="709">
        <f>((SUM('5. Options Benefits'!AO$8:AO$12)+SUM('5. Options Benefits'!AO$17:AO$17))*-1)*(1-AJ$173)</f>
        <v>-1.9573809913399176</v>
      </c>
      <c r="AK110" s="709">
        <f>((SUM('5. Options Benefits'!AP$8:AP$12)+SUM('5. Options Benefits'!AP$17:AP$17))*-1)*(1-AK$173)</f>
        <v>-1.9886432346717167</v>
      </c>
      <c r="AL110" s="709">
        <f>((SUM('5. Options Benefits'!AQ$8:AQ$12)+SUM('5. Options Benefits'!AQ$17:AQ$17))*-1)*(1-AL$173)</f>
        <v>-2.0184270839869951</v>
      </c>
      <c r="AM110" s="709">
        <f>((SUM('5. Options Benefits'!AR$8:AR$12)+SUM('5. Options Benefits'!AR$17:AR$17))*-1)*(1-AM$173)</f>
        <v>-2.0463643410673686</v>
      </c>
      <c r="AN110" s="709">
        <f>((SUM('5. Options Benefits'!AS$8:AS$12)+SUM('5. Options Benefits'!AS$17:AS$17))*-1)*(1-AN$173)</f>
        <v>-2.0739189964413578</v>
      </c>
      <c r="AO110" s="709">
        <f>((SUM('5. Options Benefits'!AT$8:AT$12)+SUM('5. Options Benefits'!AT$17:AT$17))*-1)*(1-AO$173)</f>
        <v>-2.1009307524093273</v>
      </c>
      <c r="AP110" s="709">
        <f>((SUM('5. Options Benefits'!AU$8:AU$12)+SUM('5. Options Benefits'!AU$17:AU$17))*-1)*(1-AP$173)</f>
        <v>-2.1271063821909504</v>
      </c>
      <c r="AQ110" s="709">
        <f>((SUM('5. Options Benefits'!AV$8:AV$12)+SUM('5. Options Benefits'!AV$17:AV$17))*-1)*(1-AQ$173)</f>
        <v>-2.0283556783634382</v>
      </c>
      <c r="AR110" s="709">
        <f>((SUM('5. Options Benefits'!AW$8:AW$12)+SUM('5. Options Benefits'!AW$17:AW$17))*-1)*(1-AR$173)</f>
        <v>-1.9153663667219181</v>
      </c>
      <c r="AS110" s="709">
        <f>((SUM('5. Options Benefits'!AX$8:AX$12)+SUM('5. Options Benefits'!AX$17:AX$17))*-1)*(1-AS$173)</f>
        <v>-1.9118683112922965</v>
      </c>
      <c r="AT110" s="709">
        <f>((SUM('5. Options Benefits'!AY$8:AY$12)+SUM('5. Options Benefits'!AY$17:AY$17))*-1)*(1-AT$173)</f>
        <v>-1.9054309036144956</v>
      </c>
      <c r="AU110" s="709">
        <f>((SUM('5. Options Benefits'!AZ$8:AZ$12)+SUM('5. Options Benefits'!AZ$17:AZ$17))*-1)*(1-AU$173)</f>
        <v>-1.8964456258277</v>
      </c>
      <c r="AV110" s="709">
        <f>((SUM('5. Options Benefits'!BA$8:BA$12)+SUM('5. Options Benefits'!BA$17:BA$17))*-1)*(1-AV$173)</f>
        <v>-1.8878194694833494</v>
      </c>
      <c r="AW110" s="709">
        <f>((SUM('5. Options Benefits'!BB$8:BB$12)+SUM('5. Options Benefits'!BB$17:BB$17))*-1)*(1-AW$173)</f>
        <v>-1.8791170221381828</v>
      </c>
      <c r="AX110" s="709">
        <f>((SUM('5. Options Benefits'!BC$8:BC$12)+SUM('5. Options Benefits'!BC$17:BC$17))*-1)*(1-AX$173)</f>
        <v>-1.87057476963354</v>
      </c>
      <c r="AY110" s="709">
        <f>((SUM('5. Options Benefits'!BD$8:BD$12)+SUM('5. Options Benefits'!BD$17:BD$17))*-1)*(1-AY$173)</f>
        <v>-1.8627984275245819</v>
      </c>
      <c r="AZ110" s="709">
        <f>((SUM('5. Options Benefits'!BE$8:BE$12)+SUM('5. Options Benefits'!BE$17:BE$17))*-1)*(1-AZ$173)</f>
        <v>-1.8553399999915419</v>
      </c>
      <c r="BA110" s="709">
        <f>((SUM('5. Options Benefits'!BF$8:BF$12)+SUM('5. Options Benefits'!BF$17:BF$17))*-1)*(1-BA$173)</f>
        <v>-1.8481844301865695</v>
      </c>
      <c r="BB110" s="709">
        <f>((SUM('5. Options Benefits'!BG$8:BG$12)+SUM('5. Options Benefits'!BG$17:BG$17))*-1)*(1-BB$173)</f>
        <v>-1.8408973178049963</v>
      </c>
      <c r="BC110" s="709">
        <f>((SUM('5. Options Benefits'!BH$8:BH$12)+SUM('5. Options Benefits'!BH$17:BH$17))*-1)*(1-BC$173)</f>
        <v>-1.8336828484205907</v>
      </c>
      <c r="BD110" s="709">
        <f>((SUM('5. Options Benefits'!BI$8:BI$12)+SUM('5. Options Benefits'!BI$17:BI$17))*-1)*(1-BD$173)</f>
        <v>-1.8267374706652704</v>
      </c>
      <c r="BE110" s="709">
        <f>((SUM('5. Options Benefits'!BJ$8:BJ$12)+SUM('5. Options Benefits'!BJ$17:BJ$17))*-1)*(1-BE$173)</f>
        <v>-1.8196632918093143</v>
      </c>
      <c r="BF110" s="709">
        <f>((SUM('5. Options Benefits'!BK$8:BK$12)+SUM('5. Options Benefits'!BK$17:BK$17))*-1)*(1-BF$173)</f>
        <v>-1.8126819481458833</v>
      </c>
      <c r="BG110" s="709">
        <f>((SUM('5. Options Benefits'!BL$8:BL$12)+SUM('5. Options Benefits'!BL$17:BL$17))*-1)*(1-BG$173)</f>
        <v>-1.8059371341093218</v>
      </c>
      <c r="BH110" s="709">
        <f>((SUM('5. Options Benefits'!BM$8:BM$12)+SUM('5. Options Benefits'!BM$17:BM$17))*-1)*(1-BH$173)</f>
        <v>-1.7990430589155235</v>
      </c>
      <c r="BI110" s="709">
        <f>((SUM('5. Options Benefits'!BN$8:BN$12)+SUM('5. Options Benefits'!BN$17:BN$17))*-1)*(1-BI$173)</f>
        <v>-1.7922617762103943</v>
      </c>
      <c r="BJ110" s="709">
        <f>((SUM('5. Options Benefits'!BO$8:BO$12)+SUM('5. Options Benefits'!BO$17:BO$17))*-1)*(1-BJ$173)</f>
        <v>-1.7857090204507531</v>
      </c>
      <c r="BK110" s="709">
        <f>((SUM('5. Options Benefits'!BP$8:BP$12)+SUM('5. Options Benefits'!BP$17:BP$17))*-1)*(1-BK$173)</f>
        <v>-1.7790100125682202</v>
      </c>
      <c r="BL110" s="709">
        <f>((SUM('5. Options Benefits'!BQ$8:BQ$12)+SUM('5. Options Benefits'!BQ$17:BQ$17))*-1)*(1-BL$173)</f>
        <v>-1.7725803715496502</v>
      </c>
      <c r="BM110" s="709">
        <f>((SUM('5. Options Benefits'!BR$8:BR$12)+SUM('5. Options Benefits'!BR$17:BR$17))*-1)*(1-BM$173)</f>
        <v>-1.766029024965041</v>
      </c>
      <c r="BN110" s="709">
        <f>((SUM('5. Options Benefits'!BS$8:BS$12)+SUM('5. Options Benefits'!BS$17:BS$17))*-1)*(1-BN$173)</f>
        <v>-1.7595392816902933</v>
      </c>
      <c r="BO110" s="709">
        <f>((SUM('5. Options Benefits'!BT$8:BT$12)+SUM('5. Options Benefits'!BT$17:BT$17))*-1)*(1-BO$173)</f>
        <v>-1.7532882474108273</v>
      </c>
      <c r="BP110" s="709"/>
      <c r="BQ110" s="709"/>
      <c r="BR110" s="709"/>
      <c r="BS110" s="709"/>
      <c r="BT110" s="709"/>
      <c r="BU110" s="709"/>
      <c r="BV110" s="709"/>
      <c r="BW110" s="709"/>
      <c r="BX110" s="709"/>
      <c r="BY110" s="709"/>
      <c r="BZ110" s="709"/>
      <c r="CA110" s="709"/>
      <c r="CB110" s="709"/>
      <c r="CC110" s="709"/>
      <c r="CD110" s="709"/>
      <c r="CE110" s="709"/>
      <c r="CF110" s="709"/>
      <c r="CG110" s="709"/>
      <c r="CH110" s="709"/>
      <c r="CI110" s="710"/>
    </row>
    <row r="111" spans="2:87" x14ac:dyDescent="0.25">
      <c r="B111" s="734" t="s">
        <v>564</v>
      </c>
      <c r="C111" s="735" t="s">
        <v>565</v>
      </c>
      <c r="D111" s="736" t="s">
        <v>566</v>
      </c>
      <c r="E111" s="735" t="s">
        <v>146</v>
      </c>
      <c r="F111" s="737">
        <v>2</v>
      </c>
      <c r="G111" s="714"/>
      <c r="H111" s="715"/>
      <c r="I111" s="715"/>
      <c r="J111" s="715"/>
      <c r="K111" s="715"/>
      <c r="L111" s="715"/>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10"/>
    </row>
    <row r="112" spans="2:87" ht="28.2" thickBot="1" x14ac:dyDescent="0.3">
      <c r="B112" s="738" t="s">
        <v>567</v>
      </c>
      <c r="C112" s="739" t="s">
        <v>568</v>
      </c>
      <c r="D112" s="739" t="s">
        <v>569</v>
      </c>
      <c r="E112" s="739" t="s">
        <v>146</v>
      </c>
      <c r="F112" s="740">
        <v>2</v>
      </c>
      <c r="G112" s="741"/>
      <c r="H112" s="742"/>
      <c r="I112" s="742"/>
      <c r="J112" s="742"/>
      <c r="K112" s="742"/>
      <c r="L112" s="742"/>
      <c r="M112" s="743"/>
      <c r="N112" s="743"/>
      <c r="O112" s="743"/>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c r="AT112" s="743"/>
      <c r="AU112" s="743"/>
      <c r="AV112" s="743"/>
      <c r="AW112" s="743"/>
      <c r="AX112" s="743"/>
      <c r="AY112" s="743"/>
      <c r="AZ112" s="743"/>
      <c r="BA112" s="743"/>
      <c r="BB112" s="743"/>
      <c r="BC112" s="743"/>
      <c r="BD112" s="743"/>
      <c r="BE112" s="743"/>
      <c r="BF112" s="743"/>
      <c r="BG112" s="743"/>
      <c r="BH112" s="743"/>
      <c r="BI112" s="743"/>
      <c r="BJ112" s="743"/>
      <c r="BK112" s="743"/>
      <c r="BL112" s="743"/>
      <c r="BM112" s="743"/>
      <c r="BN112" s="743"/>
      <c r="BO112" s="743"/>
      <c r="BP112" s="743"/>
      <c r="BQ112" s="743"/>
      <c r="BR112" s="743"/>
      <c r="BS112" s="743"/>
      <c r="BT112" s="743"/>
      <c r="BU112" s="743"/>
      <c r="BV112" s="743"/>
      <c r="BW112" s="743"/>
      <c r="BX112" s="743"/>
      <c r="BY112" s="743"/>
      <c r="BZ112" s="743"/>
      <c r="CA112" s="743"/>
      <c r="CB112" s="743"/>
      <c r="CC112" s="743"/>
      <c r="CD112" s="743"/>
      <c r="CE112" s="743"/>
      <c r="CF112" s="743"/>
      <c r="CG112" s="743"/>
      <c r="CH112" s="743"/>
      <c r="CI112" s="744"/>
    </row>
    <row r="113" spans="2:89" ht="27.6" x14ac:dyDescent="0.25">
      <c r="B113" s="745" t="s">
        <v>570</v>
      </c>
      <c r="C113" s="746" t="s">
        <v>571</v>
      </c>
      <c r="D113" s="747" t="s">
        <v>572</v>
      </c>
      <c r="E113" s="746" t="s">
        <v>146</v>
      </c>
      <c r="F113" s="748">
        <v>2</v>
      </c>
      <c r="G113" s="706"/>
      <c r="H113" s="707"/>
      <c r="I113" s="707"/>
      <c r="J113" s="707"/>
      <c r="K113" s="707"/>
      <c r="L113" s="707"/>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c r="AO113" s="708"/>
      <c r="AP113" s="708"/>
      <c r="AQ113" s="708"/>
      <c r="AR113" s="708"/>
      <c r="AS113" s="708"/>
      <c r="AT113" s="708"/>
      <c r="AU113" s="708"/>
      <c r="AV113" s="708"/>
      <c r="AW113" s="708"/>
      <c r="AX113" s="708"/>
      <c r="AY113" s="708"/>
      <c r="AZ113" s="708"/>
      <c r="BA113" s="708"/>
      <c r="BB113" s="708"/>
      <c r="BC113" s="708"/>
      <c r="BD113" s="708"/>
      <c r="BE113" s="708"/>
      <c r="BF113" s="708"/>
      <c r="BG113" s="708"/>
      <c r="BH113" s="708"/>
      <c r="BI113" s="708"/>
      <c r="BJ113" s="708"/>
      <c r="BK113" s="708"/>
      <c r="BL113" s="708"/>
      <c r="BM113" s="708"/>
      <c r="BN113" s="708"/>
      <c r="BO113" s="708"/>
      <c r="BP113" s="708"/>
      <c r="BQ113" s="708"/>
      <c r="BR113" s="708"/>
      <c r="BS113" s="708"/>
      <c r="BT113" s="708"/>
      <c r="BU113" s="708"/>
      <c r="BV113" s="708"/>
      <c r="BW113" s="708"/>
      <c r="BX113" s="708"/>
      <c r="BY113" s="708"/>
      <c r="BZ113" s="708"/>
      <c r="CA113" s="708"/>
      <c r="CB113" s="708"/>
      <c r="CC113" s="708"/>
      <c r="CD113" s="708"/>
      <c r="CE113" s="708"/>
      <c r="CF113" s="708"/>
      <c r="CG113" s="708"/>
      <c r="CH113" s="708"/>
      <c r="CI113" s="733"/>
    </row>
    <row r="114" spans="2:89" ht="27.6" x14ac:dyDescent="0.25">
      <c r="B114" s="718" t="s">
        <v>573</v>
      </c>
      <c r="C114" s="719" t="s">
        <v>574</v>
      </c>
      <c r="D114" s="720" t="s">
        <v>575</v>
      </c>
      <c r="E114" s="719" t="s">
        <v>146</v>
      </c>
      <c r="F114" s="721">
        <v>2</v>
      </c>
      <c r="G114" s="714"/>
      <c r="H114" s="715"/>
      <c r="I114" s="715"/>
      <c r="J114" s="715"/>
      <c r="K114" s="715"/>
      <c r="L114" s="715"/>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10"/>
    </row>
    <row r="115" spans="2:89" ht="27.6" x14ac:dyDescent="0.25">
      <c r="B115" s="718" t="s">
        <v>576</v>
      </c>
      <c r="C115" s="719" t="s">
        <v>577</v>
      </c>
      <c r="D115" s="720" t="s">
        <v>578</v>
      </c>
      <c r="E115" s="719" t="s">
        <v>146</v>
      </c>
      <c r="F115" s="721">
        <v>2</v>
      </c>
      <c r="G115" s="714"/>
      <c r="H115" s="715"/>
      <c r="I115" s="715"/>
      <c r="J115" s="715"/>
      <c r="K115" s="715"/>
      <c r="L115" s="715"/>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10"/>
    </row>
    <row r="116" spans="2:89" ht="27.6" x14ac:dyDescent="0.25">
      <c r="B116" s="718" t="s">
        <v>579</v>
      </c>
      <c r="C116" s="719" t="s">
        <v>580</v>
      </c>
      <c r="D116" s="720" t="s">
        <v>581</v>
      </c>
      <c r="E116" s="719" t="s">
        <v>146</v>
      </c>
      <c r="F116" s="721">
        <v>2</v>
      </c>
      <c r="G116" s="714"/>
      <c r="H116" s="715"/>
      <c r="I116" s="715"/>
      <c r="J116" s="715"/>
      <c r="K116" s="715"/>
      <c r="L116" s="715"/>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10"/>
    </row>
    <row r="117" spans="2:89" ht="27.6" x14ac:dyDescent="0.25">
      <c r="B117" s="718" t="s">
        <v>582</v>
      </c>
      <c r="C117" s="719" t="s">
        <v>583</v>
      </c>
      <c r="D117" s="720" t="s">
        <v>584</v>
      </c>
      <c r="E117" s="719" t="s">
        <v>146</v>
      </c>
      <c r="F117" s="721">
        <v>2</v>
      </c>
      <c r="G117" s="714"/>
      <c r="H117" s="715"/>
      <c r="I117" s="715"/>
      <c r="J117" s="715"/>
      <c r="K117" s="715"/>
      <c r="L117" s="715"/>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10"/>
    </row>
    <row r="118" spans="2:89" x14ac:dyDescent="0.25">
      <c r="B118" s="749" t="s">
        <v>585</v>
      </c>
      <c r="C118" s="750" t="s">
        <v>586</v>
      </c>
      <c r="D118" s="750" t="s">
        <v>587</v>
      </c>
      <c r="E118" s="750" t="s">
        <v>146</v>
      </c>
      <c r="F118" s="751">
        <v>2</v>
      </c>
      <c r="G118" s="741"/>
      <c r="H118" s="742"/>
      <c r="I118" s="742"/>
      <c r="J118" s="742"/>
      <c r="K118" s="742"/>
      <c r="L118" s="742"/>
      <c r="M118" s="743">
        <f>'5. Options Benefits'!R$6*-1</f>
        <v>-0.11816332519755564</v>
      </c>
      <c r="N118" s="743">
        <f>'5. Options Benefits'!S$6*-1</f>
        <v>-0.76917863108668938</v>
      </c>
      <c r="O118" s="743">
        <f>'5. Options Benefits'!T$6*-1</f>
        <v>-1.451219970315992</v>
      </c>
      <c r="P118" s="743">
        <f>'5. Options Benefits'!U$6*-1</f>
        <v>-1.9302609665400456</v>
      </c>
      <c r="Q118" s="743">
        <f>'5. Options Benefits'!V$6*-1</f>
        <v>-2.3732168856927491</v>
      </c>
      <c r="R118" s="743">
        <f>'5. Options Benefits'!W$6*-1</f>
        <v>-2.9474803133962326</v>
      </c>
      <c r="S118" s="743">
        <f>'5. Options Benefits'!X$6*-1</f>
        <v>-3.5204560331108556</v>
      </c>
      <c r="T118" s="743">
        <f>'5. Options Benefits'!Y$6*-1</f>
        <v>-4.4431115933794869</v>
      </c>
      <c r="U118" s="743">
        <f>'5. Options Benefits'!Z$6*-1</f>
        <v>-5.1196349878965526</v>
      </c>
      <c r="V118" s="743">
        <f>'5. Options Benefits'!AA$6*-1</f>
        <v>-5.7799628589170382</v>
      </c>
      <c r="W118" s="743">
        <f>'5. Options Benefits'!AB$6*-1</f>
        <v>-6.2410728674324059</v>
      </c>
      <c r="X118" s="743">
        <f>'5. Options Benefits'!AC$6*-1</f>
        <v>-6.5245793932012344</v>
      </c>
      <c r="Y118" s="743">
        <f>'5. Options Benefits'!AD$6*-1</f>
        <v>-6.8656539202900104</v>
      </c>
      <c r="Z118" s="743">
        <f>'5. Options Benefits'!AE$6*-1</f>
        <v>-7.167416250705176</v>
      </c>
      <c r="AA118" s="743">
        <f>'5. Options Benefits'!AF$6*-1</f>
        <v>-7.6170462291997616</v>
      </c>
      <c r="AB118" s="743">
        <f>'5. Options Benefits'!AG$6*-1</f>
        <v>-7.8762584860039819</v>
      </c>
      <c r="AC118" s="743">
        <f>'5. Options Benefits'!AH$6*-1</f>
        <v>-8.0959845950602016</v>
      </c>
      <c r="AD118" s="743">
        <f>'5. Options Benefits'!AI$6*-1</f>
        <v>-8.2083231038079489</v>
      </c>
      <c r="AE118" s="743">
        <f>'5. Options Benefits'!AJ$6*-1</f>
        <v>-8.3976063523161528</v>
      </c>
      <c r="AF118" s="743">
        <f>'5. Options Benefits'!AK$6*-1</f>
        <v>-8.6457380598996068</v>
      </c>
      <c r="AG118" s="743">
        <f>'5. Options Benefits'!AL$6*-1</f>
        <v>-8.7916537210517376</v>
      </c>
      <c r="AH118" s="743">
        <f>'5. Options Benefits'!AM$6*-1</f>
        <v>-8.9751290556285941</v>
      </c>
      <c r="AI118" s="743">
        <f>'5. Options Benefits'!AN$6*-1</f>
        <v>-9.2092751863506184</v>
      </c>
      <c r="AJ118" s="743">
        <f>'5. Options Benefits'!AO$6*-1</f>
        <v>-9.5421329111757469</v>
      </c>
      <c r="AK118" s="743">
        <f>'5. Options Benefits'!AP$6*-1</f>
        <v>-9.8866183552152496</v>
      </c>
      <c r="AL118" s="743">
        <f>'5. Options Benefits'!AQ$6*-1</f>
        <v>-9.8866183552152496</v>
      </c>
      <c r="AM118" s="743">
        <f>'5. Options Benefits'!AR$6*-1</f>
        <v>-9.8866183552152496</v>
      </c>
      <c r="AN118" s="743">
        <f>'5. Options Benefits'!AS$6*-1</f>
        <v>-9.8866183552152496</v>
      </c>
      <c r="AO118" s="743">
        <f>'5. Options Benefits'!AT$6*-1</f>
        <v>-9.8866183552152496</v>
      </c>
      <c r="AP118" s="743">
        <f>'5. Options Benefits'!AU$6*-1</f>
        <v>-9.8866183552152496</v>
      </c>
      <c r="AQ118" s="743">
        <f>'5. Options Benefits'!AV$6*-1</f>
        <v>-9.8866183552152496</v>
      </c>
      <c r="AR118" s="743">
        <f>'5. Options Benefits'!AW$6*-1</f>
        <v>-9.8866183552152496</v>
      </c>
      <c r="AS118" s="743">
        <f>'5. Options Benefits'!AX$6*-1</f>
        <v>-9.8866183552152496</v>
      </c>
      <c r="AT118" s="743">
        <f>'5. Options Benefits'!AY$6*-1</f>
        <v>-9.8866183552152496</v>
      </c>
      <c r="AU118" s="743">
        <f>'5. Options Benefits'!AZ$6*-1</f>
        <v>-9.8866183552152496</v>
      </c>
      <c r="AV118" s="743">
        <f>'5. Options Benefits'!BA$6*-1</f>
        <v>-9.8866183552152496</v>
      </c>
      <c r="AW118" s="743">
        <f>'5. Options Benefits'!BB$6*-1</f>
        <v>-9.8866183552152496</v>
      </c>
      <c r="AX118" s="743">
        <f>'5. Options Benefits'!BC$6*-1</f>
        <v>-9.8866183552152496</v>
      </c>
      <c r="AY118" s="743">
        <f>'5. Options Benefits'!BD$6*-1</f>
        <v>-9.8866183552152496</v>
      </c>
      <c r="AZ118" s="743">
        <f>'5. Options Benefits'!BE$6*-1</f>
        <v>-9.8866183552152496</v>
      </c>
      <c r="BA118" s="743">
        <f>'5. Options Benefits'!BF$6*-1</f>
        <v>-9.8866183552152496</v>
      </c>
      <c r="BB118" s="743">
        <f>'5. Options Benefits'!BG$6*-1</f>
        <v>-9.8866183552152496</v>
      </c>
      <c r="BC118" s="743">
        <f>'5. Options Benefits'!BH$6*-1</f>
        <v>-9.8866183552152496</v>
      </c>
      <c r="BD118" s="743">
        <f>'5. Options Benefits'!BI$6*-1</f>
        <v>-9.8866183552152496</v>
      </c>
      <c r="BE118" s="743">
        <f>'5. Options Benefits'!BJ$6*-1</f>
        <v>-9.8866183552152496</v>
      </c>
      <c r="BF118" s="743">
        <f>'5. Options Benefits'!BK$6*-1</f>
        <v>-9.8866183552152496</v>
      </c>
      <c r="BG118" s="743">
        <f>'5. Options Benefits'!BL$6*-1</f>
        <v>-9.8866183552152496</v>
      </c>
      <c r="BH118" s="743">
        <f>'5. Options Benefits'!BM$6*-1</f>
        <v>-9.8866183552152496</v>
      </c>
      <c r="BI118" s="743">
        <f>'5. Options Benefits'!BN$6*-1</f>
        <v>-9.8866183552152496</v>
      </c>
      <c r="BJ118" s="743">
        <f>'5. Options Benefits'!BO$6*-1</f>
        <v>-9.8866183552152496</v>
      </c>
      <c r="BK118" s="743">
        <f>'5. Options Benefits'!BP$6*-1</f>
        <v>-9.8866183552152496</v>
      </c>
      <c r="BL118" s="743">
        <f>'5. Options Benefits'!BQ$6*-1</f>
        <v>-9.8866183552152496</v>
      </c>
      <c r="BM118" s="743">
        <f>'5. Options Benefits'!BR$6*-1</f>
        <v>-9.8866183552152496</v>
      </c>
      <c r="BN118" s="743">
        <f>'5. Options Benefits'!BS$6*-1</f>
        <v>-9.8866183552152496</v>
      </c>
      <c r="BO118" s="743">
        <f>'5. Options Benefits'!BT$6*-1</f>
        <v>-9.8866183552152496</v>
      </c>
      <c r="BP118" s="743"/>
      <c r="BQ118" s="743"/>
      <c r="BR118" s="743"/>
      <c r="BS118" s="743"/>
      <c r="BT118" s="743"/>
      <c r="BU118" s="743"/>
      <c r="BV118" s="743"/>
      <c r="BW118" s="743"/>
      <c r="BX118" s="743"/>
      <c r="BY118" s="743"/>
      <c r="BZ118" s="743"/>
      <c r="CA118" s="743"/>
      <c r="CB118" s="743"/>
      <c r="CC118" s="743"/>
      <c r="CD118" s="743"/>
      <c r="CE118" s="743"/>
      <c r="CF118" s="743"/>
      <c r="CG118" s="743"/>
      <c r="CH118" s="743"/>
      <c r="CI118" s="744"/>
    </row>
    <row r="119" spans="2:89" ht="14.4" thickBot="1" x14ac:dyDescent="0.3">
      <c r="B119" s="752"/>
      <c r="C119" s="752"/>
      <c r="D119" s="752"/>
      <c r="E119" s="752"/>
      <c r="F119" s="695"/>
      <c r="G119" s="696"/>
      <c r="H119" s="696"/>
      <c r="I119" s="696"/>
      <c r="J119" s="696"/>
      <c r="K119" s="696"/>
      <c r="L119" s="696"/>
      <c r="M119" s="696"/>
      <c r="N119" s="696"/>
      <c r="O119" s="696"/>
      <c r="P119" s="696"/>
      <c r="Q119" s="696"/>
      <c r="R119" s="696"/>
      <c r="S119" s="696"/>
      <c r="T119" s="696"/>
      <c r="U119" s="696"/>
      <c r="V119" s="696"/>
      <c r="W119" s="696"/>
      <c r="X119" s="696"/>
      <c r="Y119" s="696"/>
      <c r="Z119" s="696"/>
      <c r="AA119" s="696"/>
      <c r="AB119" s="696"/>
      <c r="AC119" s="696"/>
      <c r="AD119" s="696"/>
      <c r="AE119" s="696"/>
      <c r="AF119" s="696"/>
      <c r="AG119" s="696"/>
      <c r="AH119" s="696"/>
      <c r="AI119" s="696"/>
      <c r="AJ119" s="696"/>
      <c r="AK119" s="696"/>
      <c r="AL119" s="696"/>
      <c r="AM119" s="696"/>
      <c r="AN119" s="696"/>
      <c r="AO119" s="696"/>
      <c r="AP119" s="696"/>
      <c r="AQ119" s="696"/>
      <c r="AR119" s="696"/>
      <c r="AS119" s="696"/>
      <c r="AT119" s="696"/>
      <c r="AU119" s="696"/>
      <c r="AV119" s="696"/>
      <c r="AW119" s="696"/>
      <c r="AX119" s="696"/>
      <c r="AY119" s="696"/>
      <c r="AZ119" s="696"/>
      <c r="BA119" s="696"/>
      <c r="BB119" s="696"/>
      <c r="BC119" s="696"/>
      <c r="BD119" s="696"/>
      <c r="BE119" s="696"/>
      <c r="BF119" s="696"/>
      <c r="BG119" s="696"/>
      <c r="BH119" s="696"/>
      <c r="BI119" s="696"/>
      <c r="BJ119" s="696"/>
      <c r="BK119" s="696"/>
      <c r="BL119" s="696"/>
      <c r="BM119" s="696"/>
      <c r="BN119" s="696"/>
      <c r="BO119" s="696"/>
      <c r="BP119" s="696"/>
      <c r="BQ119" s="696"/>
      <c r="BR119" s="696"/>
      <c r="BS119" s="696"/>
      <c r="BT119" s="696"/>
      <c r="BU119" s="696"/>
      <c r="BV119" s="696"/>
      <c r="BW119" s="696"/>
      <c r="BX119" s="696"/>
      <c r="BY119" s="696"/>
      <c r="BZ119" s="696"/>
      <c r="CA119" s="696"/>
      <c r="CB119" s="696"/>
      <c r="CC119" s="696"/>
      <c r="CD119" s="696"/>
      <c r="CE119" s="696"/>
      <c r="CF119" s="696"/>
      <c r="CG119" s="696"/>
      <c r="CH119" s="696"/>
      <c r="CI119" s="696"/>
      <c r="CJ119" s="559"/>
    </row>
    <row r="120" spans="2:89" ht="14.4" thickBot="1" x14ac:dyDescent="0.3">
      <c r="B120" s="697" t="s">
        <v>350</v>
      </c>
      <c r="C120" s="1378" t="s">
        <v>115</v>
      </c>
      <c r="D120" s="559"/>
      <c r="E120" s="559"/>
      <c r="F120" s="559"/>
      <c r="G120" s="559"/>
      <c r="H120" s="559"/>
      <c r="I120" s="559"/>
      <c r="J120" s="559"/>
      <c r="K120" s="559"/>
      <c r="L120" s="559"/>
      <c r="M120" s="559"/>
      <c r="N120" s="559"/>
      <c r="O120" s="559"/>
      <c r="P120" s="559"/>
      <c r="Q120" s="559"/>
      <c r="R120" s="559"/>
      <c r="S120" s="559"/>
      <c r="T120" s="559"/>
      <c r="U120" s="559"/>
      <c r="V120" s="559"/>
      <c r="W120" s="559"/>
      <c r="X120" s="559"/>
      <c r="Y120" s="559"/>
      <c r="Z120" s="559"/>
      <c r="AA120" s="559"/>
      <c r="AB120" s="559"/>
      <c r="AC120" s="559"/>
      <c r="AD120" s="559"/>
      <c r="AE120" s="559"/>
      <c r="AF120" s="559"/>
      <c r="AG120" s="559"/>
      <c r="AH120" s="559"/>
      <c r="AI120" s="559"/>
      <c r="AJ120" s="559"/>
      <c r="AK120" s="559"/>
      <c r="AL120" s="559"/>
      <c r="AM120" s="559"/>
      <c r="AN120" s="559"/>
      <c r="AO120" s="559"/>
      <c r="AP120" s="559"/>
      <c r="AQ120" s="559"/>
      <c r="AR120" s="559"/>
      <c r="AS120" s="559"/>
      <c r="AT120" s="559"/>
      <c r="AU120" s="559"/>
      <c r="AV120" s="559"/>
      <c r="AW120" s="559"/>
      <c r="AX120" s="559"/>
      <c r="AY120" s="559"/>
      <c r="AZ120" s="559"/>
      <c r="BA120" s="559"/>
      <c r="BB120" s="559"/>
      <c r="BC120" s="559"/>
      <c r="BD120" s="559"/>
      <c r="BE120" s="559"/>
      <c r="BF120" s="559"/>
      <c r="BG120" s="559"/>
      <c r="BH120" s="559"/>
      <c r="BI120" s="559"/>
      <c r="BJ120" s="559"/>
      <c r="BK120" s="559"/>
      <c r="BL120" s="559"/>
      <c r="BM120" s="559"/>
      <c r="BN120" s="559"/>
      <c r="BO120" s="559"/>
      <c r="BP120" s="559"/>
      <c r="BQ120" s="559"/>
      <c r="BR120" s="559"/>
      <c r="BS120" s="559"/>
      <c r="BT120" s="559"/>
      <c r="BU120" s="559"/>
      <c r="BV120" s="559"/>
      <c r="BW120" s="559"/>
      <c r="BX120" s="559"/>
      <c r="BY120" s="559"/>
      <c r="BZ120" s="559"/>
      <c r="CA120" s="559"/>
      <c r="CB120" s="559"/>
      <c r="CC120" s="559"/>
      <c r="CD120" s="559"/>
      <c r="CE120" s="559"/>
      <c r="CF120" s="559"/>
      <c r="CG120" s="559"/>
      <c r="CH120" s="559"/>
      <c r="CI120" s="559"/>
    </row>
    <row r="121" spans="2:89" ht="14.4" thickBot="1" x14ac:dyDescent="0.3">
      <c r="B121" s="753" t="s">
        <v>356</v>
      </c>
      <c r="C121" s="754" t="s">
        <v>116</v>
      </c>
      <c r="D121" s="754" t="s">
        <v>64</v>
      </c>
      <c r="E121" s="754" t="s">
        <v>117</v>
      </c>
      <c r="F121" s="755" t="s">
        <v>118</v>
      </c>
      <c r="G121" s="753" t="s">
        <v>119</v>
      </c>
      <c r="H121" s="753" t="s">
        <v>120</v>
      </c>
      <c r="I121" s="753" t="s">
        <v>121</v>
      </c>
      <c r="J121" s="753" t="s">
        <v>122</v>
      </c>
      <c r="K121" s="753" t="s">
        <v>123</v>
      </c>
      <c r="L121" s="753" t="s">
        <v>124</v>
      </c>
      <c r="M121" s="754" t="s">
        <v>125</v>
      </c>
      <c r="N121" s="754" t="s">
        <v>126</v>
      </c>
      <c r="O121" s="754" t="s">
        <v>127</v>
      </c>
      <c r="P121" s="754" t="s">
        <v>128</v>
      </c>
      <c r="Q121" s="754" t="s">
        <v>129</v>
      </c>
      <c r="R121" s="754" t="s">
        <v>130</v>
      </c>
      <c r="S121" s="754" t="s">
        <v>157</v>
      </c>
      <c r="T121" s="754" t="s">
        <v>158</v>
      </c>
      <c r="U121" s="754" t="s">
        <v>159</v>
      </c>
      <c r="V121" s="754" t="s">
        <v>160</v>
      </c>
      <c r="W121" s="754" t="s">
        <v>131</v>
      </c>
      <c r="X121" s="754" t="s">
        <v>161</v>
      </c>
      <c r="Y121" s="754" t="s">
        <v>162</v>
      </c>
      <c r="Z121" s="754" t="s">
        <v>163</v>
      </c>
      <c r="AA121" s="754" t="s">
        <v>164</v>
      </c>
      <c r="AB121" s="754" t="s">
        <v>132</v>
      </c>
      <c r="AC121" s="754" t="s">
        <v>165</v>
      </c>
      <c r="AD121" s="754" t="s">
        <v>166</v>
      </c>
      <c r="AE121" s="754" t="s">
        <v>167</v>
      </c>
      <c r="AF121" s="754" t="s">
        <v>168</v>
      </c>
      <c r="AG121" s="754" t="s">
        <v>133</v>
      </c>
      <c r="AH121" s="754" t="s">
        <v>169</v>
      </c>
      <c r="AI121" s="754" t="s">
        <v>170</v>
      </c>
      <c r="AJ121" s="754" t="s">
        <v>171</v>
      </c>
      <c r="AK121" s="754" t="s">
        <v>172</v>
      </c>
      <c r="AL121" s="754" t="s">
        <v>134</v>
      </c>
      <c r="AM121" s="754" t="s">
        <v>173</v>
      </c>
      <c r="AN121" s="754" t="s">
        <v>174</v>
      </c>
      <c r="AO121" s="754" t="s">
        <v>175</v>
      </c>
      <c r="AP121" s="754" t="s">
        <v>176</v>
      </c>
      <c r="AQ121" s="754" t="s">
        <v>135</v>
      </c>
      <c r="AR121" s="754" t="s">
        <v>177</v>
      </c>
      <c r="AS121" s="754" t="s">
        <v>178</v>
      </c>
      <c r="AT121" s="754" t="s">
        <v>179</v>
      </c>
      <c r="AU121" s="754" t="s">
        <v>180</v>
      </c>
      <c r="AV121" s="754" t="s">
        <v>136</v>
      </c>
      <c r="AW121" s="754" t="s">
        <v>181</v>
      </c>
      <c r="AX121" s="754" t="s">
        <v>182</v>
      </c>
      <c r="AY121" s="754" t="s">
        <v>183</v>
      </c>
      <c r="AZ121" s="754" t="s">
        <v>184</v>
      </c>
      <c r="BA121" s="754" t="s">
        <v>137</v>
      </c>
      <c r="BB121" s="754" t="s">
        <v>185</v>
      </c>
      <c r="BC121" s="754" t="s">
        <v>186</v>
      </c>
      <c r="BD121" s="754" t="s">
        <v>187</v>
      </c>
      <c r="BE121" s="754" t="s">
        <v>188</v>
      </c>
      <c r="BF121" s="754" t="s">
        <v>138</v>
      </c>
      <c r="BG121" s="754" t="s">
        <v>189</v>
      </c>
      <c r="BH121" s="754" t="s">
        <v>190</v>
      </c>
      <c r="BI121" s="754" t="s">
        <v>191</v>
      </c>
      <c r="BJ121" s="754" t="s">
        <v>192</v>
      </c>
      <c r="BK121" s="754" t="s">
        <v>139</v>
      </c>
      <c r="BL121" s="754" t="s">
        <v>193</v>
      </c>
      <c r="BM121" s="754" t="s">
        <v>194</v>
      </c>
      <c r="BN121" s="754" t="s">
        <v>195</v>
      </c>
      <c r="BO121" s="754" t="s">
        <v>196</v>
      </c>
      <c r="BP121" s="754" t="s">
        <v>140</v>
      </c>
      <c r="BQ121" s="754" t="s">
        <v>197</v>
      </c>
      <c r="BR121" s="754" t="s">
        <v>198</v>
      </c>
      <c r="BS121" s="754" t="s">
        <v>199</v>
      </c>
      <c r="BT121" s="754" t="s">
        <v>200</v>
      </c>
      <c r="BU121" s="754" t="s">
        <v>141</v>
      </c>
      <c r="BV121" s="754" t="s">
        <v>201</v>
      </c>
      <c r="BW121" s="754" t="s">
        <v>202</v>
      </c>
      <c r="BX121" s="754" t="s">
        <v>203</v>
      </c>
      <c r="BY121" s="754" t="s">
        <v>204</v>
      </c>
      <c r="BZ121" s="754" t="s">
        <v>142</v>
      </c>
      <c r="CA121" s="754" t="s">
        <v>205</v>
      </c>
      <c r="CB121" s="754" t="s">
        <v>206</v>
      </c>
      <c r="CC121" s="754" t="s">
        <v>207</v>
      </c>
      <c r="CD121" s="754" t="s">
        <v>208</v>
      </c>
      <c r="CE121" s="754" t="s">
        <v>143</v>
      </c>
      <c r="CF121" s="754" t="s">
        <v>209</v>
      </c>
      <c r="CG121" s="754" t="s">
        <v>210</v>
      </c>
      <c r="CH121" s="754" t="s">
        <v>211</v>
      </c>
      <c r="CI121" s="755" t="s">
        <v>212</v>
      </c>
      <c r="CK121" s="1366"/>
    </row>
    <row r="122" spans="2:89" x14ac:dyDescent="0.25">
      <c r="B122" s="1096" t="s">
        <v>588</v>
      </c>
      <c r="C122" s="1097" t="s">
        <v>358</v>
      </c>
      <c r="D122" s="1098" t="s">
        <v>79</v>
      </c>
      <c r="E122" s="1099" t="s">
        <v>146</v>
      </c>
      <c r="F122" s="1100">
        <v>2</v>
      </c>
      <c r="G122" s="568"/>
      <c r="H122" s="568"/>
      <c r="I122" s="568"/>
      <c r="J122" s="568"/>
      <c r="K122" s="568"/>
      <c r="L122" s="568"/>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c r="BD122" s="761"/>
      <c r="BE122" s="761"/>
      <c r="BF122" s="761"/>
      <c r="BG122" s="761"/>
      <c r="BH122" s="761"/>
      <c r="BI122" s="761"/>
      <c r="BJ122" s="761"/>
      <c r="BK122" s="761"/>
      <c r="BL122" s="761"/>
      <c r="BM122" s="761"/>
      <c r="BN122" s="761"/>
      <c r="BO122" s="761"/>
      <c r="BP122" s="761"/>
      <c r="BQ122" s="761"/>
      <c r="BR122" s="761"/>
      <c r="BS122" s="761"/>
      <c r="BT122" s="761"/>
      <c r="BU122" s="761"/>
      <c r="BV122" s="761"/>
      <c r="BW122" s="761"/>
      <c r="BX122" s="761"/>
      <c r="BY122" s="761"/>
      <c r="BZ122" s="761"/>
      <c r="CA122" s="761"/>
      <c r="CB122" s="761"/>
      <c r="CC122" s="761"/>
      <c r="CD122" s="761"/>
      <c r="CE122" s="761"/>
      <c r="CF122" s="761"/>
      <c r="CG122" s="761"/>
      <c r="CH122" s="761"/>
      <c r="CI122" s="762"/>
      <c r="CK122" s="1366"/>
    </row>
    <row r="123" spans="2:89" x14ac:dyDescent="0.25">
      <c r="B123" s="1095" t="s">
        <v>589</v>
      </c>
      <c r="C123" s="1086" t="s">
        <v>590</v>
      </c>
      <c r="D123" s="1087" t="s">
        <v>591</v>
      </c>
      <c r="E123" s="1088" t="s">
        <v>146</v>
      </c>
      <c r="F123" s="1089">
        <v>2</v>
      </c>
      <c r="G123" s="848"/>
      <c r="H123" s="848"/>
      <c r="I123" s="848">
        <f t="shared" ref="I123:BO123" si="47">I25+I95</f>
        <v>0.27</v>
      </c>
      <c r="J123" s="848">
        <f t="shared" si="47"/>
        <v>0.31</v>
      </c>
      <c r="K123" s="848">
        <f t="shared" si="47"/>
        <v>0.31</v>
      </c>
      <c r="L123" s="848">
        <f t="shared" si="47"/>
        <v>0.31</v>
      </c>
      <c r="M123" s="848">
        <f t="shared" si="47"/>
        <v>0.31</v>
      </c>
      <c r="N123" s="848">
        <f>N25+N95</f>
        <v>0.31</v>
      </c>
      <c r="O123" s="848">
        <f t="shared" si="47"/>
        <v>0.31</v>
      </c>
      <c r="P123" s="848">
        <f t="shared" si="47"/>
        <v>0.31</v>
      </c>
      <c r="Q123" s="848">
        <f t="shared" si="47"/>
        <v>0.31</v>
      </c>
      <c r="R123" s="848">
        <f t="shared" si="47"/>
        <v>0.31</v>
      </c>
      <c r="S123" s="848">
        <f t="shared" si="47"/>
        <v>0.31</v>
      </c>
      <c r="T123" s="848">
        <f t="shared" si="47"/>
        <v>0.31</v>
      </c>
      <c r="U123" s="848">
        <f t="shared" si="47"/>
        <v>0.31</v>
      </c>
      <c r="V123" s="848">
        <f t="shared" si="47"/>
        <v>0.31</v>
      </c>
      <c r="W123" s="848">
        <f t="shared" si="47"/>
        <v>0.31</v>
      </c>
      <c r="X123" s="848">
        <f t="shared" si="47"/>
        <v>0.31</v>
      </c>
      <c r="Y123" s="848">
        <f t="shared" si="47"/>
        <v>0.31</v>
      </c>
      <c r="Z123" s="848">
        <f t="shared" si="47"/>
        <v>0.31</v>
      </c>
      <c r="AA123" s="848">
        <f t="shared" si="47"/>
        <v>0.31</v>
      </c>
      <c r="AB123" s="848">
        <f t="shared" si="47"/>
        <v>0.31</v>
      </c>
      <c r="AC123" s="848">
        <f t="shared" si="47"/>
        <v>0.31</v>
      </c>
      <c r="AD123" s="848">
        <f t="shared" si="47"/>
        <v>0.31</v>
      </c>
      <c r="AE123" s="848">
        <f t="shared" si="47"/>
        <v>0.31</v>
      </c>
      <c r="AF123" s="848">
        <f t="shared" si="47"/>
        <v>0.31</v>
      </c>
      <c r="AG123" s="848">
        <f t="shared" si="47"/>
        <v>0.31</v>
      </c>
      <c r="AH123" s="848">
        <f t="shared" si="47"/>
        <v>0.31</v>
      </c>
      <c r="AI123" s="848">
        <f t="shared" si="47"/>
        <v>0.31</v>
      </c>
      <c r="AJ123" s="848">
        <f t="shared" si="47"/>
        <v>0.31</v>
      </c>
      <c r="AK123" s="848">
        <f t="shared" si="47"/>
        <v>0.31</v>
      </c>
      <c r="AL123" s="848">
        <f t="shared" si="47"/>
        <v>0.31</v>
      </c>
      <c r="AM123" s="848">
        <f t="shared" si="47"/>
        <v>0.31</v>
      </c>
      <c r="AN123" s="848">
        <f t="shared" si="47"/>
        <v>0.31</v>
      </c>
      <c r="AO123" s="848">
        <f t="shared" si="47"/>
        <v>0.31</v>
      </c>
      <c r="AP123" s="848">
        <f t="shared" si="47"/>
        <v>0.31</v>
      </c>
      <c r="AQ123" s="848">
        <f t="shared" si="47"/>
        <v>0.31</v>
      </c>
      <c r="AR123" s="848">
        <f t="shared" si="47"/>
        <v>0.31</v>
      </c>
      <c r="AS123" s="848">
        <f t="shared" si="47"/>
        <v>0.31</v>
      </c>
      <c r="AT123" s="848">
        <f t="shared" si="47"/>
        <v>0.31</v>
      </c>
      <c r="AU123" s="848">
        <f t="shared" si="47"/>
        <v>0.31</v>
      </c>
      <c r="AV123" s="848">
        <f t="shared" si="47"/>
        <v>0.31</v>
      </c>
      <c r="AW123" s="848">
        <f t="shared" si="47"/>
        <v>0.31</v>
      </c>
      <c r="AX123" s="848">
        <f t="shared" si="47"/>
        <v>0.31</v>
      </c>
      <c r="AY123" s="848">
        <f t="shared" si="47"/>
        <v>0.31</v>
      </c>
      <c r="AZ123" s="848">
        <f t="shared" si="47"/>
        <v>0.31</v>
      </c>
      <c r="BA123" s="848">
        <f t="shared" si="47"/>
        <v>0.31</v>
      </c>
      <c r="BB123" s="848">
        <f t="shared" si="47"/>
        <v>0.31</v>
      </c>
      <c r="BC123" s="848">
        <f t="shared" si="47"/>
        <v>0.31</v>
      </c>
      <c r="BD123" s="848">
        <f t="shared" si="47"/>
        <v>0.31</v>
      </c>
      <c r="BE123" s="848">
        <f t="shared" si="47"/>
        <v>0.31</v>
      </c>
      <c r="BF123" s="848">
        <f t="shared" si="47"/>
        <v>0.31</v>
      </c>
      <c r="BG123" s="848">
        <f t="shared" si="47"/>
        <v>0.31</v>
      </c>
      <c r="BH123" s="848">
        <f t="shared" si="47"/>
        <v>0.31</v>
      </c>
      <c r="BI123" s="848">
        <f t="shared" si="47"/>
        <v>0.31</v>
      </c>
      <c r="BJ123" s="848">
        <f t="shared" si="47"/>
        <v>0.31</v>
      </c>
      <c r="BK123" s="848">
        <f t="shared" si="47"/>
        <v>0.31</v>
      </c>
      <c r="BL123" s="848">
        <f t="shared" si="47"/>
        <v>0.31</v>
      </c>
      <c r="BM123" s="848">
        <f t="shared" si="47"/>
        <v>0.31</v>
      </c>
      <c r="BN123" s="848">
        <f t="shared" si="47"/>
        <v>0.31</v>
      </c>
      <c r="BO123" s="848">
        <f t="shared" si="47"/>
        <v>0.31</v>
      </c>
      <c r="BP123" s="848">
        <f t="shared" ref="AM123:BS127" si="48">BP25+BP95</f>
        <v>0</v>
      </c>
      <c r="BQ123" s="848">
        <f t="shared" si="48"/>
        <v>0</v>
      </c>
      <c r="BR123" s="848">
        <f t="shared" si="48"/>
        <v>0</v>
      </c>
      <c r="BS123" s="848">
        <f t="shared" si="48"/>
        <v>0</v>
      </c>
      <c r="BT123" s="848">
        <f t="shared" ref="BT123:CI127" si="49">BT25+BT95</f>
        <v>0</v>
      </c>
      <c r="BU123" s="848">
        <f t="shared" si="49"/>
        <v>0</v>
      </c>
      <c r="BV123" s="848">
        <f t="shared" si="49"/>
        <v>0</v>
      </c>
      <c r="BW123" s="848">
        <f t="shared" si="49"/>
        <v>0</v>
      </c>
      <c r="BX123" s="848">
        <f t="shared" si="49"/>
        <v>0</v>
      </c>
      <c r="BY123" s="848">
        <f t="shared" si="49"/>
        <v>0</v>
      </c>
      <c r="BZ123" s="848">
        <f t="shared" si="49"/>
        <v>0</v>
      </c>
      <c r="CA123" s="848">
        <f t="shared" si="49"/>
        <v>0</v>
      </c>
      <c r="CB123" s="848">
        <f t="shared" si="49"/>
        <v>0</v>
      </c>
      <c r="CC123" s="848">
        <f t="shared" si="49"/>
        <v>0</v>
      </c>
      <c r="CD123" s="848">
        <f t="shared" si="49"/>
        <v>0</v>
      </c>
      <c r="CE123" s="848">
        <f t="shared" si="49"/>
        <v>0</v>
      </c>
      <c r="CF123" s="848">
        <f t="shared" si="49"/>
        <v>0</v>
      </c>
      <c r="CG123" s="848">
        <f t="shared" si="49"/>
        <v>0</v>
      </c>
      <c r="CH123" s="848">
        <f t="shared" si="49"/>
        <v>0</v>
      </c>
      <c r="CI123" s="769">
        <f t="shared" si="49"/>
        <v>0</v>
      </c>
      <c r="CK123" s="1366"/>
    </row>
    <row r="124" spans="2:89" x14ac:dyDescent="0.25">
      <c r="B124" s="1085" t="s">
        <v>592</v>
      </c>
      <c r="C124" s="1086" t="s">
        <v>362</v>
      </c>
      <c r="D124" s="1087" t="s">
        <v>593</v>
      </c>
      <c r="E124" s="1088" t="s">
        <v>146</v>
      </c>
      <c r="F124" s="1089">
        <v>2</v>
      </c>
      <c r="G124" s="607"/>
      <c r="H124" s="607"/>
      <c r="I124" s="607">
        <f t="shared" ref="I124:AL127" si="50">I26+I96</f>
        <v>1.06</v>
      </c>
      <c r="J124" s="607">
        <f t="shared" si="50"/>
        <v>1.06</v>
      </c>
      <c r="K124" s="607">
        <f t="shared" si="50"/>
        <v>1.06</v>
      </c>
      <c r="L124" s="607">
        <f t="shared" si="50"/>
        <v>1.06</v>
      </c>
      <c r="M124" s="768">
        <f t="shared" si="50"/>
        <v>1.06</v>
      </c>
      <c r="N124" s="768">
        <f t="shared" si="50"/>
        <v>1.06</v>
      </c>
      <c r="O124" s="768">
        <f t="shared" si="50"/>
        <v>1.06</v>
      </c>
      <c r="P124" s="768">
        <f t="shared" si="50"/>
        <v>1.06</v>
      </c>
      <c r="Q124" s="768">
        <f t="shared" si="50"/>
        <v>1.06</v>
      </c>
      <c r="R124" s="768">
        <f t="shared" si="50"/>
        <v>1.06</v>
      </c>
      <c r="S124" s="768">
        <f t="shared" si="50"/>
        <v>1.06</v>
      </c>
      <c r="T124" s="768">
        <f t="shared" si="50"/>
        <v>1.06</v>
      </c>
      <c r="U124" s="768">
        <f t="shared" si="50"/>
        <v>1.06</v>
      </c>
      <c r="V124" s="768">
        <f t="shared" si="50"/>
        <v>1.06</v>
      </c>
      <c r="W124" s="768">
        <f t="shared" si="50"/>
        <v>1.06</v>
      </c>
      <c r="X124" s="768">
        <f t="shared" si="50"/>
        <v>1.06</v>
      </c>
      <c r="Y124" s="768">
        <f t="shared" si="50"/>
        <v>1.06</v>
      </c>
      <c r="Z124" s="768">
        <f t="shared" si="50"/>
        <v>1.06</v>
      </c>
      <c r="AA124" s="768">
        <f t="shared" si="50"/>
        <v>1.06</v>
      </c>
      <c r="AB124" s="768">
        <f t="shared" si="50"/>
        <v>1.06</v>
      </c>
      <c r="AC124" s="768">
        <f t="shared" si="50"/>
        <v>1.06</v>
      </c>
      <c r="AD124" s="768">
        <f t="shared" si="50"/>
        <v>1.06</v>
      </c>
      <c r="AE124" s="768">
        <f t="shared" si="50"/>
        <v>1.06</v>
      </c>
      <c r="AF124" s="768">
        <f t="shared" si="50"/>
        <v>1.06</v>
      </c>
      <c r="AG124" s="768">
        <f t="shared" si="50"/>
        <v>1.06</v>
      </c>
      <c r="AH124" s="768">
        <f t="shared" si="50"/>
        <v>1.06</v>
      </c>
      <c r="AI124" s="768">
        <f t="shared" si="50"/>
        <v>1.06</v>
      </c>
      <c r="AJ124" s="768">
        <f t="shared" si="50"/>
        <v>1.06</v>
      </c>
      <c r="AK124" s="768">
        <f t="shared" si="50"/>
        <v>1.06</v>
      </c>
      <c r="AL124" s="768">
        <f t="shared" si="50"/>
        <v>1.06</v>
      </c>
      <c r="AM124" s="768">
        <f t="shared" si="48"/>
        <v>1.06</v>
      </c>
      <c r="AN124" s="768">
        <f t="shared" si="48"/>
        <v>1.06</v>
      </c>
      <c r="AO124" s="768">
        <f t="shared" si="48"/>
        <v>1.06</v>
      </c>
      <c r="AP124" s="768">
        <f t="shared" si="48"/>
        <v>1.06</v>
      </c>
      <c r="AQ124" s="768">
        <f t="shared" si="48"/>
        <v>1.06</v>
      </c>
      <c r="AR124" s="768">
        <f t="shared" si="48"/>
        <v>1.06</v>
      </c>
      <c r="AS124" s="768">
        <f t="shared" si="48"/>
        <v>1.06</v>
      </c>
      <c r="AT124" s="768">
        <f t="shared" si="48"/>
        <v>1.06</v>
      </c>
      <c r="AU124" s="768">
        <f t="shared" si="48"/>
        <v>1.06</v>
      </c>
      <c r="AV124" s="768">
        <f t="shared" si="48"/>
        <v>1.06</v>
      </c>
      <c r="AW124" s="768">
        <f t="shared" si="48"/>
        <v>1.06</v>
      </c>
      <c r="AX124" s="768">
        <f t="shared" si="48"/>
        <v>1.06</v>
      </c>
      <c r="AY124" s="768">
        <f t="shared" si="48"/>
        <v>1.06</v>
      </c>
      <c r="AZ124" s="768">
        <f t="shared" si="48"/>
        <v>1.06</v>
      </c>
      <c r="BA124" s="768">
        <f t="shared" si="48"/>
        <v>1.06</v>
      </c>
      <c r="BB124" s="768">
        <f t="shared" si="48"/>
        <v>1.06</v>
      </c>
      <c r="BC124" s="768">
        <f t="shared" si="48"/>
        <v>1.06</v>
      </c>
      <c r="BD124" s="768">
        <f t="shared" si="48"/>
        <v>1.06</v>
      </c>
      <c r="BE124" s="768">
        <f t="shared" si="48"/>
        <v>1.06</v>
      </c>
      <c r="BF124" s="768">
        <f t="shared" si="48"/>
        <v>1.06</v>
      </c>
      <c r="BG124" s="768">
        <f t="shared" si="48"/>
        <v>1.06</v>
      </c>
      <c r="BH124" s="768">
        <f t="shared" si="48"/>
        <v>1.06</v>
      </c>
      <c r="BI124" s="768">
        <f t="shared" si="48"/>
        <v>1.06</v>
      </c>
      <c r="BJ124" s="768">
        <f t="shared" si="48"/>
        <v>1.06</v>
      </c>
      <c r="BK124" s="768">
        <f t="shared" si="48"/>
        <v>1.06</v>
      </c>
      <c r="BL124" s="768">
        <f t="shared" si="48"/>
        <v>1.06</v>
      </c>
      <c r="BM124" s="768">
        <f t="shared" si="48"/>
        <v>1.06</v>
      </c>
      <c r="BN124" s="768">
        <f t="shared" si="48"/>
        <v>1.06</v>
      </c>
      <c r="BO124" s="768">
        <f t="shared" si="48"/>
        <v>1.06</v>
      </c>
      <c r="BP124" s="768">
        <f t="shared" si="48"/>
        <v>0</v>
      </c>
      <c r="BQ124" s="768">
        <f t="shared" si="48"/>
        <v>0</v>
      </c>
      <c r="BR124" s="768">
        <f t="shared" si="48"/>
        <v>0</v>
      </c>
      <c r="BS124" s="768">
        <f t="shared" si="48"/>
        <v>0</v>
      </c>
      <c r="BT124" s="768">
        <f t="shared" si="49"/>
        <v>0</v>
      </c>
      <c r="BU124" s="768">
        <f t="shared" si="49"/>
        <v>0</v>
      </c>
      <c r="BV124" s="768">
        <f t="shared" si="49"/>
        <v>0</v>
      </c>
      <c r="BW124" s="768">
        <f t="shared" si="49"/>
        <v>0</v>
      </c>
      <c r="BX124" s="768">
        <f t="shared" si="49"/>
        <v>0</v>
      </c>
      <c r="BY124" s="768">
        <f t="shared" si="49"/>
        <v>0</v>
      </c>
      <c r="BZ124" s="768">
        <f t="shared" si="49"/>
        <v>0</v>
      </c>
      <c r="CA124" s="768">
        <f t="shared" si="49"/>
        <v>0</v>
      </c>
      <c r="CB124" s="768">
        <f t="shared" si="49"/>
        <v>0</v>
      </c>
      <c r="CC124" s="768">
        <f t="shared" si="49"/>
        <v>0</v>
      </c>
      <c r="CD124" s="768">
        <f t="shared" si="49"/>
        <v>0</v>
      </c>
      <c r="CE124" s="768">
        <f t="shared" si="49"/>
        <v>0</v>
      </c>
      <c r="CF124" s="768">
        <f t="shared" si="49"/>
        <v>0</v>
      </c>
      <c r="CG124" s="768">
        <f t="shared" si="49"/>
        <v>0</v>
      </c>
      <c r="CH124" s="768">
        <f t="shared" si="49"/>
        <v>0</v>
      </c>
      <c r="CI124" s="769">
        <f t="shared" si="49"/>
        <v>0</v>
      </c>
      <c r="CK124" s="1366"/>
    </row>
    <row r="125" spans="2:89" x14ac:dyDescent="0.25">
      <c r="B125" s="763" t="s">
        <v>594</v>
      </c>
      <c r="C125" s="764" t="s">
        <v>364</v>
      </c>
      <c r="D125" s="765" t="s">
        <v>595</v>
      </c>
      <c r="E125" s="766" t="s">
        <v>146</v>
      </c>
      <c r="F125" s="767">
        <v>2</v>
      </c>
      <c r="G125" s="607"/>
      <c r="H125" s="607"/>
      <c r="I125" s="607">
        <f t="shared" si="50"/>
        <v>0.53</v>
      </c>
      <c r="J125" s="607">
        <f t="shared" si="50"/>
        <v>0.53</v>
      </c>
      <c r="K125" s="607">
        <f t="shared" si="50"/>
        <v>0.53</v>
      </c>
      <c r="L125" s="607">
        <f t="shared" si="50"/>
        <v>0.53</v>
      </c>
      <c r="M125" s="768">
        <f t="shared" si="50"/>
        <v>0.53</v>
      </c>
      <c r="N125" s="768">
        <f t="shared" si="50"/>
        <v>0.53</v>
      </c>
      <c r="O125" s="768">
        <f t="shared" si="50"/>
        <v>0.53</v>
      </c>
      <c r="P125" s="768">
        <f t="shared" si="50"/>
        <v>0.53</v>
      </c>
      <c r="Q125" s="768">
        <f t="shared" si="50"/>
        <v>0.53</v>
      </c>
      <c r="R125" s="768">
        <f t="shared" si="50"/>
        <v>0.53</v>
      </c>
      <c r="S125" s="768">
        <f t="shared" si="50"/>
        <v>0.53</v>
      </c>
      <c r="T125" s="768">
        <f t="shared" si="50"/>
        <v>0.53</v>
      </c>
      <c r="U125" s="768">
        <f t="shared" si="50"/>
        <v>0.53</v>
      </c>
      <c r="V125" s="768">
        <f t="shared" si="50"/>
        <v>0.53</v>
      </c>
      <c r="W125" s="768">
        <f t="shared" si="50"/>
        <v>0.53</v>
      </c>
      <c r="X125" s="768">
        <f t="shared" si="50"/>
        <v>0.53</v>
      </c>
      <c r="Y125" s="768">
        <f t="shared" si="50"/>
        <v>0.53</v>
      </c>
      <c r="Z125" s="768">
        <f t="shared" si="50"/>
        <v>0.53</v>
      </c>
      <c r="AA125" s="768">
        <f t="shared" si="50"/>
        <v>0.53</v>
      </c>
      <c r="AB125" s="768">
        <f t="shared" si="50"/>
        <v>0.53</v>
      </c>
      <c r="AC125" s="768">
        <f t="shared" si="50"/>
        <v>0.53</v>
      </c>
      <c r="AD125" s="768">
        <f t="shared" si="50"/>
        <v>0.53</v>
      </c>
      <c r="AE125" s="768">
        <f t="shared" si="50"/>
        <v>0.53</v>
      </c>
      <c r="AF125" s="768">
        <f t="shared" si="50"/>
        <v>0.53</v>
      </c>
      <c r="AG125" s="768">
        <f t="shared" si="50"/>
        <v>0.53</v>
      </c>
      <c r="AH125" s="768">
        <f t="shared" si="50"/>
        <v>0.53</v>
      </c>
      <c r="AI125" s="768">
        <f t="shared" si="50"/>
        <v>0.53</v>
      </c>
      <c r="AJ125" s="768">
        <f t="shared" si="50"/>
        <v>0.53</v>
      </c>
      <c r="AK125" s="768">
        <f t="shared" si="50"/>
        <v>0.53</v>
      </c>
      <c r="AL125" s="768">
        <f t="shared" si="50"/>
        <v>0.53</v>
      </c>
      <c r="AM125" s="768">
        <f t="shared" si="48"/>
        <v>0.53</v>
      </c>
      <c r="AN125" s="768">
        <f t="shared" si="48"/>
        <v>0.53</v>
      </c>
      <c r="AO125" s="768">
        <f t="shared" si="48"/>
        <v>0.53</v>
      </c>
      <c r="AP125" s="768">
        <f t="shared" si="48"/>
        <v>0.53</v>
      </c>
      <c r="AQ125" s="768">
        <f t="shared" si="48"/>
        <v>0.53</v>
      </c>
      <c r="AR125" s="768">
        <f t="shared" si="48"/>
        <v>0.53</v>
      </c>
      <c r="AS125" s="768">
        <f t="shared" si="48"/>
        <v>0.53</v>
      </c>
      <c r="AT125" s="768">
        <f t="shared" si="48"/>
        <v>0.53</v>
      </c>
      <c r="AU125" s="768">
        <f t="shared" si="48"/>
        <v>0.53</v>
      </c>
      <c r="AV125" s="768">
        <f t="shared" si="48"/>
        <v>0.53</v>
      </c>
      <c r="AW125" s="768">
        <f t="shared" si="48"/>
        <v>0.53</v>
      </c>
      <c r="AX125" s="768">
        <f t="shared" si="48"/>
        <v>0.53</v>
      </c>
      <c r="AY125" s="768">
        <f t="shared" si="48"/>
        <v>0.53</v>
      </c>
      <c r="AZ125" s="768">
        <f t="shared" si="48"/>
        <v>0.53</v>
      </c>
      <c r="BA125" s="768">
        <f t="shared" si="48"/>
        <v>0.53</v>
      </c>
      <c r="BB125" s="768">
        <f t="shared" si="48"/>
        <v>0.53</v>
      </c>
      <c r="BC125" s="768">
        <f t="shared" si="48"/>
        <v>0.53</v>
      </c>
      <c r="BD125" s="768">
        <f t="shared" si="48"/>
        <v>0.53</v>
      </c>
      <c r="BE125" s="768">
        <f t="shared" si="48"/>
        <v>0.53</v>
      </c>
      <c r="BF125" s="768">
        <f t="shared" si="48"/>
        <v>0.53</v>
      </c>
      <c r="BG125" s="768">
        <f t="shared" si="48"/>
        <v>0.53</v>
      </c>
      <c r="BH125" s="768">
        <f t="shared" si="48"/>
        <v>0.53</v>
      </c>
      <c r="BI125" s="768">
        <f t="shared" si="48"/>
        <v>0.53</v>
      </c>
      <c r="BJ125" s="768">
        <f t="shared" si="48"/>
        <v>0.53</v>
      </c>
      <c r="BK125" s="768">
        <f t="shared" si="48"/>
        <v>0.53</v>
      </c>
      <c r="BL125" s="768">
        <f t="shared" si="48"/>
        <v>0.53</v>
      </c>
      <c r="BM125" s="768">
        <f t="shared" si="48"/>
        <v>0.53</v>
      </c>
      <c r="BN125" s="768">
        <f t="shared" si="48"/>
        <v>0.53</v>
      </c>
      <c r="BO125" s="768">
        <f t="shared" si="48"/>
        <v>0.53</v>
      </c>
      <c r="BP125" s="768">
        <f t="shared" si="48"/>
        <v>0</v>
      </c>
      <c r="BQ125" s="768">
        <f t="shared" si="48"/>
        <v>0</v>
      </c>
      <c r="BR125" s="768">
        <f t="shared" si="48"/>
        <v>0</v>
      </c>
      <c r="BS125" s="768">
        <f t="shared" si="48"/>
        <v>0</v>
      </c>
      <c r="BT125" s="768">
        <f t="shared" si="49"/>
        <v>0</v>
      </c>
      <c r="BU125" s="768">
        <f t="shared" si="49"/>
        <v>0</v>
      </c>
      <c r="BV125" s="768">
        <f t="shared" si="49"/>
        <v>0</v>
      </c>
      <c r="BW125" s="768">
        <f t="shared" si="49"/>
        <v>0</v>
      </c>
      <c r="BX125" s="768">
        <f t="shared" si="49"/>
        <v>0</v>
      </c>
      <c r="BY125" s="768">
        <f t="shared" si="49"/>
        <v>0</v>
      </c>
      <c r="BZ125" s="768">
        <f t="shared" si="49"/>
        <v>0</v>
      </c>
      <c r="CA125" s="768">
        <f t="shared" si="49"/>
        <v>0</v>
      </c>
      <c r="CB125" s="768">
        <f t="shared" si="49"/>
        <v>0</v>
      </c>
      <c r="CC125" s="768">
        <f t="shared" si="49"/>
        <v>0</v>
      </c>
      <c r="CD125" s="768">
        <f t="shared" si="49"/>
        <v>0</v>
      </c>
      <c r="CE125" s="768">
        <f t="shared" si="49"/>
        <v>0</v>
      </c>
      <c r="CF125" s="768">
        <f t="shared" si="49"/>
        <v>0</v>
      </c>
      <c r="CG125" s="768">
        <f t="shared" si="49"/>
        <v>0</v>
      </c>
      <c r="CH125" s="768">
        <f t="shared" si="49"/>
        <v>0</v>
      </c>
      <c r="CI125" s="769">
        <f t="shared" si="49"/>
        <v>0</v>
      </c>
      <c r="CK125" s="1366"/>
    </row>
    <row r="126" spans="2:89" x14ac:dyDescent="0.25">
      <c r="B126" s="770" t="s">
        <v>596</v>
      </c>
      <c r="C126" s="764" t="s">
        <v>366</v>
      </c>
      <c r="D126" s="765" t="s">
        <v>597</v>
      </c>
      <c r="E126" s="766" t="s">
        <v>146</v>
      </c>
      <c r="F126" s="767">
        <v>2</v>
      </c>
      <c r="G126" s="607"/>
      <c r="H126" s="607"/>
      <c r="I126" s="607">
        <f t="shared" ref="I126:BO126" si="51">I28+I98</f>
        <v>0</v>
      </c>
      <c r="J126" s="607">
        <f t="shared" si="51"/>
        <v>0</v>
      </c>
      <c r="K126" s="607">
        <f t="shared" si="51"/>
        <v>0</v>
      </c>
      <c r="L126" s="607">
        <f t="shared" si="51"/>
        <v>0</v>
      </c>
      <c r="M126" s="607">
        <f t="shared" si="51"/>
        <v>0</v>
      </c>
      <c r="N126" s="607">
        <f t="shared" si="51"/>
        <v>0</v>
      </c>
      <c r="O126" s="607">
        <f t="shared" si="51"/>
        <v>0</v>
      </c>
      <c r="P126" s="607">
        <f t="shared" si="51"/>
        <v>0</v>
      </c>
      <c r="Q126" s="607">
        <f t="shared" si="51"/>
        <v>0</v>
      </c>
      <c r="R126" s="607">
        <f t="shared" si="51"/>
        <v>0</v>
      </c>
      <c r="S126" s="607">
        <f t="shared" si="51"/>
        <v>0</v>
      </c>
      <c r="T126" s="607">
        <f t="shared" si="51"/>
        <v>0</v>
      </c>
      <c r="U126" s="607">
        <f t="shared" si="51"/>
        <v>0</v>
      </c>
      <c r="V126" s="607">
        <f t="shared" si="51"/>
        <v>0</v>
      </c>
      <c r="W126" s="607">
        <f t="shared" si="51"/>
        <v>0</v>
      </c>
      <c r="X126" s="607">
        <f t="shared" si="51"/>
        <v>0</v>
      </c>
      <c r="Y126" s="607">
        <f t="shared" si="51"/>
        <v>0</v>
      </c>
      <c r="Z126" s="607">
        <f t="shared" si="51"/>
        <v>0</v>
      </c>
      <c r="AA126" s="607">
        <f t="shared" si="51"/>
        <v>0</v>
      </c>
      <c r="AB126" s="607">
        <f t="shared" si="51"/>
        <v>0</v>
      </c>
      <c r="AC126" s="607">
        <f t="shared" si="51"/>
        <v>0</v>
      </c>
      <c r="AD126" s="607">
        <f t="shared" si="51"/>
        <v>0</v>
      </c>
      <c r="AE126" s="607">
        <f t="shared" si="51"/>
        <v>0</v>
      </c>
      <c r="AF126" s="607">
        <f t="shared" si="51"/>
        <v>0</v>
      </c>
      <c r="AG126" s="607">
        <f t="shared" si="51"/>
        <v>0</v>
      </c>
      <c r="AH126" s="607">
        <f t="shared" si="51"/>
        <v>0</v>
      </c>
      <c r="AI126" s="607">
        <f t="shared" si="51"/>
        <v>0</v>
      </c>
      <c r="AJ126" s="607">
        <f t="shared" si="51"/>
        <v>0</v>
      </c>
      <c r="AK126" s="607">
        <f t="shared" si="51"/>
        <v>0</v>
      </c>
      <c r="AL126" s="607">
        <f t="shared" si="51"/>
        <v>0</v>
      </c>
      <c r="AM126" s="607">
        <f t="shared" si="51"/>
        <v>0</v>
      </c>
      <c r="AN126" s="607">
        <f t="shared" si="51"/>
        <v>0</v>
      </c>
      <c r="AO126" s="607">
        <f t="shared" si="51"/>
        <v>0</v>
      </c>
      <c r="AP126" s="607">
        <f t="shared" si="51"/>
        <v>0</v>
      </c>
      <c r="AQ126" s="607">
        <f t="shared" si="51"/>
        <v>0</v>
      </c>
      <c r="AR126" s="607">
        <f t="shared" si="51"/>
        <v>0</v>
      </c>
      <c r="AS126" s="607">
        <f t="shared" si="51"/>
        <v>0</v>
      </c>
      <c r="AT126" s="607">
        <f t="shared" si="51"/>
        <v>0</v>
      </c>
      <c r="AU126" s="607">
        <f t="shared" si="51"/>
        <v>0</v>
      </c>
      <c r="AV126" s="607">
        <f t="shared" si="51"/>
        <v>0</v>
      </c>
      <c r="AW126" s="607">
        <f t="shared" si="51"/>
        <v>0</v>
      </c>
      <c r="AX126" s="607">
        <f t="shared" si="51"/>
        <v>0</v>
      </c>
      <c r="AY126" s="607">
        <f t="shared" si="51"/>
        <v>0</v>
      </c>
      <c r="AZ126" s="607">
        <f t="shared" si="51"/>
        <v>0</v>
      </c>
      <c r="BA126" s="607">
        <f t="shared" si="51"/>
        <v>0</v>
      </c>
      <c r="BB126" s="607">
        <f t="shared" si="51"/>
        <v>0</v>
      </c>
      <c r="BC126" s="607">
        <f t="shared" si="51"/>
        <v>0</v>
      </c>
      <c r="BD126" s="607">
        <f t="shared" si="51"/>
        <v>0</v>
      </c>
      <c r="BE126" s="607">
        <f t="shared" si="51"/>
        <v>0</v>
      </c>
      <c r="BF126" s="607">
        <f t="shared" si="51"/>
        <v>0</v>
      </c>
      <c r="BG126" s="607">
        <f t="shared" si="51"/>
        <v>0</v>
      </c>
      <c r="BH126" s="607">
        <f t="shared" si="51"/>
        <v>0</v>
      </c>
      <c r="BI126" s="607">
        <f t="shared" si="51"/>
        <v>0</v>
      </c>
      <c r="BJ126" s="607">
        <f t="shared" si="51"/>
        <v>0</v>
      </c>
      <c r="BK126" s="607">
        <f t="shared" si="51"/>
        <v>0</v>
      </c>
      <c r="BL126" s="607">
        <f t="shared" si="51"/>
        <v>0</v>
      </c>
      <c r="BM126" s="607">
        <f t="shared" si="51"/>
        <v>0</v>
      </c>
      <c r="BN126" s="607">
        <f t="shared" si="51"/>
        <v>0</v>
      </c>
      <c r="BO126" s="607">
        <f t="shared" si="51"/>
        <v>0</v>
      </c>
      <c r="BP126" s="607">
        <f t="shared" si="48"/>
        <v>0</v>
      </c>
      <c r="BQ126" s="607">
        <f t="shared" si="48"/>
        <v>0</v>
      </c>
      <c r="BR126" s="607">
        <f t="shared" si="48"/>
        <v>0</v>
      </c>
      <c r="BS126" s="607">
        <f t="shared" si="48"/>
        <v>0</v>
      </c>
      <c r="BT126" s="607">
        <f t="shared" si="49"/>
        <v>0</v>
      </c>
      <c r="BU126" s="607">
        <f t="shared" si="49"/>
        <v>0</v>
      </c>
      <c r="BV126" s="607">
        <f t="shared" si="49"/>
        <v>0</v>
      </c>
      <c r="BW126" s="607">
        <f t="shared" si="49"/>
        <v>0</v>
      </c>
      <c r="BX126" s="607">
        <f t="shared" si="49"/>
        <v>0</v>
      </c>
      <c r="BY126" s="607">
        <f t="shared" si="49"/>
        <v>0</v>
      </c>
      <c r="BZ126" s="607">
        <f t="shared" si="49"/>
        <v>0</v>
      </c>
      <c r="CA126" s="607">
        <f t="shared" si="49"/>
        <v>0</v>
      </c>
      <c r="CB126" s="607">
        <f t="shared" si="49"/>
        <v>0</v>
      </c>
      <c r="CC126" s="607">
        <f t="shared" si="49"/>
        <v>0</v>
      </c>
      <c r="CD126" s="607">
        <f t="shared" si="49"/>
        <v>0</v>
      </c>
      <c r="CE126" s="607">
        <f t="shared" si="49"/>
        <v>0</v>
      </c>
      <c r="CF126" s="607">
        <f t="shared" si="49"/>
        <v>0</v>
      </c>
      <c r="CG126" s="607">
        <f t="shared" si="49"/>
        <v>0</v>
      </c>
      <c r="CH126" s="607">
        <f t="shared" si="49"/>
        <v>0</v>
      </c>
      <c r="CI126" s="769">
        <f t="shared" si="49"/>
        <v>0</v>
      </c>
      <c r="CK126" s="1366"/>
    </row>
    <row r="127" spans="2:89" x14ac:dyDescent="0.25">
      <c r="B127" s="770" t="s">
        <v>598</v>
      </c>
      <c r="C127" s="764" t="s">
        <v>368</v>
      </c>
      <c r="D127" s="765" t="s">
        <v>599</v>
      </c>
      <c r="E127" s="766" t="s">
        <v>146</v>
      </c>
      <c r="F127" s="767">
        <v>2</v>
      </c>
      <c r="G127" s="607"/>
      <c r="H127" s="607"/>
      <c r="I127" s="607">
        <f t="shared" si="50"/>
        <v>-11.709999999999999</v>
      </c>
      <c r="J127" s="607">
        <f t="shared" si="50"/>
        <v>-11.709999999999999</v>
      </c>
      <c r="K127" s="607">
        <f t="shared" si="50"/>
        <v>-11.709999999999999</v>
      </c>
      <c r="L127" s="607">
        <f t="shared" si="50"/>
        <v>-11.709999999999999</v>
      </c>
      <c r="M127" s="768">
        <f t="shared" si="50"/>
        <v>-4.74</v>
      </c>
      <c r="N127" s="768">
        <f t="shared" si="50"/>
        <v>-4.74</v>
      </c>
      <c r="O127" s="768">
        <f t="shared" si="50"/>
        <v>-4.74</v>
      </c>
      <c r="P127" s="768">
        <f t="shared" si="50"/>
        <v>-4.74</v>
      </c>
      <c r="Q127" s="768">
        <f t="shared" si="50"/>
        <v>-4.74</v>
      </c>
      <c r="R127" s="768">
        <f t="shared" si="50"/>
        <v>-4.74</v>
      </c>
      <c r="S127" s="768">
        <f t="shared" si="50"/>
        <v>-4.74</v>
      </c>
      <c r="T127" s="768">
        <f t="shared" si="50"/>
        <v>-4.74</v>
      </c>
      <c r="U127" s="768">
        <f t="shared" si="50"/>
        <v>-4.74</v>
      </c>
      <c r="V127" s="768">
        <f t="shared" si="50"/>
        <v>-4.74</v>
      </c>
      <c r="W127" s="768">
        <f t="shared" si="50"/>
        <v>-8.74</v>
      </c>
      <c r="X127" s="768">
        <f t="shared" si="50"/>
        <v>-8.74</v>
      </c>
      <c r="Y127" s="768">
        <f t="shared" si="50"/>
        <v>-8.74</v>
      </c>
      <c r="Z127" s="768">
        <f t="shared" si="50"/>
        <v>-8.74</v>
      </c>
      <c r="AA127" s="768">
        <f t="shared" si="50"/>
        <v>-8.74</v>
      </c>
      <c r="AB127" s="768">
        <f t="shared" si="50"/>
        <v>-8.74</v>
      </c>
      <c r="AC127" s="768">
        <f t="shared" si="50"/>
        <v>-8.74</v>
      </c>
      <c r="AD127" s="768">
        <f t="shared" si="50"/>
        <v>-8.74</v>
      </c>
      <c r="AE127" s="768">
        <f t="shared" si="50"/>
        <v>-8.74</v>
      </c>
      <c r="AF127" s="768">
        <f t="shared" si="50"/>
        <v>-8.74</v>
      </c>
      <c r="AG127" s="768">
        <f t="shared" si="50"/>
        <v>-8.74</v>
      </c>
      <c r="AH127" s="768">
        <f t="shared" si="50"/>
        <v>-8.74</v>
      </c>
      <c r="AI127" s="768">
        <f t="shared" si="50"/>
        <v>-8.74</v>
      </c>
      <c r="AJ127" s="768">
        <f t="shared" si="50"/>
        <v>-8.74</v>
      </c>
      <c r="AK127" s="768">
        <f t="shared" si="50"/>
        <v>-8.74</v>
      </c>
      <c r="AL127" s="768">
        <f t="shared" si="50"/>
        <v>-8.74</v>
      </c>
      <c r="AM127" s="768">
        <f t="shared" si="48"/>
        <v>-8.74</v>
      </c>
      <c r="AN127" s="768">
        <f t="shared" si="48"/>
        <v>-8.74</v>
      </c>
      <c r="AO127" s="768">
        <f t="shared" si="48"/>
        <v>-8.74</v>
      </c>
      <c r="AP127" s="768">
        <f t="shared" si="48"/>
        <v>-8.74</v>
      </c>
      <c r="AQ127" s="768">
        <f t="shared" si="48"/>
        <v>-8.74</v>
      </c>
      <c r="AR127" s="768">
        <f t="shared" si="48"/>
        <v>-8.74</v>
      </c>
      <c r="AS127" s="768">
        <f t="shared" si="48"/>
        <v>-8.74</v>
      </c>
      <c r="AT127" s="768">
        <f t="shared" si="48"/>
        <v>-8.74</v>
      </c>
      <c r="AU127" s="768">
        <f t="shared" si="48"/>
        <v>-8.74</v>
      </c>
      <c r="AV127" s="768">
        <f t="shared" si="48"/>
        <v>-8.74</v>
      </c>
      <c r="AW127" s="768">
        <f t="shared" si="48"/>
        <v>-8.74</v>
      </c>
      <c r="AX127" s="768">
        <f t="shared" si="48"/>
        <v>-8.74</v>
      </c>
      <c r="AY127" s="768">
        <f t="shared" si="48"/>
        <v>-8.74</v>
      </c>
      <c r="AZ127" s="768">
        <f t="shared" si="48"/>
        <v>-8.74</v>
      </c>
      <c r="BA127" s="768">
        <f t="shared" si="48"/>
        <v>-8.74</v>
      </c>
      <c r="BB127" s="768">
        <f t="shared" si="48"/>
        <v>-8.74</v>
      </c>
      <c r="BC127" s="768">
        <f t="shared" si="48"/>
        <v>-8.74</v>
      </c>
      <c r="BD127" s="768">
        <f t="shared" si="48"/>
        <v>-8.74</v>
      </c>
      <c r="BE127" s="768">
        <f t="shared" si="48"/>
        <v>-8.74</v>
      </c>
      <c r="BF127" s="768">
        <f t="shared" si="48"/>
        <v>-8.74</v>
      </c>
      <c r="BG127" s="768">
        <f t="shared" si="48"/>
        <v>-8.74</v>
      </c>
      <c r="BH127" s="768">
        <f t="shared" si="48"/>
        <v>-8.74</v>
      </c>
      <c r="BI127" s="768">
        <f t="shared" si="48"/>
        <v>-8.74</v>
      </c>
      <c r="BJ127" s="768">
        <f t="shared" si="48"/>
        <v>-8.74</v>
      </c>
      <c r="BK127" s="768">
        <f t="shared" si="48"/>
        <v>-8.74</v>
      </c>
      <c r="BL127" s="768">
        <f t="shared" si="48"/>
        <v>-8.74</v>
      </c>
      <c r="BM127" s="768">
        <f t="shared" si="48"/>
        <v>-8.74</v>
      </c>
      <c r="BN127" s="768">
        <f t="shared" si="48"/>
        <v>-8.74</v>
      </c>
      <c r="BO127" s="768">
        <f t="shared" si="48"/>
        <v>-8.74</v>
      </c>
      <c r="BP127" s="768">
        <f t="shared" si="48"/>
        <v>0</v>
      </c>
      <c r="BQ127" s="768">
        <f t="shared" si="48"/>
        <v>0</v>
      </c>
      <c r="BR127" s="768">
        <f t="shared" si="48"/>
        <v>0</v>
      </c>
      <c r="BS127" s="768">
        <f t="shared" si="48"/>
        <v>0</v>
      </c>
      <c r="BT127" s="768">
        <f t="shared" si="49"/>
        <v>0</v>
      </c>
      <c r="BU127" s="768">
        <f t="shared" si="49"/>
        <v>0</v>
      </c>
      <c r="BV127" s="768">
        <f t="shared" si="49"/>
        <v>0</v>
      </c>
      <c r="BW127" s="768">
        <f t="shared" si="49"/>
        <v>0</v>
      </c>
      <c r="BX127" s="768">
        <f t="shared" si="49"/>
        <v>0</v>
      </c>
      <c r="BY127" s="768">
        <f t="shared" si="49"/>
        <v>0</v>
      </c>
      <c r="BZ127" s="768">
        <f t="shared" si="49"/>
        <v>0</v>
      </c>
      <c r="CA127" s="768">
        <f t="shared" si="49"/>
        <v>0</v>
      </c>
      <c r="CB127" s="768">
        <f t="shared" si="49"/>
        <v>0</v>
      </c>
      <c r="CC127" s="768">
        <f t="shared" si="49"/>
        <v>0</v>
      </c>
      <c r="CD127" s="768">
        <f t="shared" si="49"/>
        <v>0</v>
      </c>
      <c r="CE127" s="768">
        <f t="shared" si="49"/>
        <v>0</v>
      </c>
      <c r="CF127" s="768">
        <f t="shared" si="49"/>
        <v>0</v>
      </c>
      <c r="CG127" s="768">
        <f t="shared" si="49"/>
        <v>0</v>
      </c>
      <c r="CH127" s="768">
        <f t="shared" si="49"/>
        <v>0</v>
      </c>
      <c r="CI127" s="769">
        <f t="shared" si="49"/>
        <v>0</v>
      </c>
      <c r="CK127" s="1366"/>
    </row>
    <row r="128" spans="2:89" x14ac:dyDescent="0.25">
      <c r="B128" s="770" t="s">
        <v>600</v>
      </c>
      <c r="C128" s="771" t="s">
        <v>372</v>
      </c>
      <c r="D128" s="765" t="s">
        <v>601</v>
      </c>
      <c r="E128" s="766" t="s">
        <v>146</v>
      </c>
      <c r="F128" s="767">
        <v>2</v>
      </c>
      <c r="G128" s="607"/>
      <c r="H128" s="607"/>
      <c r="I128" s="607">
        <f t="shared" ref="I128:BS128" si="52">I31+I100+I101+I102+I103</f>
        <v>341.01625000000001</v>
      </c>
      <c r="J128" s="607">
        <f t="shared" si="52"/>
        <v>340.61</v>
      </c>
      <c r="K128" s="607">
        <f t="shared" si="52"/>
        <v>340.20375000000001</v>
      </c>
      <c r="L128" s="607">
        <f t="shared" si="52"/>
        <v>339.79750000000001</v>
      </c>
      <c r="M128" s="607">
        <f t="shared" si="52"/>
        <v>338.39125000000001</v>
      </c>
      <c r="N128" s="607">
        <f t="shared" si="52"/>
        <v>337.98500000000001</v>
      </c>
      <c r="O128" s="607">
        <f t="shared" si="52"/>
        <v>337.57875000000001</v>
      </c>
      <c r="P128" s="607">
        <f t="shared" si="52"/>
        <v>337.17250000000001</v>
      </c>
      <c r="Q128" s="607">
        <f t="shared" si="52"/>
        <v>336.76625000000001</v>
      </c>
      <c r="R128" s="607">
        <f t="shared" si="52"/>
        <v>334.74</v>
      </c>
      <c r="S128" s="607">
        <f t="shared" si="52"/>
        <v>334.33375000000001</v>
      </c>
      <c r="T128" s="607">
        <f t="shared" si="52"/>
        <v>333.92750000000001</v>
      </c>
      <c r="U128" s="607">
        <f t="shared" si="52"/>
        <v>333.52125000000001</v>
      </c>
      <c r="V128" s="607">
        <f t="shared" si="52"/>
        <v>333.11500000000001</v>
      </c>
      <c r="W128" s="607">
        <f t="shared" si="52"/>
        <v>332.70875000000001</v>
      </c>
      <c r="X128" s="607">
        <f t="shared" si="52"/>
        <v>332.30250000000001</v>
      </c>
      <c r="Y128" s="607">
        <f t="shared" si="52"/>
        <v>331.89625000000001</v>
      </c>
      <c r="Z128" s="607">
        <f t="shared" si="52"/>
        <v>331.49</v>
      </c>
      <c r="AA128" s="607">
        <f t="shared" si="52"/>
        <v>331.08375000000001</v>
      </c>
      <c r="AB128" s="607">
        <f t="shared" si="52"/>
        <v>330.67750000000001</v>
      </c>
      <c r="AC128" s="607">
        <f t="shared" si="52"/>
        <v>330.27125000000001</v>
      </c>
      <c r="AD128" s="607">
        <f t="shared" si="52"/>
        <v>329.86500000000001</v>
      </c>
      <c r="AE128" s="607">
        <f t="shared" si="52"/>
        <v>329.45875000000001</v>
      </c>
      <c r="AF128" s="607">
        <f t="shared" si="52"/>
        <v>329.05250000000001</v>
      </c>
      <c r="AG128" s="607">
        <f t="shared" si="52"/>
        <v>328.64625000000001</v>
      </c>
      <c r="AH128" s="607">
        <f t="shared" si="52"/>
        <v>328.24</v>
      </c>
      <c r="AI128" s="607">
        <f t="shared" si="52"/>
        <v>327.83375000000001</v>
      </c>
      <c r="AJ128" s="607">
        <f t="shared" si="52"/>
        <v>327.42750000000001</v>
      </c>
      <c r="AK128" s="607">
        <f t="shared" si="52"/>
        <v>327.02125000000001</v>
      </c>
      <c r="AL128" s="607">
        <f t="shared" si="52"/>
        <v>326.61500000000001</v>
      </c>
      <c r="AM128" s="607">
        <f t="shared" si="52"/>
        <v>326.20875000000001</v>
      </c>
      <c r="AN128" s="607">
        <f t="shared" si="52"/>
        <v>325.80250000000001</v>
      </c>
      <c r="AO128" s="607">
        <f t="shared" si="52"/>
        <v>325.39625000000001</v>
      </c>
      <c r="AP128" s="607">
        <f t="shared" si="52"/>
        <v>324.99</v>
      </c>
      <c r="AQ128" s="607">
        <f t="shared" si="52"/>
        <v>324.58375000000001</v>
      </c>
      <c r="AR128" s="607">
        <f t="shared" si="52"/>
        <v>324.17750000000001</v>
      </c>
      <c r="AS128" s="607">
        <f t="shared" si="52"/>
        <v>323.77125000000001</v>
      </c>
      <c r="AT128" s="607">
        <f t="shared" si="52"/>
        <v>323.36500000000001</v>
      </c>
      <c r="AU128" s="607">
        <f t="shared" si="52"/>
        <v>322.95875000000001</v>
      </c>
      <c r="AV128" s="607">
        <f t="shared" si="52"/>
        <v>322.55250000000001</v>
      </c>
      <c r="AW128" s="607">
        <f t="shared" si="52"/>
        <v>322.14625000000001</v>
      </c>
      <c r="AX128" s="607">
        <f t="shared" si="52"/>
        <v>321.74</v>
      </c>
      <c r="AY128" s="607">
        <f t="shared" si="52"/>
        <v>321.33375000000001</v>
      </c>
      <c r="AZ128" s="607">
        <f t="shared" si="52"/>
        <v>320.92750000000001</v>
      </c>
      <c r="BA128" s="607">
        <f t="shared" si="52"/>
        <v>320.52125000000001</v>
      </c>
      <c r="BB128" s="607">
        <f t="shared" si="52"/>
        <v>320.11500000000001</v>
      </c>
      <c r="BC128" s="607">
        <f t="shared" si="52"/>
        <v>319.70875000000001</v>
      </c>
      <c r="BD128" s="607">
        <f t="shared" si="52"/>
        <v>319.30250000000001</v>
      </c>
      <c r="BE128" s="607">
        <f t="shared" si="52"/>
        <v>318.89625000000001</v>
      </c>
      <c r="BF128" s="607">
        <f t="shared" si="52"/>
        <v>318.49</v>
      </c>
      <c r="BG128" s="607">
        <f t="shared" si="52"/>
        <v>318.08375000000001</v>
      </c>
      <c r="BH128" s="607">
        <f t="shared" si="52"/>
        <v>317.67750000000001</v>
      </c>
      <c r="BI128" s="607">
        <f t="shared" si="52"/>
        <v>317.27125000000001</v>
      </c>
      <c r="BJ128" s="607">
        <f t="shared" si="52"/>
        <v>316.86500000000001</v>
      </c>
      <c r="BK128" s="607">
        <f t="shared" si="52"/>
        <v>316.45875000000001</v>
      </c>
      <c r="BL128" s="607">
        <f t="shared" si="52"/>
        <v>316.05250000000001</v>
      </c>
      <c r="BM128" s="607">
        <f t="shared" si="52"/>
        <v>315.64625000000001</v>
      </c>
      <c r="BN128" s="607">
        <f t="shared" si="52"/>
        <v>315.24</v>
      </c>
      <c r="BO128" s="607">
        <f t="shared" si="52"/>
        <v>314.83375000000001</v>
      </c>
      <c r="BP128" s="607">
        <f t="shared" si="52"/>
        <v>0</v>
      </c>
      <c r="BQ128" s="607">
        <f t="shared" si="52"/>
        <v>0</v>
      </c>
      <c r="BR128" s="607">
        <f t="shared" si="52"/>
        <v>0</v>
      </c>
      <c r="BS128" s="607">
        <f t="shared" si="52"/>
        <v>0</v>
      </c>
      <c r="BT128" s="607">
        <f t="shared" ref="BT128:CI128" si="53">BT31+BT100+BT101+BT102+BT103</f>
        <v>0</v>
      </c>
      <c r="BU128" s="607">
        <f t="shared" si="53"/>
        <v>0</v>
      </c>
      <c r="BV128" s="607">
        <f t="shared" si="53"/>
        <v>0</v>
      </c>
      <c r="BW128" s="607">
        <f t="shared" si="53"/>
        <v>0</v>
      </c>
      <c r="BX128" s="607">
        <f t="shared" si="53"/>
        <v>0</v>
      </c>
      <c r="BY128" s="607">
        <f t="shared" si="53"/>
        <v>0</v>
      </c>
      <c r="BZ128" s="607">
        <f t="shared" si="53"/>
        <v>0</v>
      </c>
      <c r="CA128" s="607">
        <f t="shared" si="53"/>
        <v>0</v>
      </c>
      <c r="CB128" s="607">
        <f t="shared" si="53"/>
        <v>0</v>
      </c>
      <c r="CC128" s="607">
        <f t="shared" si="53"/>
        <v>0</v>
      </c>
      <c r="CD128" s="607">
        <f t="shared" si="53"/>
        <v>0</v>
      </c>
      <c r="CE128" s="607">
        <f t="shared" si="53"/>
        <v>0</v>
      </c>
      <c r="CF128" s="607">
        <f t="shared" si="53"/>
        <v>0</v>
      </c>
      <c r="CG128" s="607">
        <f t="shared" si="53"/>
        <v>0</v>
      </c>
      <c r="CH128" s="607">
        <f t="shared" si="53"/>
        <v>0</v>
      </c>
      <c r="CI128" s="769">
        <f t="shared" si="53"/>
        <v>0</v>
      </c>
      <c r="CK128" s="1366"/>
    </row>
    <row r="129" spans="2:89" ht="27.6" x14ac:dyDescent="0.25">
      <c r="B129" s="770" t="s">
        <v>602</v>
      </c>
      <c r="C129" s="771" t="s">
        <v>603</v>
      </c>
      <c r="D129" s="765" t="s">
        <v>604</v>
      </c>
      <c r="E129" s="766" t="s">
        <v>146</v>
      </c>
      <c r="F129" s="767">
        <v>2</v>
      </c>
      <c r="G129" s="607"/>
      <c r="H129" s="607"/>
      <c r="I129" s="607">
        <f t="shared" ref="I129:BR129" si="54">I39+I104+I105</f>
        <v>13.71</v>
      </c>
      <c r="J129" s="607">
        <f t="shared" si="54"/>
        <v>18.170000000000002</v>
      </c>
      <c r="K129" s="607">
        <f t="shared" si="54"/>
        <v>18.170000000000002</v>
      </c>
      <c r="L129" s="607">
        <f t="shared" si="54"/>
        <v>18.170000000000002</v>
      </c>
      <c r="M129" s="768">
        <f t="shared" si="54"/>
        <v>18.170000000000002</v>
      </c>
      <c r="N129" s="768">
        <f t="shared" si="54"/>
        <v>18.170000000000002</v>
      </c>
      <c r="O129" s="768">
        <f t="shared" si="54"/>
        <v>18.170000000000002</v>
      </c>
      <c r="P129" s="768">
        <f t="shared" si="54"/>
        <v>18.170000000000002</v>
      </c>
      <c r="Q129" s="768">
        <f t="shared" si="54"/>
        <v>18.170000000000002</v>
      </c>
      <c r="R129" s="768">
        <f t="shared" si="54"/>
        <v>18.170000000000002</v>
      </c>
      <c r="S129" s="768">
        <f t="shared" si="54"/>
        <v>18.170000000000002</v>
      </c>
      <c r="T129" s="768">
        <f t="shared" si="54"/>
        <v>18.170000000000002</v>
      </c>
      <c r="U129" s="768">
        <f t="shared" si="54"/>
        <v>18.170000000000002</v>
      </c>
      <c r="V129" s="768">
        <f t="shared" si="54"/>
        <v>18.170000000000002</v>
      </c>
      <c r="W129" s="768">
        <f t="shared" si="54"/>
        <v>18.170000000000002</v>
      </c>
      <c r="X129" s="768">
        <f t="shared" si="54"/>
        <v>18.170000000000002</v>
      </c>
      <c r="Y129" s="768">
        <f t="shared" si="54"/>
        <v>18.170000000000002</v>
      </c>
      <c r="Z129" s="768">
        <f t="shared" si="54"/>
        <v>18.170000000000002</v>
      </c>
      <c r="AA129" s="768">
        <f t="shared" si="54"/>
        <v>18.170000000000002</v>
      </c>
      <c r="AB129" s="768">
        <f t="shared" si="54"/>
        <v>18.170000000000002</v>
      </c>
      <c r="AC129" s="768">
        <f t="shared" si="54"/>
        <v>18.170000000000002</v>
      </c>
      <c r="AD129" s="768">
        <f t="shared" si="54"/>
        <v>18.170000000000002</v>
      </c>
      <c r="AE129" s="768">
        <f t="shared" si="54"/>
        <v>18.170000000000002</v>
      </c>
      <c r="AF129" s="768">
        <f t="shared" si="54"/>
        <v>18.170000000000002</v>
      </c>
      <c r="AG129" s="768">
        <f t="shared" si="54"/>
        <v>18.170000000000002</v>
      </c>
      <c r="AH129" s="768">
        <f t="shared" si="54"/>
        <v>18.170000000000002</v>
      </c>
      <c r="AI129" s="768">
        <f t="shared" si="54"/>
        <v>18.170000000000002</v>
      </c>
      <c r="AJ129" s="768">
        <f t="shared" si="54"/>
        <v>18.170000000000002</v>
      </c>
      <c r="AK129" s="768">
        <f t="shared" si="54"/>
        <v>18.170000000000002</v>
      </c>
      <c r="AL129" s="768">
        <f t="shared" si="54"/>
        <v>18.170000000000002</v>
      </c>
      <c r="AM129" s="768">
        <f t="shared" si="54"/>
        <v>18.170000000000002</v>
      </c>
      <c r="AN129" s="768">
        <f t="shared" si="54"/>
        <v>18.170000000000002</v>
      </c>
      <c r="AO129" s="768">
        <f t="shared" si="54"/>
        <v>18.170000000000002</v>
      </c>
      <c r="AP129" s="768">
        <f t="shared" si="54"/>
        <v>18.170000000000002</v>
      </c>
      <c r="AQ129" s="768">
        <f t="shared" si="54"/>
        <v>18.170000000000002</v>
      </c>
      <c r="AR129" s="768">
        <f t="shared" si="54"/>
        <v>18.170000000000002</v>
      </c>
      <c r="AS129" s="768">
        <f t="shared" si="54"/>
        <v>18.170000000000002</v>
      </c>
      <c r="AT129" s="768">
        <f t="shared" si="54"/>
        <v>18.170000000000002</v>
      </c>
      <c r="AU129" s="768">
        <f t="shared" si="54"/>
        <v>18.170000000000002</v>
      </c>
      <c r="AV129" s="768">
        <f t="shared" si="54"/>
        <v>18.170000000000002</v>
      </c>
      <c r="AW129" s="768">
        <f t="shared" si="54"/>
        <v>18.170000000000002</v>
      </c>
      <c r="AX129" s="768">
        <f t="shared" si="54"/>
        <v>18.170000000000002</v>
      </c>
      <c r="AY129" s="768">
        <f t="shared" si="54"/>
        <v>18.170000000000002</v>
      </c>
      <c r="AZ129" s="768">
        <f t="shared" si="54"/>
        <v>18.170000000000002</v>
      </c>
      <c r="BA129" s="768">
        <f t="shared" si="54"/>
        <v>18.170000000000002</v>
      </c>
      <c r="BB129" s="768">
        <f t="shared" si="54"/>
        <v>18.170000000000002</v>
      </c>
      <c r="BC129" s="768">
        <f t="shared" si="54"/>
        <v>18.170000000000002</v>
      </c>
      <c r="BD129" s="768">
        <f t="shared" si="54"/>
        <v>18.170000000000002</v>
      </c>
      <c r="BE129" s="768">
        <f t="shared" si="54"/>
        <v>18.170000000000002</v>
      </c>
      <c r="BF129" s="768">
        <f t="shared" si="54"/>
        <v>18.170000000000002</v>
      </c>
      <c r="BG129" s="768">
        <f t="shared" si="54"/>
        <v>18.170000000000002</v>
      </c>
      <c r="BH129" s="768">
        <f t="shared" si="54"/>
        <v>18.170000000000002</v>
      </c>
      <c r="BI129" s="768">
        <f t="shared" si="54"/>
        <v>18.170000000000002</v>
      </c>
      <c r="BJ129" s="768">
        <f t="shared" si="54"/>
        <v>18.170000000000002</v>
      </c>
      <c r="BK129" s="768">
        <f t="shared" si="54"/>
        <v>18.170000000000002</v>
      </c>
      <c r="BL129" s="768">
        <f t="shared" si="54"/>
        <v>18.170000000000002</v>
      </c>
      <c r="BM129" s="768">
        <f t="shared" si="54"/>
        <v>18.170000000000002</v>
      </c>
      <c r="BN129" s="768">
        <f t="shared" si="54"/>
        <v>18.170000000000002</v>
      </c>
      <c r="BO129" s="768">
        <f t="shared" si="54"/>
        <v>18.170000000000002</v>
      </c>
      <c r="BP129" s="768">
        <f t="shared" si="54"/>
        <v>0</v>
      </c>
      <c r="BQ129" s="768">
        <f t="shared" si="54"/>
        <v>0</v>
      </c>
      <c r="BR129" s="768">
        <f t="shared" si="54"/>
        <v>0</v>
      </c>
      <c r="BS129" s="768">
        <f t="shared" ref="BS129:CI129" si="55">BS39+BS104+BS105</f>
        <v>0</v>
      </c>
      <c r="BT129" s="768">
        <f t="shared" si="55"/>
        <v>0</v>
      </c>
      <c r="BU129" s="768">
        <f t="shared" si="55"/>
        <v>0</v>
      </c>
      <c r="BV129" s="768">
        <f t="shared" si="55"/>
        <v>0</v>
      </c>
      <c r="BW129" s="768">
        <f t="shared" si="55"/>
        <v>0</v>
      </c>
      <c r="BX129" s="768">
        <f t="shared" si="55"/>
        <v>0</v>
      </c>
      <c r="BY129" s="768">
        <f t="shared" si="55"/>
        <v>0</v>
      </c>
      <c r="BZ129" s="768">
        <f t="shared" si="55"/>
        <v>0</v>
      </c>
      <c r="CA129" s="768">
        <f t="shared" si="55"/>
        <v>0</v>
      </c>
      <c r="CB129" s="768">
        <f t="shared" si="55"/>
        <v>0</v>
      </c>
      <c r="CC129" s="768">
        <f t="shared" si="55"/>
        <v>0</v>
      </c>
      <c r="CD129" s="768">
        <f t="shared" si="55"/>
        <v>0</v>
      </c>
      <c r="CE129" s="768">
        <f t="shared" si="55"/>
        <v>0</v>
      </c>
      <c r="CF129" s="768">
        <f t="shared" si="55"/>
        <v>0</v>
      </c>
      <c r="CG129" s="768">
        <f t="shared" si="55"/>
        <v>0</v>
      </c>
      <c r="CH129" s="768">
        <f t="shared" si="55"/>
        <v>0</v>
      </c>
      <c r="CI129" s="769">
        <f t="shared" si="55"/>
        <v>0</v>
      </c>
      <c r="CK129" s="1366"/>
    </row>
    <row r="130" spans="2:89" x14ac:dyDescent="0.25">
      <c r="B130" s="770" t="s">
        <v>605</v>
      </c>
      <c r="C130" s="771" t="s">
        <v>393</v>
      </c>
      <c r="D130" s="765" t="s">
        <v>606</v>
      </c>
      <c r="E130" s="766" t="s">
        <v>146</v>
      </c>
      <c r="F130" s="767">
        <v>2</v>
      </c>
      <c r="G130" s="607"/>
      <c r="H130" s="607"/>
      <c r="I130" s="607">
        <f t="shared" ref="I130:BR130" si="56">I40+I106</f>
        <v>4.2699999999999996</v>
      </c>
      <c r="J130" s="607">
        <f t="shared" si="56"/>
        <v>4.2699999999999996</v>
      </c>
      <c r="K130" s="607">
        <f t="shared" si="56"/>
        <v>4.2699999999999996</v>
      </c>
      <c r="L130" s="607">
        <f t="shared" si="56"/>
        <v>4.2699999999999996</v>
      </c>
      <c r="M130" s="768">
        <f t="shared" si="56"/>
        <v>4.2699999999999996</v>
      </c>
      <c r="N130" s="768">
        <f t="shared" si="56"/>
        <v>4.2699999999999996</v>
      </c>
      <c r="O130" s="768">
        <f t="shared" si="56"/>
        <v>4.2699999999999996</v>
      </c>
      <c r="P130" s="768">
        <f t="shared" si="56"/>
        <v>4.2699999999999996</v>
      </c>
      <c r="Q130" s="768">
        <f t="shared" si="56"/>
        <v>4.2699999999999996</v>
      </c>
      <c r="R130" s="768">
        <f t="shared" si="56"/>
        <v>4.2699999999999996</v>
      </c>
      <c r="S130" s="768">
        <f t="shared" si="56"/>
        <v>4.2699999999999996</v>
      </c>
      <c r="T130" s="768">
        <f t="shared" si="56"/>
        <v>4.2699999999999996</v>
      </c>
      <c r="U130" s="768">
        <f t="shared" si="56"/>
        <v>4.2699999999999996</v>
      </c>
      <c r="V130" s="768">
        <f t="shared" si="56"/>
        <v>4.2699999999999996</v>
      </c>
      <c r="W130" s="768">
        <f t="shared" si="56"/>
        <v>4.2699999999999996</v>
      </c>
      <c r="X130" s="768">
        <f t="shared" si="56"/>
        <v>4.2699999999999996</v>
      </c>
      <c r="Y130" s="768">
        <f t="shared" si="56"/>
        <v>4.2699999999999996</v>
      </c>
      <c r="Z130" s="768">
        <f t="shared" si="56"/>
        <v>4.2699999999999996</v>
      </c>
      <c r="AA130" s="768">
        <f t="shared" si="56"/>
        <v>4.2699999999999996</v>
      </c>
      <c r="AB130" s="768">
        <f t="shared" si="56"/>
        <v>4.22</v>
      </c>
      <c r="AC130" s="768">
        <f t="shared" si="56"/>
        <v>4.22</v>
      </c>
      <c r="AD130" s="768">
        <f t="shared" si="56"/>
        <v>4.22</v>
      </c>
      <c r="AE130" s="768">
        <f t="shared" si="56"/>
        <v>4.22</v>
      </c>
      <c r="AF130" s="768">
        <f t="shared" si="56"/>
        <v>4.22</v>
      </c>
      <c r="AG130" s="768">
        <f t="shared" si="56"/>
        <v>4.22</v>
      </c>
      <c r="AH130" s="768">
        <f t="shared" si="56"/>
        <v>4.22</v>
      </c>
      <c r="AI130" s="768">
        <f t="shared" si="56"/>
        <v>4.22</v>
      </c>
      <c r="AJ130" s="768">
        <f t="shared" si="56"/>
        <v>4.22</v>
      </c>
      <c r="AK130" s="768">
        <f t="shared" si="56"/>
        <v>4.22</v>
      </c>
      <c r="AL130" s="768">
        <f t="shared" si="56"/>
        <v>4.22</v>
      </c>
      <c r="AM130" s="768">
        <f t="shared" si="56"/>
        <v>4.22</v>
      </c>
      <c r="AN130" s="768">
        <f t="shared" si="56"/>
        <v>4.22</v>
      </c>
      <c r="AO130" s="768">
        <f t="shared" si="56"/>
        <v>4.22</v>
      </c>
      <c r="AP130" s="768">
        <f t="shared" si="56"/>
        <v>4.22</v>
      </c>
      <c r="AQ130" s="768">
        <f t="shared" si="56"/>
        <v>4.22</v>
      </c>
      <c r="AR130" s="768">
        <f t="shared" si="56"/>
        <v>4.22</v>
      </c>
      <c r="AS130" s="768">
        <f t="shared" si="56"/>
        <v>4.22</v>
      </c>
      <c r="AT130" s="768">
        <f t="shared" si="56"/>
        <v>4.22</v>
      </c>
      <c r="AU130" s="768">
        <f t="shared" si="56"/>
        <v>4.22</v>
      </c>
      <c r="AV130" s="768">
        <f t="shared" si="56"/>
        <v>4.22</v>
      </c>
      <c r="AW130" s="768">
        <f t="shared" si="56"/>
        <v>4.22</v>
      </c>
      <c r="AX130" s="768">
        <f t="shared" si="56"/>
        <v>4.22</v>
      </c>
      <c r="AY130" s="768">
        <f t="shared" si="56"/>
        <v>4.22</v>
      </c>
      <c r="AZ130" s="768">
        <f t="shared" si="56"/>
        <v>4.22</v>
      </c>
      <c r="BA130" s="768">
        <f t="shared" si="56"/>
        <v>4.22</v>
      </c>
      <c r="BB130" s="768">
        <f t="shared" si="56"/>
        <v>4.22</v>
      </c>
      <c r="BC130" s="768">
        <f t="shared" si="56"/>
        <v>4.22</v>
      </c>
      <c r="BD130" s="768">
        <f t="shared" si="56"/>
        <v>4.22</v>
      </c>
      <c r="BE130" s="768">
        <f t="shared" si="56"/>
        <v>4.22</v>
      </c>
      <c r="BF130" s="768">
        <f t="shared" si="56"/>
        <v>4.22</v>
      </c>
      <c r="BG130" s="768">
        <f t="shared" si="56"/>
        <v>4.22</v>
      </c>
      <c r="BH130" s="768">
        <f t="shared" si="56"/>
        <v>4.22</v>
      </c>
      <c r="BI130" s="768">
        <f t="shared" si="56"/>
        <v>4.22</v>
      </c>
      <c r="BJ130" s="768">
        <f t="shared" si="56"/>
        <v>4.22</v>
      </c>
      <c r="BK130" s="768">
        <f t="shared" si="56"/>
        <v>4.22</v>
      </c>
      <c r="BL130" s="768">
        <f t="shared" si="56"/>
        <v>4.22</v>
      </c>
      <c r="BM130" s="768">
        <f t="shared" si="56"/>
        <v>4.22</v>
      </c>
      <c r="BN130" s="768">
        <f t="shared" si="56"/>
        <v>4.22</v>
      </c>
      <c r="BO130" s="768">
        <f t="shared" si="56"/>
        <v>4.22</v>
      </c>
      <c r="BP130" s="768">
        <f t="shared" si="56"/>
        <v>0</v>
      </c>
      <c r="BQ130" s="768">
        <f t="shared" si="56"/>
        <v>0</v>
      </c>
      <c r="BR130" s="768">
        <f t="shared" si="56"/>
        <v>0</v>
      </c>
      <c r="BS130" s="768">
        <f t="shared" ref="BS130:CI130" si="57">BS40+BS106</f>
        <v>0</v>
      </c>
      <c r="BT130" s="768">
        <f t="shared" si="57"/>
        <v>0</v>
      </c>
      <c r="BU130" s="768">
        <f t="shared" si="57"/>
        <v>0</v>
      </c>
      <c r="BV130" s="768">
        <f t="shared" si="57"/>
        <v>0</v>
      </c>
      <c r="BW130" s="768">
        <f t="shared" si="57"/>
        <v>0</v>
      </c>
      <c r="BX130" s="768">
        <f t="shared" si="57"/>
        <v>0</v>
      </c>
      <c r="BY130" s="768">
        <f t="shared" si="57"/>
        <v>0</v>
      </c>
      <c r="BZ130" s="768">
        <f t="shared" si="57"/>
        <v>0</v>
      </c>
      <c r="CA130" s="768">
        <f t="shared" si="57"/>
        <v>0</v>
      </c>
      <c r="CB130" s="768">
        <f t="shared" si="57"/>
        <v>0</v>
      </c>
      <c r="CC130" s="768">
        <f t="shared" si="57"/>
        <v>0</v>
      </c>
      <c r="CD130" s="768">
        <f t="shared" si="57"/>
        <v>0</v>
      </c>
      <c r="CE130" s="768">
        <f t="shared" si="57"/>
        <v>0</v>
      </c>
      <c r="CF130" s="768">
        <f t="shared" si="57"/>
        <v>0</v>
      </c>
      <c r="CG130" s="768">
        <f t="shared" si="57"/>
        <v>0</v>
      </c>
      <c r="CH130" s="768">
        <f t="shared" si="57"/>
        <v>0</v>
      </c>
      <c r="CI130" s="769">
        <f t="shared" si="57"/>
        <v>0</v>
      </c>
      <c r="CK130" s="1366"/>
    </row>
    <row r="131" spans="2:89" x14ac:dyDescent="0.25">
      <c r="B131" s="772" t="s">
        <v>607</v>
      </c>
      <c r="C131" s="773" t="s">
        <v>297</v>
      </c>
      <c r="D131" s="773" t="s">
        <v>608</v>
      </c>
      <c r="E131" s="774" t="s">
        <v>146</v>
      </c>
      <c r="F131" s="767">
        <v>2</v>
      </c>
      <c r="G131" s="607"/>
      <c r="H131" s="607"/>
      <c r="I131" s="607">
        <f t="shared" ref="I131:BS131" si="58">(I128)-(I129+I130)</f>
        <v>323.03625</v>
      </c>
      <c r="J131" s="607">
        <f t="shared" si="58"/>
        <v>318.17</v>
      </c>
      <c r="K131" s="607">
        <f t="shared" si="58"/>
        <v>317.76375000000002</v>
      </c>
      <c r="L131" s="607">
        <f t="shared" si="58"/>
        <v>317.35750000000002</v>
      </c>
      <c r="M131" s="607">
        <f t="shared" si="58"/>
        <v>315.95125000000002</v>
      </c>
      <c r="N131" s="607">
        <f t="shared" si="58"/>
        <v>315.54500000000002</v>
      </c>
      <c r="O131" s="607">
        <f t="shared" si="58"/>
        <v>315.13875000000002</v>
      </c>
      <c r="P131" s="607">
        <f t="shared" si="58"/>
        <v>314.73250000000002</v>
      </c>
      <c r="Q131" s="607">
        <f t="shared" si="58"/>
        <v>314.32625000000002</v>
      </c>
      <c r="R131" s="607">
        <f t="shared" si="58"/>
        <v>312.3</v>
      </c>
      <c r="S131" s="607">
        <f t="shared" si="58"/>
        <v>311.89375000000001</v>
      </c>
      <c r="T131" s="607">
        <f t="shared" si="58"/>
        <v>311.48750000000001</v>
      </c>
      <c r="U131" s="607">
        <f t="shared" si="58"/>
        <v>311.08125000000001</v>
      </c>
      <c r="V131" s="607">
        <f t="shared" si="58"/>
        <v>310.67500000000001</v>
      </c>
      <c r="W131" s="607">
        <f t="shared" si="58"/>
        <v>310.26875000000001</v>
      </c>
      <c r="X131" s="607">
        <f t="shared" si="58"/>
        <v>309.86250000000001</v>
      </c>
      <c r="Y131" s="607">
        <f t="shared" si="58"/>
        <v>309.45625000000001</v>
      </c>
      <c r="Z131" s="607">
        <f t="shared" si="58"/>
        <v>309.05</v>
      </c>
      <c r="AA131" s="607">
        <f t="shared" si="58"/>
        <v>308.64375000000001</v>
      </c>
      <c r="AB131" s="607">
        <f t="shared" si="58"/>
        <v>308.28750000000002</v>
      </c>
      <c r="AC131" s="607">
        <f t="shared" si="58"/>
        <v>307.88125000000002</v>
      </c>
      <c r="AD131" s="607">
        <f t="shared" si="58"/>
        <v>307.47500000000002</v>
      </c>
      <c r="AE131" s="607">
        <f t="shared" si="58"/>
        <v>307.06875000000002</v>
      </c>
      <c r="AF131" s="607">
        <f t="shared" si="58"/>
        <v>306.66250000000002</v>
      </c>
      <c r="AG131" s="607">
        <f t="shared" si="58"/>
        <v>306.25625000000002</v>
      </c>
      <c r="AH131" s="607">
        <f t="shared" si="58"/>
        <v>305.85000000000002</v>
      </c>
      <c r="AI131" s="607">
        <f t="shared" si="58"/>
        <v>305.44375000000002</v>
      </c>
      <c r="AJ131" s="607">
        <f t="shared" si="58"/>
        <v>305.03750000000002</v>
      </c>
      <c r="AK131" s="607">
        <f t="shared" si="58"/>
        <v>304.63125000000002</v>
      </c>
      <c r="AL131" s="607">
        <f t="shared" si="58"/>
        <v>304.22500000000002</v>
      </c>
      <c r="AM131" s="607">
        <f t="shared" si="58"/>
        <v>303.81875000000002</v>
      </c>
      <c r="AN131" s="607">
        <f t="shared" si="58"/>
        <v>303.41250000000002</v>
      </c>
      <c r="AO131" s="607">
        <f t="shared" si="58"/>
        <v>303.00625000000002</v>
      </c>
      <c r="AP131" s="607">
        <f t="shared" si="58"/>
        <v>302.60000000000002</v>
      </c>
      <c r="AQ131" s="607">
        <f t="shared" si="58"/>
        <v>302.19375000000002</v>
      </c>
      <c r="AR131" s="607">
        <f t="shared" si="58"/>
        <v>301.78750000000002</v>
      </c>
      <c r="AS131" s="607">
        <f t="shared" si="58"/>
        <v>301.38125000000002</v>
      </c>
      <c r="AT131" s="607">
        <f t="shared" si="58"/>
        <v>300.97500000000002</v>
      </c>
      <c r="AU131" s="607">
        <f t="shared" si="58"/>
        <v>300.56875000000002</v>
      </c>
      <c r="AV131" s="607">
        <f t="shared" si="58"/>
        <v>300.16250000000002</v>
      </c>
      <c r="AW131" s="607">
        <f t="shared" si="58"/>
        <v>299.75625000000002</v>
      </c>
      <c r="AX131" s="607">
        <f t="shared" si="58"/>
        <v>299.35000000000002</v>
      </c>
      <c r="AY131" s="607">
        <f t="shared" si="58"/>
        <v>298.94375000000002</v>
      </c>
      <c r="AZ131" s="607">
        <f t="shared" si="58"/>
        <v>298.53750000000002</v>
      </c>
      <c r="BA131" s="607">
        <f t="shared" si="58"/>
        <v>298.13125000000002</v>
      </c>
      <c r="BB131" s="607">
        <f t="shared" si="58"/>
        <v>297.72500000000002</v>
      </c>
      <c r="BC131" s="607">
        <f t="shared" si="58"/>
        <v>297.31875000000002</v>
      </c>
      <c r="BD131" s="607">
        <f t="shared" si="58"/>
        <v>296.91250000000002</v>
      </c>
      <c r="BE131" s="607">
        <f t="shared" si="58"/>
        <v>296.50625000000002</v>
      </c>
      <c r="BF131" s="607">
        <f t="shared" si="58"/>
        <v>296.10000000000002</v>
      </c>
      <c r="BG131" s="607">
        <f t="shared" si="58"/>
        <v>295.69375000000002</v>
      </c>
      <c r="BH131" s="607">
        <f t="shared" si="58"/>
        <v>295.28750000000002</v>
      </c>
      <c r="BI131" s="607">
        <f t="shared" si="58"/>
        <v>294.88125000000002</v>
      </c>
      <c r="BJ131" s="607">
        <f t="shared" si="58"/>
        <v>294.47500000000002</v>
      </c>
      <c r="BK131" s="607">
        <f t="shared" si="58"/>
        <v>294.06875000000002</v>
      </c>
      <c r="BL131" s="607">
        <f t="shared" si="58"/>
        <v>293.66250000000002</v>
      </c>
      <c r="BM131" s="607">
        <f t="shared" si="58"/>
        <v>293.25625000000002</v>
      </c>
      <c r="BN131" s="607">
        <f t="shared" si="58"/>
        <v>292.85000000000002</v>
      </c>
      <c r="BO131" s="607">
        <f t="shared" si="58"/>
        <v>292.44375000000002</v>
      </c>
      <c r="BP131" s="607">
        <f t="shared" si="58"/>
        <v>0</v>
      </c>
      <c r="BQ131" s="607">
        <f t="shared" si="58"/>
        <v>0</v>
      </c>
      <c r="BR131" s="607">
        <f t="shared" si="58"/>
        <v>0</v>
      </c>
      <c r="BS131" s="607">
        <f t="shared" si="58"/>
        <v>0</v>
      </c>
      <c r="BT131" s="607">
        <f t="shared" ref="BT131:CI131" si="59">(BT128)-(BT129+BT130)</f>
        <v>0</v>
      </c>
      <c r="BU131" s="607">
        <f t="shared" si="59"/>
        <v>0</v>
      </c>
      <c r="BV131" s="607">
        <f t="shared" si="59"/>
        <v>0</v>
      </c>
      <c r="BW131" s="607">
        <f t="shared" si="59"/>
        <v>0</v>
      </c>
      <c r="BX131" s="607">
        <f t="shared" si="59"/>
        <v>0</v>
      </c>
      <c r="BY131" s="607">
        <f t="shared" si="59"/>
        <v>0</v>
      </c>
      <c r="BZ131" s="607">
        <f t="shared" si="59"/>
        <v>0</v>
      </c>
      <c r="CA131" s="607">
        <f t="shared" si="59"/>
        <v>0</v>
      </c>
      <c r="CB131" s="607">
        <f t="shared" si="59"/>
        <v>0</v>
      </c>
      <c r="CC131" s="607">
        <f t="shared" si="59"/>
        <v>0</v>
      </c>
      <c r="CD131" s="607">
        <f t="shared" si="59"/>
        <v>0</v>
      </c>
      <c r="CE131" s="607">
        <f t="shared" si="59"/>
        <v>0</v>
      </c>
      <c r="CF131" s="607">
        <f t="shared" si="59"/>
        <v>0</v>
      </c>
      <c r="CG131" s="607">
        <f t="shared" si="59"/>
        <v>0</v>
      </c>
      <c r="CH131" s="607">
        <f t="shared" si="59"/>
        <v>0</v>
      </c>
      <c r="CI131" s="607">
        <f t="shared" si="59"/>
        <v>0</v>
      </c>
      <c r="CK131" s="1366"/>
    </row>
    <row r="132" spans="2:89" ht="14.4" thickBot="1" x14ac:dyDescent="0.3">
      <c r="B132" s="775" t="s">
        <v>609</v>
      </c>
      <c r="C132" s="776" t="s">
        <v>300</v>
      </c>
      <c r="D132" s="776" t="s">
        <v>610</v>
      </c>
      <c r="E132" s="777" t="s">
        <v>146</v>
      </c>
      <c r="F132" s="778">
        <v>2</v>
      </c>
      <c r="G132" s="779"/>
      <c r="H132" s="779"/>
      <c r="I132" s="779">
        <f t="shared" ref="I132:AL132" si="60">I131+SUM(I124:I127)</f>
        <v>312.91624999999999</v>
      </c>
      <c r="J132" s="779">
        <f t="shared" si="60"/>
        <v>308.05</v>
      </c>
      <c r="K132" s="779">
        <f t="shared" si="60"/>
        <v>307.64375000000001</v>
      </c>
      <c r="L132" s="779">
        <f t="shared" si="60"/>
        <v>307.23750000000001</v>
      </c>
      <c r="M132" s="779">
        <f t="shared" si="60"/>
        <v>312.80125000000004</v>
      </c>
      <c r="N132" s="779">
        <f t="shared" si="60"/>
        <v>312.39500000000004</v>
      </c>
      <c r="O132" s="779">
        <f t="shared" si="60"/>
        <v>311.98875000000004</v>
      </c>
      <c r="P132" s="779">
        <f t="shared" si="60"/>
        <v>311.58250000000004</v>
      </c>
      <c r="Q132" s="779">
        <f t="shared" si="60"/>
        <v>311.17625000000004</v>
      </c>
      <c r="R132" s="779">
        <f t="shared" si="60"/>
        <v>309.15000000000003</v>
      </c>
      <c r="S132" s="779">
        <f t="shared" si="60"/>
        <v>308.74375000000003</v>
      </c>
      <c r="T132" s="779">
        <f t="shared" si="60"/>
        <v>308.33750000000003</v>
      </c>
      <c r="U132" s="779">
        <f t="shared" si="60"/>
        <v>307.93125000000003</v>
      </c>
      <c r="V132" s="779">
        <f t="shared" si="60"/>
        <v>307.52500000000003</v>
      </c>
      <c r="W132" s="779">
        <f t="shared" si="60"/>
        <v>303.11875000000003</v>
      </c>
      <c r="X132" s="779">
        <f t="shared" si="60"/>
        <v>302.71250000000003</v>
      </c>
      <c r="Y132" s="779">
        <f t="shared" si="60"/>
        <v>302.30625000000003</v>
      </c>
      <c r="Z132" s="779">
        <f t="shared" si="60"/>
        <v>301.90000000000003</v>
      </c>
      <c r="AA132" s="779">
        <f t="shared" si="60"/>
        <v>301.49375000000003</v>
      </c>
      <c r="AB132" s="779">
        <f t="shared" si="60"/>
        <v>301.13750000000005</v>
      </c>
      <c r="AC132" s="779">
        <f t="shared" si="60"/>
        <v>300.73125000000005</v>
      </c>
      <c r="AD132" s="779">
        <f t="shared" si="60"/>
        <v>300.32500000000005</v>
      </c>
      <c r="AE132" s="779">
        <f t="shared" si="60"/>
        <v>299.91875000000005</v>
      </c>
      <c r="AF132" s="779">
        <f t="shared" si="60"/>
        <v>299.51250000000005</v>
      </c>
      <c r="AG132" s="779">
        <f t="shared" si="60"/>
        <v>299.10625000000005</v>
      </c>
      <c r="AH132" s="779">
        <f t="shared" si="60"/>
        <v>298.70000000000005</v>
      </c>
      <c r="AI132" s="779">
        <f t="shared" si="60"/>
        <v>298.29375000000005</v>
      </c>
      <c r="AJ132" s="779">
        <f t="shared" si="60"/>
        <v>297.88750000000005</v>
      </c>
      <c r="AK132" s="779">
        <f t="shared" si="60"/>
        <v>297.48125000000005</v>
      </c>
      <c r="AL132" s="779">
        <f t="shared" si="60"/>
        <v>297.07500000000005</v>
      </c>
      <c r="AM132" s="779">
        <f t="shared" ref="AM132:BR132" si="61">AM131+SUM(AM124:AM127)</f>
        <v>296.66875000000005</v>
      </c>
      <c r="AN132" s="779">
        <f t="shared" si="61"/>
        <v>296.26250000000005</v>
      </c>
      <c r="AO132" s="779">
        <f t="shared" si="61"/>
        <v>295.85625000000005</v>
      </c>
      <c r="AP132" s="779">
        <f t="shared" si="61"/>
        <v>295.45000000000005</v>
      </c>
      <c r="AQ132" s="779">
        <f t="shared" si="61"/>
        <v>295.04375000000005</v>
      </c>
      <c r="AR132" s="779">
        <f t="shared" si="61"/>
        <v>294.63750000000005</v>
      </c>
      <c r="AS132" s="779">
        <f t="shared" si="61"/>
        <v>294.23125000000005</v>
      </c>
      <c r="AT132" s="779">
        <f t="shared" si="61"/>
        <v>293.82500000000005</v>
      </c>
      <c r="AU132" s="779">
        <f t="shared" si="61"/>
        <v>293.41875000000005</v>
      </c>
      <c r="AV132" s="779">
        <f t="shared" si="61"/>
        <v>293.01250000000005</v>
      </c>
      <c r="AW132" s="779">
        <f t="shared" si="61"/>
        <v>292.60625000000005</v>
      </c>
      <c r="AX132" s="779">
        <f t="shared" si="61"/>
        <v>292.20000000000005</v>
      </c>
      <c r="AY132" s="779">
        <f t="shared" si="61"/>
        <v>291.79375000000005</v>
      </c>
      <c r="AZ132" s="779">
        <f t="shared" si="61"/>
        <v>291.38750000000005</v>
      </c>
      <c r="BA132" s="779">
        <f t="shared" si="61"/>
        <v>290.98125000000005</v>
      </c>
      <c r="BB132" s="779">
        <f t="shared" si="61"/>
        <v>290.57500000000005</v>
      </c>
      <c r="BC132" s="779">
        <f t="shared" si="61"/>
        <v>290.16875000000005</v>
      </c>
      <c r="BD132" s="779">
        <f t="shared" si="61"/>
        <v>289.76250000000005</v>
      </c>
      <c r="BE132" s="779">
        <f t="shared" si="61"/>
        <v>289.35625000000005</v>
      </c>
      <c r="BF132" s="779">
        <f t="shared" si="61"/>
        <v>288.95000000000005</v>
      </c>
      <c r="BG132" s="779">
        <f t="shared" si="61"/>
        <v>288.54375000000005</v>
      </c>
      <c r="BH132" s="779">
        <f t="shared" si="61"/>
        <v>288.13750000000005</v>
      </c>
      <c r="BI132" s="779">
        <f t="shared" si="61"/>
        <v>287.73125000000005</v>
      </c>
      <c r="BJ132" s="779">
        <f t="shared" si="61"/>
        <v>287.32500000000005</v>
      </c>
      <c r="BK132" s="779">
        <f t="shared" si="61"/>
        <v>286.91875000000005</v>
      </c>
      <c r="BL132" s="779">
        <f t="shared" si="61"/>
        <v>286.51250000000005</v>
      </c>
      <c r="BM132" s="779">
        <f t="shared" si="61"/>
        <v>286.10625000000005</v>
      </c>
      <c r="BN132" s="779">
        <f t="shared" si="61"/>
        <v>285.70000000000005</v>
      </c>
      <c r="BO132" s="779">
        <f t="shared" si="61"/>
        <v>285.29375000000005</v>
      </c>
      <c r="BP132" s="779">
        <f t="shared" si="61"/>
        <v>0</v>
      </c>
      <c r="BQ132" s="779">
        <f t="shared" si="61"/>
        <v>0</v>
      </c>
      <c r="BR132" s="779">
        <f t="shared" si="61"/>
        <v>0</v>
      </c>
      <c r="BS132" s="779">
        <f t="shared" ref="BS132:CI132" si="62">BS131+SUM(BS124:BS127)</f>
        <v>0</v>
      </c>
      <c r="BT132" s="779">
        <f t="shared" si="62"/>
        <v>0</v>
      </c>
      <c r="BU132" s="779">
        <f t="shared" si="62"/>
        <v>0</v>
      </c>
      <c r="BV132" s="779">
        <f t="shared" si="62"/>
        <v>0</v>
      </c>
      <c r="BW132" s="779">
        <f t="shared" si="62"/>
        <v>0</v>
      </c>
      <c r="BX132" s="779">
        <f t="shared" si="62"/>
        <v>0</v>
      </c>
      <c r="BY132" s="779">
        <f t="shared" si="62"/>
        <v>0</v>
      </c>
      <c r="BZ132" s="779">
        <f t="shared" si="62"/>
        <v>0</v>
      </c>
      <c r="CA132" s="779">
        <f t="shared" si="62"/>
        <v>0</v>
      </c>
      <c r="CB132" s="779">
        <f t="shared" si="62"/>
        <v>0</v>
      </c>
      <c r="CC132" s="779">
        <f t="shared" si="62"/>
        <v>0</v>
      </c>
      <c r="CD132" s="779">
        <f t="shared" si="62"/>
        <v>0</v>
      </c>
      <c r="CE132" s="779">
        <f t="shared" si="62"/>
        <v>0</v>
      </c>
      <c r="CF132" s="779">
        <f t="shared" si="62"/>
        <v>0</v>
      </c>
      <c r="CG132" s="779">
        <f t="shared" si="62"/>
        <v>0</v>
      </c>
      <c r="CH132" s="779">
        <f t="shared" si="62"/>
        <v>0</v>
      </c>
      <c r="CI132" s="779">
        <f t="shared" si="62"/>
        <v>0</v>
      </c>
      <c r="CK132" s="1366"/>
    </row>
    <row r="133" spans="2:89" x14ac:dyDescent="0.25">
      <c r="B133" s="780" t="s">
        <v>611</v>
      </c>
      <c r="C133" s="781" t="s">
        <v>399</v>
      </c>
      <c r="D133" s="782" t="s">
        <v>612</v>
      </c>
      <c r="E133" s="783" t="s">
        <v>146</v>
      </c>
      <c r="F133" s="784">
        <v>2</v>
      </c>
      <c r="G133" s="785"/>
      <c r="H133" s="785"/>
      <c r="I133" s="785">
        <f t="shared" ref="I133:BR133" si="63">I43+I107</f>
        <v>57.640997724184139</v>
      </c>
      <c r="J133" s="785">
        <f t="shared" si="63"/>
        <v>57.782402056566205</v>
      </c>
      <c r="K133" s="785">
        <f t="shared" si="63"/>
        <v>58.075564216048981</v>
      </c>
      <c r="L133" s="785">
        <f t="shared" si="63"/>
        <v>58.241845668969383</v>
      </c>
      <c r="M133" s="786">
        <f t="shared" si="63"/>
        <v>58.24473543777026</v>
      </c>
      <c r="N133" s="786">
        <f t="shared" si="63"/>
        <v>58.015868953285612</v>
      </c>
      <c r="O133" s="786">
        <f t="shared" si="63"/>
        <v>57.663907736467799</v>
      </c>
      <c r="P133" s="786">
        <f t="shared" si="63"/>
        <v>57.209572627275215</v>
      </c>
      <c r="Q133" s="786">
        <f t="shared" si="63"/>
        <v>56.648210148360747</v>
      </c>
      <c r="R133" s="786">
        <f t="shared" si="63"/>
        <v>55.886857685226218</v>
      </c>
      <c r="S133" s="786">
        <f t="shared" si="63"/>
        <v>55.069764092260137</v>
      </c>
      <c r="T133" s="786">
        <f t="shared" si="63"/>
        <v>54.130727286605165</v>
      </c>
      <c r="U133" s="786">
        <f t="shared" si="63"/>
        <v>53.081932620855504</v>
      </c>
      <c r="V133" s="786">
        <f t="shared" si="63"/>
        <v>51.890402933778873</v>
      </c>
      <c r="W133" s="786">
        <f t="shared" si="63"/>
        <v>50.615851445914558</v>
      </c>
      <c r="X133" s="786">
        <f t="shared" si="63"/>
        <v>49.242402050715761</v>
      </c>
      <c r="Y133" s="786">
        <f t="shared" si="63"/>
        <v>47.860708813443701</v>
      </c>
      <c r="Z133" s="786">
        <f t="shared" si="63"/>
        <v>46.400682060070984</v>
      </c>
      <c r="AA133" s="786">
        <f t="shared" si="63"/>
        <v>44.782352189780099</v>
      </c>
      <c r="AB133" s="786">
        <f t="shared" si="63"/>
        <v>43.35140979347328</v>
      </c>
      <c r="AC133" s="786">
        <f t="shared" si="63"/>
        <v>42.118822573674997</v>
      </c>
      <c r="AD133" s="786">
        <f t="shared" si="63"/>
        <v>41.131124326096113</v>
      </c>
      <c r="AE133" s="786">
        <f t="shared" si="63"/>
        <v>40.38669977853742</v>
      </c>
      <c r="AF133" s="786">
        <f t="shared" si="63"/>
        <v>39.884164924007777</v>
      </c>
      <c r="AG133" s="786">
        <f t="shared" si="63"/>
        <v>39.622148773630414</v>
      </c>
      <c r="AH133" s="786">
        <f t="shared" si="63"/>
        <v>39.599287321979716</v>
      </c>
      <c r="AI133" s="786">
        <f t="shared" si="63"/>
        <v>39.814222444645694</v>
      </c>
      <c r="AJ133" s="786">
        <f t="shared" si="63"/>
        <v>40.265513872047634</v>
      </c>
      <c r="AK133" s="786">
        <f t="shared" si="63"/>
        <v>40.951582675413405</v>
      </c>
      <c r="AL133" s="786">
        <f t="shared" si="63"/>
        <v>41.875114222179583</v>
      </c>
      <c r="AM133" s="786">
        <f t="shared" si="63"/>
        <v>43.034849179693765</v>
      </c>
      <c r="AN133" s="786">
        <f t="shared" si="63"/>
        <v>44.425778686150849</v>
      </c>
      <c r="AO133" s="786">
        <f t="shared" si="63"/>
        <v>46.046273027612919</v>
      </c>
      <c r="AP133" s="786">
        <f t="shared" si="63"/>
        <v>47.894635499878696</v>
      </c>
      <c r="AQ133" s="786">
        <f t="shared" si="63"/>
        <v>49.79702360522348</v>
      </c>
      <c r="AR133" s="786">
        <f t="shared" si="63"/>
        <v>51.580757937669546</v>
      </c>
      <c r="AS133" s="786">
        <f t="shared" si="63"/>
        <v>53.246654194680389</v>
      </c>
      <c r="AT133" s="786">
        <f t="shared" si="63"/>
        <v>54.795353564044689</v>
      </c>
      <c r="AU133" s="786">
        <f t="shared" si="63"/>
        <v>56.227477208513768</v>
      </c>
      <c r="AV133" s="786">
        <f t="shared" si="63"/>
        <v>57.543627555162665</v>
      </c>
      <c r="AW133" s="786">
        <f t="shared" si="63"/>
        <v>58.744388361125651</v>
      </c>
      <c r="AX133" s="786">
        <f t="shared" si="63"/>
        <v>59.830327333801939</v>
      </c>
      <c r="AY133" s="786">
        <f t="shared" si="63"/>
        <v>60.801996005169876</v>
      </c>
      <c r="AZ133" s="786">
        <f t="shared" si="63"/>
        <v>61.659930658030689</v>
      </c>
      <c r="BA133" s="786">
        <f t="shared" si="63"/>
        <v>62.404654354311923</v>
      </c>
      <c r="BB133" s="786">
        <f t="shared" si="63"/>
        <v>63.036676211581316</v>
      </c>
      <c r="BC133" s="786">
        <f t="shared" si="63"/>
        <v>63.556493672086134</v>
      </c>
      <c r="BD133" s="786">
        <f t="shared" si="63"/>
        <v>63.964592059725213</v>
      </c>
      <c r="BE133" s="786">
        <f t="shared" si="63"/>
        <v>64.261445228549718</v>
      </c>
      <c r="BF133" s="786">
        <f t="shared" si="63"/>
        <v>64.50383929463122</v>
      </c>
      <c r="BG133" s="786">
        <f t="shared" si="63"/>
        <v>64.748314828659872</v>
      </c>
      <c r="BH133" s="786">
        <f t="shared" si="63"/>
        <v>64.994853943097951</v>
      </c>
      <c r="BI133" s="786">
        <f t="shared" si="63"/>
        <v>65.243438372775415</v>
      </c>
      <c r="BJ133" s="786">
        <f t="shared" si="63"/>
        <v>65.494052436704877</v>
      </c>
      <c r="BK133" s="786">
        <f t="shared" si="63"/>
        <v>65.746680333921105</v>
      </c>
      <c r="BL133" s="786">
        <f t="shared" si="63"/>
        <v>66.00130761384375</v>
      </c>
      <c r="BM133" s="786">
        <f t="shared" si="63"/>
        <v>66.257920741019376</v>
      </c>
      <c r="BN133" s="786">
        <f t="shared" si="63"/>
        <v>66.516507433279358</v>
      </c>
      <c r="BO133" s="786">
        <f t="shared" si="63"/>
        <v>66.777055858103452</v>
      </c>
      <c r="BP133" s="786">
        <f t="shared" si="63"/>
        <v>0</v>
      </c>
      <c r="BQ133" s="786">
        <f t="shared" si="63"/>
        <v>0</v>
      </c>
      <c r="BR133" s="786">
        <f t="shared" si="63"/>
        <v>0</v>
      </c>
      <c r="BS133" s="786">
        <f t="shared" ref="BS133:CI133" si="64">BS43+BS107</f>
        <v>0</v>
      </c>
      <c r="BT133" s="786">
        <f t="shared" si="64"/>
        <v>0</v>
      </c>
      <c r="BU133" s="786">
        <f t="shared" si="64"/>
        <v>0</v>
      </c>
      <c r="BV133" s="786">
        <f t="shared" si="64"/>
        <v>0</v>
      </c>
      <c r="BW133" s="786">
        <f t="shared" si="64"/>
        <v>0</v>
      </c>
      <c r="BX133" s="786">
        <f t="shared" si="64"/>
        <v>0</v>
      </c>
      <c r="BY133" s="786">
        <f t="shared" si="64"/>
        <v>0</v>
      </c>
      <c r="BZ133" s="786">
        <f t="shared" si="64"/>
        <v>0</v>
      </c>
      <c r="CA133" s="786">
        <f t="shared" si="64"/>
        <v>0</v>
      </c>
      <c r="CB133" s="786">
        <f t="shared" si="64"/>
        <v>0</v>
      </c>
      <c r="CC133" s="786">
        <f t="shared" si="64"/>
        <v>0</v>
      </c>
      <c r="CD133" s="786">
        <f t="shared" si="64"/>
        <v>0</v>
      </c>
      <c r="CE133" s="786">
        <f t="shared" si="64"/>
        <v>0</v>
      </c>
      <c r="CF133" s="786">
        <f t="shared" si="64"/>
        <v>0</v>
      </c>
      <c r="CG133" s="786">
        <f t="shared" si="64"/>
        <v>0</v>
      </c>
      <c r="CH133" s="786">
        <f t="shared" si="64"/>
        <v>0</v>
      </c>
      <c r="CI133" s="787">
        <f t="shared" si="64"/>
        <v>0</v>
      </c>
      <c r="CK133" s="1366"/>
    </row>
    <row r="134" spans="2:89" x14ac:dyDescent="0.25">
      <c r="B134" s="1090" t="s">
        <v>613</v>
      </c>
      <c r="C134" s="1091" t="s">
        <v>614</v>
      </c>
      <c r="D134" s="1092" t="s">
        <v>79</v>
      </c>
      <c r="E134" s="1093" t="s">
        <v>146</v>
      </c>
      <c r="F134" s="1094">
        <v>2</v>
      </c>
      <c r="G134" s="576"/>
      <c r="H134" s="576"/>
      <c r="I134" s="576"/>
      <c r="J134" s="576"/>
      <c r="K134" s="576"/>
      <c r="L134" s="576"/>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8"/>
      <c r="CK134" s="1366"/>
    </row>
    <row r="135" spans="2:89" x14ac:dyDescent="0.25">
      <c r="B135" s="1090" t="s">
        <v>615</v>
      </c>
      <c r="C135" s="1091" t="s">
        <v>403</v>
      </c>
      <c r="D135" s="1092" t="s">
        <v>616</v>
      </c>
      <c r="E135" s="1093" t="s">
        <v>146</v>
      </c>
      <c r="F135" s="1094">
        <v>2</v>
      </c>
      <c r="G135" s="607"/>
      <c r="H135" s="607"/>
      <c r="I135" s="607">
        <f t="shared" ref="I135:BR137" si="65">I45+I108</f>
        <v>0.38238293997670225</v>
      </c>
      <c r="J135" s="607">
        <f t="shared" si="65"/>
        <v>0.38696788527222897</v>
      </c>
      <c r="K135" s="607">
        <f t="shared" si="65"/>
        <v>0.38938231282611263</v>
      </c>
      <c r="L135" s="607">
        <f t="shared" si="65"/>
        <v>0.39017948035294636</v>
      </c>
      <c r="M135" s="768">
        <f t="shared" si="65"/>
        <v>0.39106386711709518</v>
      </c>
      <c r="N135" s="768">
        <f t="shared" si="65"/>
        <v>0.39171589488436864</v>
      </c>
      <c r="O135" s="768">
        <f t="shared" si="65"/>
        <v>0.39233477454322752</v>
      </c>
      <c r="P135" s="768">
        <f t="shared" si="65"/>
        <v>0.39306638036698671</v>
      </c>
      <c r="Q135" s="768">
        <f t="shared" si="65"/>
        <v>0.39387733218977927</v>
      </c>
      <c r="R135" s="768">
        <f t="shared" si="65"/>
        <v>0.39454613292835972</v>
      </c>
      <c r="S135" s="768">
        <f t="shared" si="65"/>
        <v>0.39524164582667054</v>
      </c>
      <c r="T135" s="768">
        <f t="shared" si="65"/>
        <v>0.39591013605050107</v>
      </c>
      <c r="U135" s="768">
        <f t="shared" si="65"/>
        <v>0.39662400456905345</v>
      </c>
      <c r="V135" s="768">
        <f t="shared" si="65"/>
        <v>0.3971725501638852</v>
      </c>
      <c r="W135" s="768">
        <f t="shared" si="65"/>
        <v>0.39776260554878262</v>
      </c>
      <c r="X135" s="768">
        <f t="shared" si="65"/>
        <v>0.39828701151000501</v>
      </c>
      <c r="Y135" s="768">
        <f t="shared" si="65"/>
        <v>0.39947958179636145</v>
      </c>
      <c r="Z135" s="768">
        <f t="shared" si="65"/>
        <v>0.40089186978432223</v>
      </c>
      <c r="AA135" s="768">
        <f t="shared" si="65"/>
        <v>0.40201176650757531</v>
      </c>
      <c r="AB135" s="768">
        <f t="shared" si="65"/>
        <v>0.4034847745749468</v>
      </c>
      <c r="AC135" s="768">
        <f t="shared" si="65"/>
        <v>0.4045261752614715</v>
      </c>
      <c r="AD135" s="768">
        <f t="shared" si="65"/>
        <v>0.40559057419377154</v>
      </c>
      <c r="AE135" s="768">
        <f t="shared" si="65"/>
        <v>0.40667723713662496</v>
      </c>
      <c r="AF135" s="768">
        <f t="shared" si="65"/>
        <v>0.40778547114462582</v>
      </c>
      <c r="AG135" s="768">
        <f t="shared" si="65"/>
        <v>0.4089146348702124</v>
      </c>
      <c r="AH135" s="768">
        <f t="shared" si="65"/>
        <v>0.41006413234562955</v>
      </c>
      <c r="AI135" s="768">
        <f t="shared" si="65"/>
        <v>0.41123340478170944</v>
      </c>
      <c r="AJ135" s="768">
        <f t="shared" si="65"/>
        <v>0.41242192983658099</v>
      </c>
      <c r="AK135" s="768">
        <f t="shared" si="65"/>
        <v>0.41362921408218312</v>
      </c>
      <c r="AL135" s="768">
        <f t="shared" si="65"/>
        <v>0.41485480733970603</v>
      </c>
      <c r="AM135" s="768">
        <f t="shared" si="65"/>
        <v>0.41609827620447049</v>
      </c>
      <c r="AN135" s="768">
        <f t="shared" si="65"/>
        <v>0.4173592189410138</v>
      </c>
      <c r="AO135" s="768">
        <f t="shared" si="65"/>
        <v>0.41863726106985211</v>
      </c>
      <c r="AP135" s="768">
        <f t="shared" si="65"/>
        <v>0.41993204645701865</v>
      </c>
      <c r="AQ135" s="768">
        <f t="shared" si="65"/>
        <v>0.42124324292035964</v>
      </c>
      <c r="AR135" s="768">
        <f t="shared" si="65"/>
        <v>0.42257054079222711</v>
      </c>
      <c r="AS135" s="768">
        <f t="shared" si="65"/>
        <v>0.4239136467171869</v>
      </c>
      <c r="AT135" s="768">
        <f t="shared" si="65"/>
        <v>0.42527228250204074</v>
      </c>
      <c r="AU135" s="768">
        <f t="shared" si="65"/>
        <v>0.42664618874218063</v>
      </c>
      <c r="AV135" s="768">
        <f t="shared" si="65"/>
        <v>0.42803512378323005</v>
      </c>
      <c r="AW135" s="768">
        <f t="shared" si="65"/>
        <v>0.42943885556934958</v>
      </c>
      <c r="AX135" s="768">
        <f t="shared" si="65"/>
        <v>0.43085717034935356</v>
      </c>
      <c r="AY135" s="768">
        <f t="shared" si="65"/>
        <v>0.43228986468512942</v>
      </c>
      <c r="AZ135" s="768">
        <f t="shared" si="65"/>
        <v>0.43373674463479772</v>
      </c>
      <c r="BA135" s="768">
        <f t="shared" si="65"/>
        <v>0.43519763231759412</v>
      </c>
      <c r="BB135" s="768">
        <f t="shared" si="65"/>
        <v>0.436672355614389</v>
      </c>
      <c r="BC135" s="768">
        <f t="shared" si="65"/>
        <v>0.43816075718662062</v>
      </c>
      <c r="BD135" s="768">
        <f t="shared" si="65"/>
        <v>0.43966268670503239</v>
      </c>
      <c r="BE135" s="768">
        <f t="shared" si="65"/>
        <v>0.44117800034110899</v>
      </c>
      <c r="BF135" s="768">
        <f t="shared" si="65"/>
        <v>0.44270656983866075</v>
      </c>
      <c r="BG135" s="768">
        <f t="shared" si="65"/>
        <v>0.44424826535231232</v>
      </c>
      <c r="BH135" s="768">
        <f t="shared" si="65"/>
        <v>0.44580297408084646</v>
      </c>
      <c r="BI135" s="768">
        <f t="shared" si="65"/>
        <v>0.44737058084167614</v>
      </c>
      <c r="BJ135" s="768">
        <f t="shared" si="65"/>
        <v>0.44895098674835565</v>
      </c>
      <c r="BK135" s="768">
        <f t="shared" si="65"/>
        <v>0.45054409215789604</v>
      </c>
      <c r="BL135" s="768">
        <f t="shared" si="65"/>
        <v>0.45214980594299248</v>
      </c>
      <c r="BM135" s="768">
        <f t="shared" si="65"/>
        <v>0.453768042747283</v>
      </c>
      <c r="BN135" s="768">
        <f t="shared" si="65"/>
        <v>0.45539872511772983</v>
      </c>
      <c r="BO135" s="768">
        <f t="shared" si="65"/>
        <v>0.45704177843690075</v>
      </c>
      <c r="BP135" s="768">
        <f t="shared" si="65"/>
        <v>0</v>
      </c>
      <c r="BQ135" s="768">
        <f t="shared" si="65"/>
        <v>0</v>
      </c>
      <c r="BR135" s="768">
        <f t="shared" si="65"/>
        <v>0</v>
      </c>
      <c r="BS135" s="768">
        <f t="shared" ref="BS135:CI137" si="66">BS45+BS108</f>
        <v>0</v>
      </c>
      <c r="BT135" s="768">
        <f t="shared" si="66"/>
        <v>0</v>
      </c>
      <c r="BU135" s="768">
        <f t="shared" si="66"/>
        <v>0</v>
      </c>
      <c r="BV135" s="768">
        <f t="shared" si="66"/>
        <v>0</v>
      </c>
      <c r="BW135" s="768">
        <f t="shared" si="66"/>
        <v>0</v>
      </c>
      <c r="BX135" s="768">
        <f t="shared" si="66"/>
        <v>0</v>
      </c>
      <c r="BY135" s="768">
        <f t="shared" si="66"/>
        <v>0</v>
      </c>
      <c r="BZ135" s="768">
        <f t="shared" si="66"/>
        <v>0</v>
      </c>
      <c r="CA135" s="768">
        <f t="shared" si="66"/>
        <v>0</v>
      </c>
      <c r="CB135" s="768">
        <f t="shared" si="66"/>
        <v>0</v>
      </c>
      <c r="CC135" s="768">
        <f t="shared" si="66"/>
        <v>0</v>
      </c>
      <c r="CD135" s="768">
        <f t="shared" si="66"/>
        <v>0</v>
      </c>
      <c r="CE135" s="768">
        <f t="shared" si="66"/>
        <v>0</v>
      </c>
      <c r="CF135" s="768">
        <f t="shared" si="66"/>
        <v>0</v>
      </c>
      <c r="CG135" s="768">
        <f t="shared" si="66"/>
        <v>0</v>
      </c>
      <c r="CH135" s="768">
        <f t="shared" si="66"/>
        <v>0</v>
      </c>
      <c r="CI135" s="769">
        <f t="shared" si="66"/>
        <v>0</v>
      </c>
      <c r="CK135" s="1366"/>
    </row>
    <row r="136" spans="2:89" x14ac:dyDescent="0.25">
      <c r="B136" s="788" t="s">
        <v>617</v>
      </c>
      <c r="C136" s="789" t="s">
        <v>405</v>
      </c>
      <c r="D136" s="790" t="s">
        <v>618</v>
      </c>
      <c r="E136" s="791" t="s">
        <v>146</v>
      </c>
      <c r="F136" s="792">
        <v>2</v>
      </c>
      <c r="G136" s="607"/>
      <c r="H136" s="607"/>
      <c r="I136" s="607">
        <f t="shared" si="65"/>
        <v>102.56518246599998</v>
      </c>
      <c r="J136" s="607">
        <f t="shared" si="65"/>
        <v>110.34934611038358</v>
      </c>
      <c r="K136" s="607">
        <f t="shared" si="65"/>
        <v>118.69887806594642</v>
      </c>
      <c r="L136" s="607">
        <f t="shared" si="65"/>
        <v>126.11851703384869</v>
      </c>
      <c r="M136" s="768">
        <f>M46+M109</f>
        <v>128.80580286707129</v>
      </c>
      <c r="N136" s="768">
        <f t="shared" si="65"/>
        <v>130.30694558158498</v>
      </c>
      <c r="O136" s="768">
        <f t="shared" si="65"/>
        <v>131.43311975536022</v>
      </c>
      <c r="P136" s="768">
        <f t="shared" si="65"/>
        <v>132.36210905600501</v>
      </c>
      <c r="Q136" s="768">
        <f t="shared" si="65"/>
        <v>133.15393868949263</v>
      </c>
      <c r="R136" s="768">
        <f t="shared" si="65"/>
        <v>131.67498646051556</v>
      </c>
      <c r="S136" s="768">
        <f t="shared" si="65"/>
        <v>129.83840376599304</v>
      </c>
      <c r="T136" s="768">
        <f t="shared" si="65"/>
        <v>129.75314571075296</v>
      </c>
      <c r="U136" s="768">
        <f t="shared" si="65"/>
        <v>129.54107672559019</v>
      </c>
      <c r="V136" s="768">
        <f t="shared" si="65"/>
        <v>129.17371192466618</v>
      </c>
      <c r="W136" s="768">
        <f t="shared" si="65"/>
        <v>130.06594347905173</v>
      </c>
      <c r="X136" s="768">
        <f t="shared" si="65"/>
        <v>130.85180197345468</v>
      </c>
      <c r="Y136" s="768">
        <f t="shared" si="65"/>
        <v>131.57746450923182</v>
      </c>
      <c r="Z136" s="768">
        <f t="shared" si="65"/>
        <v>132.23895773864686</v>
      </c>
      <c r="AA136" s="768">
        <f t="shared" si="65"/>
        <v>132.81597164928766</v>
      </c>
      <c r="AB136" s="768">
        <f t="shared" si="65"/>
        <v>133.66062030885857</v>
      </c>
      <c r="AC136" s="768">
        <f t="shared" si="65"/>
        <v>134.82264335997507</v>
      </c>
      <c r="AD136" s="768">
        <f t="shared" si="65"/>
        <v>135.98407802440457</v>
      </c>
      <c r="AE136" s="768">
        <f t="shared" si="65"/>
        <v>137.09529085797791</v>
      </c>
      <c r="AF136" s="768">
        <f t="shared" si="65"/>
        <v>138.17623584724282</v>
      </c>
      <c r="AG136" s="768">
        <f t="shared" si="65"/>
        <v>139.22560646489134</v>
      </c>
      <c r="AH136" s="768">
        <f t="shared" si="65"/>
        <v>140.06801985162474</v>
      </c>
      <c r="AI136" s="768">
        <f t="shared" si="65"/>
        <v>140.8943182089528</v>
      </c>
      <c r="AJ136" s="768">
        <f t="shared" si="65"/>
        <v>141.68085214178572</v>
      </c>
      <c r="AK136" s="768">
        <f t="shared" si="65"/>
        <v>142.39923454278096</v>
      </c>
      <c r="AL136" s="768">
        <f t="shared" si="65"/>
        <v>143.13028063224897</v>
      </c>
      <c r="AM136" s="768">
        <f t="shared" si="65"/>
        <v>143.86062622489226</v>
      </c>
      <c r="AN136" s="768">
        <f t="shared" si="65"/>
        <v>144.53005696610182</v>
      </c>
      <c r="AO136" s="768">
        <f t="shared" si="65"/>
        <v>145.20137312930109</v>
      </c>
      <c r="AP136" s="768">
        <f t="shared" si="65"/>
        <v>145.85439454812791</v>
      </c>
      <c r="AQ136" s="768">
        <f t="shared" si="65"/>
        <v>149.02624646869927</v>
      </c>
      <c r="AR136" s="768">
        <f t="shared" si="65"/>
        <v>152.52140055051166</v>
      </c>
      <c r="AS136" s="768">
        <f t="shared" si="65"/>
        <v>153.70049631787731</v>
      </c>
      <c r="AT136" s="768">
        <f t="shared" si="65"/>
        <v>154.45004777974012</v>
      </c>
      <c r="AU136" s="768">
        <f t="shared" si="65"/>
        <v>155.25765668692756</v>
      </c>
      <c r="AV136" s="768">
        <f t="shared" si="65"/>
        <v>156.02906104588246</v>
      </c>
      <c r="AW136" s="768">
        <f t="shared" si="65"/>
        <v>156.83261911915892</v>
      </c>
      <c r="AX136" s="768">
        <f t="shared" si="65"/>
        <v>157.63745941292615</v>
      </c>
      <c r="AY136" s="768">
        <f t="shared" si="65"/>
        <v>158.3970210002289</v>
      </c>
      <c r="AZ136" s="768">
        <f t="shared" si="65"/>
        <v>159.18008550797492</v>
      </c>
      <c r="BA136" s="768">
        <f t="shared" si="65"/>
        <v>159.930123272911</v>
      </c>
      <c r="BB136" s="768">
        <f t="shared" si="65"/>
        <v>160.71337254487008</v>
      </c>
      <c r="BC136" s="768">
        <f t="shared" si="65"/>
        <v>161.49437891239259</v>
      </c>
      <c r="BD136" s="768">
        <f t="shared" si="65"/>
        <v>162.24547898940813</v>
      </c>
      <c r="BE136" s="768">
        <f t="shared" si="65"/>
        <v>163.02980637055774</v>
      </c>
      <c r="BF136" s="768">
        <f t="shared" si="65"/>
        <v>163.81138724622639</v>
      </c>
      <c r="BG136" s="768">
        <f t="shared" si="65"/>
        <v>164.56358554928877</v>
      </c>
      <c r="BH136" s="768">
        <f t="shared" si="65"/>
        <v>165.34704878064539</v>
      </c>
      <c r="BI136" s="768">
        <f t="shared" si="65"/>
        <v>166.12982809150753</v>
      </c>
      <c r="BJ136" s="768">
        <f t="shared" si="65"/>
        <v>166.88321650149945</v>
      </c>
      <c r="BK136" s="768">
        <f t="shared" si="65"/>
        <v>167.66789458419802</v>
      </c>
      <c r="BL136" s="768">
        <f t="shared" si="65"/>
        <v>168.41963322802837</v>
      </c>
      <c r="BM136" s="768">
        <f t="shared" si="65"/>
        <v>169.20470685457258</v>
      </c>
      <c r="BN136" s="768">
        <f t="shared" si="65"/>
        <v>169.99016783574962</v>
      </c>
      <c r="BO136" s="768">
        <f t="shared" si="65"/>
        <v>170.743216131672</v>
      </c>
      <c r="BP136" s="768">
        <f t="shared" si="65"/>
        <v>0</v>
      </c>
      <c r="BQ136" s="768">
        <f t="shared" si="65"/>
        <v>0</v>
      </c>
      <c r="BR136" s="768">
        <f t="shared" si="65"/>
        <v>0</v>
      </c>
      <c r="BS136" s="768">
        <f t="shared" si="66"/>
        <v>0</v>
      </c>
      <c r="BT136" s="768">
        <f t="shared" si="66"/>
        <v>0</v>
      </c>
      <c r="BU136" s="768">
        <f t="shared" si="66"/>
        <v>0</v>
      </c>
      <c r="BV136" s="768">
        <f t="shared" si="66"/>
        <v>0</v>
      </c>
      <c r="BW136" s="768">
        <f t="shared" si="66"/>
        <v>0</v>
      </c>
      <c r="BX136" s="768">
        <f t="shared" si="66"/>
        <v>0</v>
      </c>
      <c r="BY136" s="768">
        <f t="shared" si="66"/>
        <v>0</v>
      </c>
      <c r="BZ136" s="768">
        <f t="shared" si="66"/>
        <v>0</v>
      </c>
      <c r="CA136" s="768">
        <f t="shared" si="66"/>
        <v>0</v>
      </c>
      <c r="CB136" s="768">
        <f t="shared" si="66"/>
        <v>0</v>
      </c>
      <c r="CC136" s="768">
        <f t="shared" si="66"/>
        <v>0</v>
      </c>
      <c r="CD136" s="768">
        <f t="shared" si="66"/>
        <v>0</v>
      </c>
      <c r="CE136" s="768">
        <f t="shared" si="66"/>
        <v>0</v>
      </c>
      <c r="CF136" s="768">
        <f t="shared" si="66"/>
        <v>0</v>
      </c>
      <c r="CG136" s="768">
        <f t="shared" si="66"/>
        <v>0</v>
      </c>
      <c r="CH136" s="768">
        <f t="shared" si="66"/>
        <v>0</v>
      </c>
      <c r="CI136" s="769">
        <f t="shared" si="66"/>
        <v>0</v>
      </c>
      <c r="CK136" s="1366"/>
    </row>
    <row r="137" spans="2:89" x14ac:dyDescent="0.25">
      <c r="B137" s="788" t="s">
        <v>619</v>
      </c>
      <c r="C137" s="789" t="s">
        <v>407</v>
      </c>
      <c r="D137" s="790" t="s">
        <v>620</v>
      </c>
      <c r="E137" s="791" t="s">
        <v>146</v>
      </c>
      <c r="F137" s="792">
        <v>2</v>
      </c>
      <c r="G137" s="607"/>
      <c r="H137" s="607"/>
      <c r="I137" s="607">
        <f t="shared" si="65"/>
        <v>93.433155516840003</v>
      </c>
      <c r="J137" s="607">
        <f t="shared" si="65"/>
        <v>83.961200608204976</v>
      </c>
      <c r="K137" s="607">
        <f t="shared" si="65"/>
        <v>75.257292390309829</v>
      </c>
      <c r="L137" s="607">
        <f t="shared" si="65"/>
        <v>67.362120835076439</v>
      </c>
      <c r="M137" s="768">
        <f t="shared" si="65"/>
        <v>64.012712080397989</v>
      </c>
      <c r="N137" s="768">
        <f t="shared" si="65"/>
        <v>60.595902356998479</v>
      </c>
      <c r="O137" s="768">
        <f t="shared" si="65"/>
        <v>57.30326524227722</v>
      </c>
      <c r="P137" s="768">
        <f t="shared" si="65"/>
        <v>54.214463084322468</v>
      </c>
      <c r="Q137" s="768">
        <f t="shared" si="65"/>
        <v>51.31434165007294</v>
      </c>
      <c r="R137" s="768">
        <f t="shared" si="65"/>
        <v>48.163475038542316</v>
      </c>
      <c r="S137" s="768">
        <f t="shared" si="65"/>
        <v>45.211557235916018</v>
      </c>
      <c r="T137" s="768">
        <f t="shared" si="65"/>
        <v>42.821224859475329</v>
      </c>
      <c r="U137" s="768">
        <f t="shared" si="65"/>
        <v>40.583630117475785</v>
      </c>
      <c r="V137" s="768">
        <f t="shared" si="65"/>
        <v>38.487573494098278</v>
      </c>
      <c r="W137" s="768">
        <f t="shared" si="65"/>
        <v>36.627416253293205</v>
      </c>
      <c r="X137" s="768">
        <f t="shared" si="65"/>
        <v>34.877268703697411</v>
      </c>
      <c r="Y137" s="768">
        <f t="shared" si="65"/>
        <v>33.230329229412206</v>
      </c>
      <c r="Z137" s="768">
        <f t="shared" si="65"/>
        <v>31.678843076112621</v>
      </c>
      <c r="AA137" s="768">
        <f t="shared" si="65"/>
        <v>30.286110500696505</v>
      </c>
      <c r="AB137" s="768">
        <f t="shared" si="65"/>
        <v>29.052103167022306</v>
      </c>
      <c r="AC137" s="768">
        <f t="shared" si="65"/>
        <v>27.909744834560222</v>
      </c>
      <c r="AD137" s="768">
        <f t="shared" si="65"/>
        <v>26.826090879239459</v>
      </c>
      <c r="AE137" s="768">
        <f t="shared" si="65"/>
        <v>25.795170321322846</v>
      </c>
      <c r="AF137" s="768">
        <f t="shared" si="65"/>
        <v>24.812845545887114</v>
      </c>
      <c r="AG137" s="768">
        <f t="shared" si="65"/>
        <v>23.66647806995573</v>
      </c>
      <c r="AH137" s="768">
        <f t="shared" si="65"/>
        <v>22.564409451342904</v>
      </c>
      <c r="AI137" s="768">
        <f t="shared" si="65"/>
        <v>21.512072319525359</v>
      </c>
      <c r="AJ137" s="768">
        <f t="shared" si="65"/>
        <v>20.506946931933022</v>
      </c>
      <c r="AK137" s="768">
        <f t="shared" si="65"/>
        <v>19.546405811378147</v>
      </c>
      <c r="AL137" s="768">
        <f t="shared" si="65"/>
        <v>18.630242067603</v>
      </c>
      <c r="AM137" s="768">
        <f t="shared" si="65"/>
        <v>17.756863707933199</v>
      </c>
      <c r="AN137" s="768">
        <f t="shared" si="65"/>
        <v>16.922056326159478</v>
      </c>
      <c r="AO137" s="768">
        <f t="shared" si="65"/>
        <v>16.125259610176087</v>
      </c>
      <c r="AP137" s="768">
        <f t="shared" si="65"/>
        <v>15.364638469793293</v>
      </c>
      <c r="AQ137" s="768">
        <f t="shared" si="65"/>
        <v>14.762122631442763</v>
      </c>
      <c r="AR137" s="768">
        <f t="shared" si="65"/>
        <v>14.206563764699846</v>
      </c>
      <c r="AS137" s="768">
        <f t="shared" si="65"/>
        <v>13.571880595795113</v>
      </c>
      <c r="AT137" s="768">
        <f t="shared" si="65"/>
        <v>13.564468907265708</v>
      </c>
      <c r="AU137" s="768">
        <f t="shared" si="65"/>
        <v>13.559862437413157</v>
      </c>
      <c r="AV137" s="768">
        <f t="shared" si="65"/>
        <v>13.554513063577758</v>
      </c>
      <c r="AW137" s="768">
        <f t="shared" si="65"/>
        <v>13.549636736693749</v>
      </c>
      <c r="AX137" s="768">
        <f t="shared" si="65"/>
        <v>13.544851990307365</v>
      </c>
      <c r="AY137" s="768">
        <f t="shared" si="65"/>
        <v>13.538924421007565</v>
      </c>
      <c r="AZ137" s="768">
        <f t="shared" si="65"/>
        <v>13.533068095761497</v>
      </c>
      <c r="BA137" s="768">
        <f t="shared" si="65"/>
        <v>13.526697249167006</v>
      </c>
      <c r="BB137" s="768">
        <f t="shared" si="65"/>
        <v>13.520842185480346</v>
      </c>
      <c r="BC137" s="768">
        <f t="shared" si="65"/>
        <v>13.514842554955191</v>
      </c>
      <c r="BD137" s="768">
        <f t="shared" si="65"/>
        <v>13.50852299740629</v>
      </c>
      <c r="BE137" s="768">
        <f t="shared" si="65"/>
        <v>13.502709277303802</v>
      </c>
      <c r="BF137" s="768">
        <f t="shared" si="65"/>
        <v>13.496732037882538</v>
      </c>
      <c r="BG137" s="768">
        <f t="shared" si="65"/>
        <v>13.49046750197423</v>
      </c>
      <c r="BH137" s="768">
        <f t="shared" si="65"/>
        <v>13.484570062761604</v>
      </c>
      <c r="BI137" s="768">
        <f t="shared" si="65"/>
        <v>13.478642672805654</v>
      </c>
      <c r="BJ137" s="768">
        <f t="shared" si="65"/>
        <v>13.47243608145695</v>
      </c>
      <c r="BK137" s="768">
        <f t="shared" si="65"/>
        <v>13.466589806220476</v>
      </c>
      <c r="BL137" s="768">
        <f t="shared" si="65"/>
        <v>13.460275296354798</v>
      </c>
      <c r="BM137" s="768">
        <f t="shared" si="65"/>
        <v>13.454442461760349</v>
      </c>
      <c r="BN137" s="768">
        <f t="shared" si="65"/>
        <v>13.448627882902771</v>
      </c>
      <c r="BO137" s="768">
        <f t="shared" si="65"/>
        <v>13.442378737577867</v>
      </c>
      <c r="BP137" s="768">
        <f t="shared" si="65"/>
        <v>0</v>
      </c>
      <c r="BQ137" s="768">
        <f t="shared" si="65"/>
        <v>0</v>
      </c>
      <c r="BR137" s="768">
        <f t="shared" si="65"/>
        <v>0</v>
      </c>
      <c r="BS137" s="768">
        <f t="shared" si="66"/>
        <v>0</v>
      </c>
      <c r="BT137" s="768">
        <f t="shared" si="66"/>
        <v>0</v>
      </c>
      <c r="BU137" s="768">
        <f t="shared" si="66"/>
        <v>0</v>
      </c>
      <c r="BV137" s="768">
        <f t="shared" si="66"/>
        <v>0</v>
      </c>
      <c r="BW137" s="768">
        <f t="shared" si="66"/>
        <v>0</v>
      </c>
      <c r="BX137" s="768">
        <f t="shared" si="66"/>
        <v>0</v>
      </c>
      <c r="BY137" s="768">
        <f t="shared" si="66"/>
        <v>0</v>
      </c>
      <c r="BZ137" s="768">
        <f t="shared" si="66"/>
        <v>0</v>
      </c>
      <c r="CA137" s="768">
        <f t="shared" si="66"/>
        <v>0</v>
      </c>
      <c r="CB137" s="768">
        <f t="shared" si="66"/>
        <v>0</v>
      </c>
      <c r="CC137" s="768">
        <f t="shared" si="66"/>
        <v>0</v>
      </c>
      <c r="CD137" s="768">
        <f t="shared" si="66"/>
        <v>0</v>
      </c>
      <c r="CE137" s="768">
        <f t="shared" si="66"/>
        <v>0</v>
      </c>
      <c r="CF137" s="768">
        <f t="shared" si="66"/>
        <v>0</v>
      </c>
      <c r="CG137" s="768">
        <f t="shared" si="66"/>
        <v>0</v>
      </c>
      <c r="CH137" s="768">
        <f t="shared" si="66"/>
        <v>0</v>
      </c>
      <c r="CI137" s="769">
        <f t="shared" si="66"/>
        <v>0</v>
      </c>
      <c r="CK137" s="1366"/>
    </row>
    <row r="138" spans="2:89" x14ac:dyDescent="0.25">
      <c r="B138" s="788" t="s">
        <v>621</v>
      </c>
      <c r="C138" s="789" t="s">
        <v>409</v>
      </c>
      <c r="D138" s="790" t="s">
        <v>408</v>
      </c>
      <c r="E138" s="791" t="s">
        <v>285</v>
      </c>
      <c r="F138" s="792">
        <v>1</v>
      </c>
      <c r="G138" s="793"/>
      <c r="H138" s="793"/>
      <c r="I138" s="793">
        <f t="shared" ref="I138:BR138" si="67">I48</f>
        <v>0.13407657142856522</v>
      </c>
      <c r="J138" s="793">
        <f t="shared" si="67"/>
        <v>0.16759571428570652</v>
      </c>
      <c r="K138" s="793">
        <f t="shared" si="67"/>
        <v>0.20111485714284782</v>
      </c>
      <c r="L138" s="793">
        <f t="shared" si="67"/>
        <v>0.23463399999998913</v>
      </c>
      <c r="M138" s="794">
        <f t="shared" si="67"/>
        <v>0.26815314285715264</v>
      </c>
      <c r="N138" s="794">
        <f t="shared" si="67"/>
        <v>0.30167228571429394</v>
      </c>
      <c r="O138" s="794">
        <f t="shared" si="67"/>
        <v>0.33519142857143525</v>
      </c>
      <c r="P138" s="794">
        <f t="shared" si="67"/>
        <v>0.36871057142857655</v>
      </c>
      <c r="Q138" s="794">
        <f t="shared" si="67"/>
        <v>0.40222971428571785</v>
      </c>
      <c r="R138" s="794">
        <f t="shared" si="67"/>
        <v>0.43574885714285916</v>
      </c>
      <c r="S138" s="794">
        <f t="shared" si="67"/>
        <v>0.46926800000000046</v>
      </c>
      <c r="T138" s="794">
        <f t="shared" si="67"/>
        <v>0.50278714285714177</v>
      </c>
      <c r="U138" s="794">
        <f t="shared" si="67"/>
        <v>0.53630628571428307</v>
      </c>
      <c r="V138" s="794">
        <f t="shared" si="67"/>
        <v>0.56982542857142437</v>
      </c>
      <c r="W138" s="794">
        <f t="shared" si="67"/>
        <v>0.60334457142856568</v>
      </c>
      <c r="X138" s="794">
        <f t="shared" si="67"/>
        <v>0.63686371428570698</v>
      </c>
      <c r="Y138" s="794">
        <f t="shared" si="67"/>
        <v>0.67038285714284829</v>
      </c>
      <c r="Z138" s="794">
        <f t="shared" si="67"/>
        <v>0.70390199999998959</v>
      </c>
      <c r="AA138" s="794">
        <f t="shared" si="67"/>
        <v>0.7374211428571531</v>
      </c>
      <c r="AB138" s="794">
        <f t="shared" si="67"/>
        <v>0.7709402857142944</v>
      </c>
      <c r="AC138" s="794">
        <f t="shared" si="67"/>
        <v>0.80445942857143571</v>
      </c>
      <c r="AD138" s="794">
        <f t="shared" si="67"/>
        <v>0.83797857142857701</v>
      </c>
      <c r="AE138" s="794">
        <f t="shared" si="67"/>
        <v>0.87149771428571832</v>
      </c>
      <c r="AF138" s="794">
        <f t="shared" si="67"/>
        <v>0.90501685714285962</v>
      </c>
      <c r="AG138" s="794">
        <f t="shared" si="67"/>
        <v>0.93853600000000093</v>
      </c>
      <c r="AH138" s="794">
        <f t="shared" si="67"/>
        <v>0.97205514285714223</v>
      </c>
      <c r="AI138" s="794">
        <f t="shared" si="67"/>
        <v>1.0055742857142835</v>
      </c>
      <c r="AJ138" s="794">
        <f t="shared" si="67"/>
        <v>1.0390934285714248</v>
      </c>
      <c r="AK138" s="794">
        <f t="shared" si="67"/>
        <v>1.0726125714285661</v>
      </c>
      <c r="AL138" s="794">
        <f t="shared" si="67"/>
        <v>1.1061317142857074</v>
      </c>
      <c r="AM138" s="794">
        <f t="shared" si="67"/>
        <v>1.1396508571428487</v>
      </c>
      <c r="AN138" s="794">
        <f t="shared" si="67"/>
        <v>1.1731699999999901</v>
      </c>
      <c r="AO138" s="794">
        <f t="shared" si="67"/>
        <v>1.2066891428571314</v>
      </c>
      <c r="AP138" s="794">
        <f t="shared" si="67"/>
        <v>1.2402082857142727</v>
      </c>
      <c r="AQ138" s="794">
        <f t="shared" si="67"/>
        <v>1.273727428571414</v>
      </c>
      <c r="AR138" s="794">
        <f t="shared" si="67"/>
        <v>1.3072465714285553</v>
      </c>
      <c r="AS138" s="794">
        <f t="shared" si="67"/>
        <v>1.3407657142856966</v>
      </c>
      <c r="AT138" s="794">
        <f t="shared" si="67"/>
        <v>1.3742848571428379</v>
      </c>
      <c r="AU138" s="794">
        <f t="shared" si="67"/>
        <v>1.4078039999999792</v>
      </c>
      <c r="AV138" s="794">
        <f t="shared" si="67"/>
        <v>1.4413231428571205</v>
      </c>
      <c r="AW138" s="794">
        <f t="shared" si="67"/>
        <v>1.4748422857142618</v>
      </c>
      <c r="AX138" s="794">
        <f t="shared" si="67"/>
        <v>1.5083614285714031</v>
      </c>
      <c r="AY138" s="794">
        <f t="shared" si="67"/>
        <v>1.5418805714285444</v>
      </c>
      <c r="AZ138" s="794">
        <f t="shared" si="67"/>
        <v>1.5753997142856857</v>
      </c>
      <c r="BA138" s="794">
        <f t="shared" si="67"/>
        <v>1.608918857142827</v>
      </c>
      <c r="BB138" s="794">
        <f t="shared" si="67"/>
        <v>1.6424379999999683</v>
      </c>
      <c r="BC138" s="794">
        <f t="shared" si="67"/>
        <v>1.6759571428571096</v>
      </c>
      <c r="BD138" s="794">
        <f t="shared" si="67"/>
        <v>1.7094762857142509</v>
      </c>
      <c r="BE138" s="794">
        <f t="shared" si="67"/>
        <v>1.7429954285713922</v>
      </c>
      <c r="BF138" s="794">
        <f t="shared" si="67"/>
        <v>1.7765145714285335</v>
      </c>
      <c r="BG138" s="794">
        <f t="shared" si="67"/>
        <v>1.8100337142856748</v>
      </c>
      <c r="BH138" s="794">
        <f t="shared" si="67"/>
        <v>1.8435528571428161</v>
      </c>
      <c r="BI138" s="794">
        <f t="shared" si="67"/>
        <v>1.8770719999999574</v>
      </c>
      <c r="BJ138" s="794">
        <f t="shared" si="67"/>
        <v>1.9105911428570987</v>
      </c>
      <c r="BK138" s="794">
        <f t="shared" si="67"/>
        <v>1.94411028571424</v>
      </c>
      <c r="BL138" s="794">
        <f t="shared" si="67"/>
        <v>1.9776294285713814</v>
      </c>
      <c r="BM138" s="794">
        <f t="shared" si="67"/>
        <v>2.0111485714285227</v>
      </c>
      <c r="BN138" s="794">
        <f t="shared" si="67"/>
        <v>2.044667714285664</v>
      </c>
      <c r="BO138" s="794">
        <f t="shared" si="67"/>
        <v>2.0781868571428053</v>
      </c>
      <c r="BP138" s="794">
        <f t="shared" si="67"/>
        <v>0</v>
      </c>
      <c r="BQ138" s="794">
        <f t="shared" si="67"/>
        <v>0</v>
      </c>
      <c r="BR138" s="794">
        <f t="shared" si="67"/>
        <v>0</v>
      </c>
      <c r="BS138" s="794">
        <f t="shared" ref="BS138:CI138" si="68">BS48</f>
        <v>0</v>
      </c>
      <c r="BT138" s="794">
        <f t="shared" si="68"/>
        <v>0</v>
      </c>
      <c r="BU138" s="794">
        <f t="shared" si="68"/>
        <v>0</v>
      </c>
      <c r="BV138" s="794">
        <f t="shared" si="68"/>
        <v>0</v>
      </c>
      <c r="BW138" s="794">
        <f t="shared" si="68"/>
        <v>0</v>
      </c>
      <c r="BX138" s="794">
        <f t="shared" si="68"/>
        <v>0</v>
      </c>
      <c r="BY138" s="794">
        <f t="shared" si="68"/>
        <v>0</v>
      </c>
      <c r="BZ138" s="794">
        <f t="shared" si="68"/>
        <v>0</v>
      </c>
      <c r="CA138" s="794">
        <f t="shared" si="68"/>
        <v>0</v>
      </c>
      <c r="CB138" s="794">
        <f t="shared" si="68"/>
        <v>0</v>
      </c>
      <c r="CC138" s="794">
        <f t="shared" si="68"/>
        <v>0</v>
      </c>
      <c r="CD138" s="794">
        <f t="shared" si="68"/>
        <v>0</v>
      </c>
      <c r="CE138" s="794">
        <f t="shared" si="68"/>
        <v>0</v>
      </c>
      <c r="CF138" s="794">
        <f t="shared" si="68"/>
        <v>0</v>
      </c>
      <c r="CG138" s="794">
        <f t="shared" si="68"/>
        <v>0</v>
      </c>
      <c r="CH138" s="794">
        <f t="shared" si="68"/>
        <v>0</v>
      </c>
      <c r="CI138" s="795">
        <f t="shared" si="68"/>
        <v>0</v>
      </c>
      <c r="CK138" s="1366"/>
    </row>
    <row r="139" spans="2:89" ht="27.6" x14ac:dyDescent="0.25">
      <c r="B139" s="788" t="s">
        <v>622</v>
      </c>
      <c r="C139" s="789" t="s">
        <v>411</v>
      </c>
      <c r="D139" s="790" t="s">
        <v>623</v>
      </c>
      <c r="E139" s="791" t="s">
        <v>146</v>
      </c>
      <c r="F139" s="792">
        <v>2</v>
      </c>
      <c r="G139" s="607"/>
      <c r="H139" s="607"/>
      <c r="I139" s="607">
        <f>I138*(SUM(I133:I137)-SUM(I145:I148))</f>
        <v>32.736366110295855</v>
      </c>
      <c r="J139" s="607">
        <f t="shared" ref="J139:BU139" si="69">J138*(SUM(J133:J137)-SUM(J145:J148))</f>
        <v>40.842485978613546</v>
      </c>
      <c r="K139" s="607">
        <f t="shared" si="69"/>
        <v>48.954909668320298</v>
      </c>
      <c r="L139" s="607">
        <f t="shared" si="69"/>
        <v>57.06463090823614</v>
      </c>
      <c r="M139" s="607">
        <f t="shared" si="69"/>
        <v>65.104539501605515</v>
      </c>
      <c r="N139" s="607">
        <f t="shared" si="69"/>
        <v>72.595857317276497</v>
      </c>
      <c r="O139" s="607">
        <f t="shared" si="69"/>
        <v>79.818116937829487</v>
      </c>
      <c r="P139" s="607">
        <f t="shared" si="69"/>
        <v>86.836334391885231</v>
      </c>
      <c r="Q139" s="607">
        <f t="shared" si="69"/>
        <v>93.657058520092988</v>
      </c>
      <c r="R139" s="607">
        <f t="shared" si="69"/>
        <v>99.112908091700987</v>
      </c>
      <c r="S139" s="607">
        <f t="shared" si="69"/>
        <v>104.10677839937507</v>
      </c>
      <c r="T139" s="607">
        <f t="shared" si="69"/>
        <v>109.8264822921804</v>
      </c>
      <c r="U139" s="607">
        <f t="shared" si="69"/>
        <v>115.27238540407055</v>
      </c>
      <c r="V139" s="607">
        <f t="shared" si="69"/>
        <v>120.39453798360466</v>
      </c>
      <c r="W139" s="607">
        <f t="shared" si="69"/>
        <v>126.12393920675547</v>
      </c>
      <c r="X139" s="607">
        <f t="shared" si="69"/>
        <v>131.64233790082494</v>
      </c>
      <c r="Y139" s="607">
        <f t="shared" si="69"/>
        <v>137.02780975318981</v>
      </c>
      <c r="Z139" s="607">
        <f t="shared" si="69"/>
        <v>142.22601080232766</v>
      </c>
      <c r="AA139" s="607">
        <f t="shared" si="69"/>
        <v>147.20458496641839</v>
      </c>
      <c r="AB139" s="607">
        <f t="shared" si="69"/>
        <v>152.49349463884386</v>
      </c>
      <c r="AC139" s="607">
        <f t="shared" si="69"/>
        <v>158.14873740209237</v>
      </c>
      <c r="AD139" s="607">
        <f t="shared" si="69"/>
        <v>163.97666867167084</v>
      </c>
      <c r="AE139" s="607">
        <f t="shared" si="69"/>
        <v>169.9578926858623</v>
      </c>
      <c r="AF139" s="607">
        <f t="shared" si="69"/>
        <v>176.13018812401947</v>
      </c>
      <c r="AG139" s="607">
        <f t="shared" si="69"/>
        <v>182.31764155261916</v>
      </c>
      <c r="AH139" s="607">
        <f t="shared" si="69"/>
        <v>188.55548147354813</v>
      </c>
      <c r="AI139" s="607">
        <f t="shared" si="69"/>
        <v>195.04740487135155</v>
      </c>
      <c r="AJ139" s="607">
        <f t="shared" si="69"/>
        <v>201.79201703470548</v>
      </c>
      <c r="AK139" s="607">
        <f t="shared" si="69"/>
        <v>208.77887542378403</v>
      </c>
      <c r="AL139" s="607">
        <f t="shared" si="69"/>
        <v>216.12135397306608</v>
      </c>
      <c r="AM139" s="607">
        <f t="shared" si="69"/>
        <v>223.83058855484944</v>
      </c>
      <c r="AN139" s="607">
        <f t="shared" si="69"/>
        <v>231.85310231527333</v>
      </c>
      <c r="AO139" s="607">
        <f t="shared" si="69"/>
        <v>240.28303577391841</v>
      </c>
      <c r="AP139" s="607">
        <f t="shared" si="69"/>
        <v>249.11807873587443</v>
      </c>
      <c r="AQ139" s="607">
        <f t="shared" si="69"/>
        <v>261.54842764039779</v>
      </c>
      <c r="AR139" s="607">
        <f t="shared" si="69"/>
        <v>274.60757246166452</v>
      </c>
      <c r="AS139" s="607">
        <f t="shared" si="69"/>
        <v>284.61409939014703</v>
      </c>
      <c r="AT139" s="607">
        <f t="shared" si="69"/>
        <v>294.87958457144555</v>
      </c>
      <c r="AU139" s="607">
        <f t="shared" si="69"/>
        <v>305.22032319016114</v>
      </c>
      <c r="AV139" s="607">
        <f t="shared" si="69"/>
        <v>315.49060637938453</v>
      </c>
      <c r="AW139" s="607">
        <f t="shared" si="69"/>
        <v>325.77852993248268</v>
      </c>
      <c r="AX139" s="607">
        <f t="shared" si="69"/>
        <v>336.02948815080697</v>
      </c>
      <c r="AY139" s="607">
        <f t="shared" si="69"/>
        <v>346.159229849849</v>
      </c>
      <c r="AZ139" s="607">
        <f t="shared" si="69"/>
        <v>356.26271346866162</v>
      </c>
      <c r="BA139" s="607">
        <f t="shared" si="69"/>
        <v>366.23982137843922</v>
      </c>
      <c r="BB139" s="607">
        <f t="shared" si="69"/>
        <v>376.18711830259491</v>
      </c>
      <c r="BC139" s="607">
        <f t="shared" si="69"/>
        <v>386.03697079101346</v>
      </c>
      <c r="BD139" s="607">
        <f t="shared" si="69"/>
        <v>395.73109687172547</v>
      </c>
      <c r="BE139" s="607">
        <f t="shared" si="69"/>
        <v>405.36753079696399</v>
      </c>
      <c r="BF139" s="607">
        <f t="shared" si="69"/>
        <v>414.97426351322088</v>
      </c>
      <c r="BG139" s="607">
        <f t="shared" si="69"/>
        <v>424.59943134531545</v>
      </c>
      <c r="BH139" s="607">
        <f t="shared" si="69"/>
        <v>434.3532414918979</v>
      </c>
      <c r="BI139" s="607">
        <f t="shared" si="69"/>
        <v>444.17833352760721</v>
      </c>
      <c r="BJ139" s="607">
        <f t="shared" si="69"/>
        <v>454.01948896860722</v>
      </c>
      <c r="BK139" s="607">
        <f t="shared" si="69"/>
        <v>463.99311175481648</v>
      </c>
      <c r="BL139" s="607">
        <f t="shared" si="69"/>
        <v>473.97389960499163</v>
      </c>
      <c r="BM139" s="607">
        <f t="shared" si="69"/>
        <v>484.09386617479458</v>
      </c>
      <c r="BN139" s="607">
        <f t="shared" si="69"/>
        <v>494.28827316969216</v>
      </c>
      <c r="BO139" s="607">
        <f t="shared" si="69"/>
        <v>504.4882306787261</v>
      </c>
      <c r="BP139" s="607">
        <f t="shared" si="69"/>
        <v>0</v>
      </c>
      <c r="BQ139" s="607">
        <f t="shared" si="69"/>
        <v>0</v>
      </c>
      <c r="BR139" s="607">
        <f t="shared" si="69"/>
        <v>0</v>
      </c>
      <c r="BS139" s="607">
        <f t="shared" si="69"/>
        <v>0</v>
      </c>
      <c r="BT139" s="607">
        <f t="shared" si="69"/>
        <v>0</v>
      </c>
      <c r="BU139" s="607">
        <f t="shared" si="69"/>
        <v>0</v>
      </c>
      <c r="BV139" s="607">
        <f t="shared" ref="BV139:CI139" si="70">BV138*(SUM(BV133:BV137)-SUM(BV145:BV148))</f>
        <v>0</v>
      </c>
      <c r="BW139" s="607">
        <f t="shared" si="70"/>
        <v>0</v>
      </c>
      <c r="BX139" s="607">
        <f t="shared" si="70"/>
        <v>0</v>
      </c>
      <c r="BY139" s="607">
        <f t="shared" si="70"/>
        <v>0</v>
      </c>
      <c r="BZ139" s="607">
        <f t="shared" si="70"/>
        <v>0</v>
      </c>
      <c r="CA139" s="607">
        <f t="shared" si="70"/>
        <v>0</v>
      </c>
      <c r="CB139" s="607">
        <f t="shared" si="70"/>
        <v>0</v>
      </c>
      <c r="CC139" s="607">
        <f t="shared" si="70"/>
        <v>0</v>
      </c>
      <c r="CD139" s="607">
        <f t="shared" si="70"/>
        <v>0</v>
      </c>
      <c r="CE139" s="607">
        <f t="shared" si="70"/>
        <v>0</v>
      </c>
      <c r="CF139" s="607">
        <f t="shared" si="70"/>
        <v>0</v>
      </c>
      <c r="CG139" s="607">
        <f t="shared" si="70"/>
        <v>0</v>
      </c>
      <c r="CH139" s="607">
        <f t="shared" si="70"/>
        <v>0</v>
      </c>
      <c r="CI139" s="607">
        <f t="shared" si="70"/>
        <v>0</v>
      </c>
      <c r="CK139" s="1366"/>
    </row>
    <row r="140" spans="2:89" ht="27.6" x14ac:dyDescent="0.25">
      <c r="B140" s="788" t="s">
        <v>624</v>
      </c>
      <c r="C140" s="796" t="s">
        <v>215</v>
      </c>
      <c r="D140" s="797" t="s">
        <v>625</v>
      </c>
      <c r="E140" s="798" t="s">
        <v>149</v>
      </c>
      <c r="F140" s="799">
        <v>1</v>
      </c>
      <c r="G140" s="800"/>
      <c r="H140" s="800"/>
      <c r="I140" s="800">
        <f t="shared" ref="I140:BS141" si="71">(((I136-I147))*1000000)/((I169)*1000)</f>
        <v>148.50233999999998</v>
      </c>
      <c r="J140" s="800">
        <f t="shared" si="71"/>
        <v>146.99437850169664</v>
      </c>
      <c r="K140" s="800">
        <f>(((K136-K147))*1000000)/((K169)*1000)</f>
        <v>145.89439658944579</v>
      </c>
      <c r="L140" s="800">
        <f t="shared" si="71"/>
        <v>145.0353736345686</v>
      </c>
      <c r="M140" s="801">
        <f>(((M136-M147))*1000000)/((M169)*1000)</f>
        <v>142.88043282983568</v>
      </c>
      <c r="N140" s="801">
        <f t="shared" si="71"/>
        <v>139.63446807968592</v>
      </c>
      <c r="O140" s="801">
        <f t="shared" si="71"/>
        <v>136.3711373050418</v>
      </c>
      <c r="P140" s="801">
        <f t="shared" si="71"/>
        <v>133.28874702220776</v>
      </c>
      <c r="Q140" s="801">
        <f t="shared" si="71"/>
        <v>130.33969810330757</v>
      </c>
      <c r="R140" s="801">
        <f t="shared" si="71"/>
        <v>125.47269806872632</v>
      </c>
      <c r="S140" s="801">
        <f t="shared" si="71"/>
        <v>120.60366175889094</v>
      </c>
      <c r="T140" s="801">
        <f t="shared" si="71"/>
        <v>117.75446095752473</v>
      </c>
      <c r="U140" s="801">
        <f t="shared" si="71"/>
        <v>114.99765879401994</v>
      </c>
      <c r="V140" s="801">
        <f t="shared" si="71"/>
        <v>112.31310764110941</v>
      </c>
      <c r="W140" s="801">
        <f t="shared" si="71"/>
        <v>110.91863836911658</v>
      </c>
      <c r="X140" s="801">
        <f t="shared" si="71"/>
        <v>109.57999852848585</v>
      </c>
      <c r="Y140" s="801">
        <f t="shared" si="71"/>
        <v>108.31372396976263</v>
      </c>
      <c r="Z140" s="801">
        <f t="shared" si="71"/>
        <v>107.08381126693619</v>
      </c>
      <c r="AA140" s="801">
        <f t="shared" si="71"/>
        <v>105.87723863360254</v>
      </c>
      <c r="AB140" s="801">
        <f t="shared" si="71"/>
        <v>105.00092831162077</v>
      </c>
      <c r="AC140" s="801">
        <f t="shared" si="71"/>
        <v>104.44856566213851</v>
      </c>
      <c r="AD140" s="801">
        <f t="shared" si="71"/>
        <v>103.93671932849117</v>
      </c>
      <c r="AE140" s="801">
        <f t="shared" si="71"/>
        <v>103.40103414162969</v>
      </c>
      <c r="AF140" s="801">
        <f t="shared" si="71"/>
        <v>102.79404521926183</v>
      </c>
      <c r="AG140" s="801">
        <f t="shared" si="71"/>
        <v>102.93847847241631</v>
      </c>
      <c r="AH140" s="801">
        <f t="shared" si="71"/>
        <v>102.92563234502944</v>
      </c>
      <c r="AI140" s="801">
        <f t="shared" si="71"/>
        <v>102.89370537249222</v>
      </c>
      <c r="AJ140" s="801">
        <f t="shared" si="71"/>
        <v>102.83350245775881</v>
      </c>
      <c r="AK140" s="801">
        <f t="shared" si="71"/>
        <v>102.73245767928661</v>
      </c>
      <c r="AL140" s="801">
        <f t="shared" si="71"/>
        <v>102.63501719966756</v>
      </c>
      <c r="AM140" s="801">
        <f t="shared" si="71"/>
        <v>102.54654273800817</v>
      </c>
      <c r="AN140" s="801">
        <f t="shared" si="71"/>
        <v>102.40908037501167</v>
      </c>
      <c r="AO140" s="801">
        <f t="shared" si="71"/>
        <v>102.27469020226033</v>
      </c>
      <c r="AP140" s="801">
        <f t="shared" si="71"/>
        <v>102.12950665031633</v>
      </c>
      <c r="AQ140" s="801">
        <f t="shared" si="71"/>
        <v>103.80299786223412</v>
      </c>
      <c r="AR140" s="801">
        <f t="shared" si="71"/>
        <v>105.69644627304059</v>
      </c>
      <c r="AS140" s="801">
        <f t="shared" si="71"/>
        <v>105.91353450979567</v>
      </c>
      <c r="AT140" s="801">
        <f t="shared" si="71"/>
        <v>105.82816029594321</v>
      </c>
      <c r="AU140" s="801">
        <f t="shared" si="71"/>
        <v>105.79192237014887</v>
      </c>
      <c r="AV140" s="801">
        <f t="shared" si="71"/>
        <v>105.72446223150027</v>
      </c>
      <c r="AW140" s="801">
        <f t="shared" si="71"/>
        <v>105.67938945979888</v>
      </c>
      <c r="AX140" s="801">
        <f t="shared" si="71"/>
        <v>105.64270878528386</v>
      </c>
      <c r="AY140" s="801">
        <f t="shared" si="71"/>
        <v>105.56905842023332</v>
      </c>
      <c r="AZ140" s="801">
        <f t="shared" si="71"/>
        <v>105.51156003840897</v>
      </c>
      <c r="BA140" s="801">
        <f t="shared" si="71"/>
        <v>105.43296259436404</v>
      </c>
      <c r="BB140" s="801">
        <f t="shared" si="71"/>
        <v>105.37699759867857</v>
      </c>
      <c r="BC140" s="801">
        <f t="shared" si="71"/>
        <v>105.31336903519727</v>
      </c>
      <c r="BD140" s="801">
        <f t="shared" si="71"/>
        <v>105.23788067472252</v>
      </c>
      <c r="BE140" s="801">
        <f t="shared" si="71"/>
        <v>105.18464196597375</v>
      </c>
      <c r="BF140" s="801">
        <f t="shared" si="71"/>
        <v>105.12350766860438</v>
      </c>
      <c r="BG140" s="801">
        <f t="shared" si="71"/>
        <v>105.05100567798534</v>
      </c>
      <c r="BH140" s="801">
        <f t="shared" si="71"/>
        <v>104.99250334344718</v>
      </c>
      <c r="BI140" s="801">
        <f t="shared" si="71"/>
        <v>104.93419134804694</v>
      </c>
      <c r="BJ140" s="801">
        <f t="shared" si="71"/>
        <v>104.86463950641283</v>
      </c>
      <c r="BK140" s="801">
        <f t="shared" si="71"/>
        <v>104.80886684559073</v>
      </c>
      <c r="BL140" s="801">
        <f t="shared" si="71"/>
        <v>104.73322039014255</v>
      </c>
      <c r="BM140" s="801">
        <f t="shared" si="71"/>
        <v>104.67899215073041</v>
      </c>
      <c r="BN140" s="801">
        <f t="shared" si="71"/>
        <v>104.62558594232067</v>
      </c>
      <c r="BO140" s="801">
        <f t="shared" si="71"/>
        <v>104.55291592844357</v>
      </c>
      <c r="BP140" s="801" t="e">
        <f t="shared" si="71"/>
        <v>#DIV/0!</v>
      </c>
      <c r="BQ140" s="801" t="e">
        <f t="shared" si="71"/>
        <v>#DIV/0!</v>
      </c>
      <c r="BR140" s="801" t="e">
        <f t="shared" si="71"/>
        <v>#DIV/0!</v>
      </c>
      <c r="BS140" s="801" t="e">
        <f t="shared" si="71"/>
        <v>#DIV/0!</v>
      </c>
      <c r="BT140" s="801" t="e">
        <f t="shared" ref="BT140:CI141" si="72">(((BT136-BT147))*1000000)/((BT169)*1000)</f>
        <v>#DIV/0!</v>
      </c>
      <c r="BU140" s="801" t="e">
        <f t="shared" si="72"/>
        <v>#DIV/0!</v>
      </c>
      <c r="BV140" s="801" t="e">
        <f t="shared" si="72"/>
        <v>#DIV/0!</v>
      </c>
      <c r="BW140" s="801" t="e">
        <f t="shared" si="72"/>
        <v>#DIV/0!</v>
      </c>
      <c r="BX140" s="801" t="e">
        <f t="shared" si="72"/>
        <v>#DIV/0!</v>
      </c>
      <c r="BY140" s="801" t="e">
        <f t="shared" si="72"/>
        <v>#DIV/0!</v>
      </c>
      <c r="BZ140" s="801" t="e">
        <f t="shared" si="72"/>
        <v>#DIV/0!</v>
      </c>
      <c r="CA140" s="801" t="e">
        <f t="shared" si="72"/>
        <v>#DIV/0!</v>
      </c>
      <c r="CB140" s="801" t="e">
        <f t="shared" si="72"/>
        <v>#DIV/0!</v>
      </c>
      <c r="CC140" s="801" t="e">
        <f t="shared" si="72"/>
        <v>#DIV/0!</v>
      </c>
      <c r="CD140" s="801" t="e">
        <f t="shared" si="72"/>
        <v>#DIV/0!</v>
      </c>
      <c r="CE140" s="801" t="e">
        <f t="shared" si="72"/>
        <v>#DIV/0!</v>
      </c>
      <c r="CF140" s="801" t="e">
        <f t="shared" si="72"/>
        <v>#DIV/0!</v>
      </c>
      <c r="CG140" s="801" t="e">
        <f t="shared" si="72"/>
        <v>#DIV/0!</v>
      </c>
      <c r="CH140" s="801" t="e">
        <f t="shared" si="72"/>
        <v>#DIV/0!</v>
      </c>
      <c r="CI140" s="802" t="e">
        <f t="shared" si="72"/>
        <v>#DIV/0!</v>
      </c>
      <c r="CK140" s="1366"/>
    </row>
    <row r="141" spans="2:89" ht="27.6" x14ac:dyDescent="0.25">
      <c r="B141" s="788" t="s">
        <v>626</v>
      </c>
      <c r="C141" s="796" t="s">
        <v>234</v>
      </c>
      <c r="D141" s="797" t="s">
        <v>627</v>
      </c>
      <c r="E141" s="798" t="s">
        <v>149</v>
      </c>
      <c r="F141" s="799">
        <v>1</v>
      </c>
      <c r="G141" s="800"/>
      <c r="H141" s="800"/>
      <c r="I141" s="800">
        <f t="shared" si="71"/>
        <v>169.92741999999998</v>
      </c>
      <c r="J141" s="800">
        <f t="shared" si="71"/>
        <v>170.21121511170972</v>
      </c>
      <c r="K141" s="800">
        <f t="shared" si="71"/>
        <v>170.39302620519578</v>
      </c>
      <c r="L141" s="800">
        <f t="shared" si="71"/>
        <v>170.51665554082936</v>
      </c>
      <c r="M141" s="801">
        <f t="shared" si="71"/>
        <v>172.50692284361278</v>
      </c>
      <c r="N141" s="801">
        <f t="shared" si="71"/>
        <v>173.63276017812782</v>
      </c>
      <c r="O141" s="801">
        <f t="shared" si="71"/>
        <v>174.76179327087556</v>
      </c>
      <c r="P141" s="801">
        <f t="shared" si="71"/>
        <v>176.18149471506936</v>
      </c>
      <c r="Q141" s="801">
        <f t="shared" si="71"/>
        <v>177.89072007782633</v>
      </c>
      <c r="R141" s="801">
        <f t="shared" si="71"/>
        <v>178.13965835850561</v>
      </c>
      <c r="S141" s="801">
        <f t="shared" si="71"/>
        <v>178.63181238163313</v>
      </c>
      <c r="T141" s="801">
        <f t="shared" si="71"/>
        <v>181.21262615165924</v>
      </c>
      <c r="U141" s="801">
        <f t="shared" si="71"/>
        <v>184.24797132432775</v>
      </c>
      <c r="V141" s="801">
        <f t="shared" si="71"/>
        <v>187.78501387057349</v>
      </c>
      <c r="W141" s="801">
        <f t="shared" si="71"/>
        <v>192.49846885059932</v>
      </c>
      <c r="X141" s="801">
        <f t="shared" si="71"/>
        <v>197.86048407860258</v>
      </c>
      <c r="Y141" s="801">
        <f t="shared" si="71"/>
        <v>204.03279435816768</v>
      </c>
      <c r="Z141" s="801">
        <f t="shared" si="71"/>
        <v>211.09201629401079</v>
      </c>
      <c r="AA141" s="801">
        <f t="shared" si="71"/>
        <v>219.73974615802373</v>
      </c>
      <c r="AB141" s="801">
        <f t="shared" si="71"/>
        <v>230.40154584471347</v>
      </c>
      <c r="AC141" s="801">
        <f t="shared" si="71"/>
        <v>243.02892643422183</v>
      </c>
      <c r="AD141" s="801">
        <f t="shared" si="71"/>
        <v>257.7356584804744</v>
      </c>
      <c r="AE141" s="801">
        <f t="shared" si="71"/>
        <v>274.89592432796888</v>
      </c>
      <c r="AF141" s="801">
        <f t="shared" si="71"/>
        <v>295.03878687069471</v>
      </c>
      <c r="AG141" s="801">
        <f t="shared" si="71"/>
        <v>280.076238138316</v>
      </c>
      <c r="AH141" s="801">
        <f t="shared" si="71"/>
        <v>265.64180338438331</v>
      </c>
      <c r="AI141" s="801">
        <f t="shared" si="71"/>
        <v>251.88294681582531</v>
      </c>
      <c r="AJ141" s="801">
        <f t="shared" si="71"/>
        <v>238.74026234981883</v>
      </c>
      <c r="AK141" s="801">
        <f t="shared" si="71"/>
        <v>226.15839054980123</v>
      </c>
      <c r="AL141" s="801">
        <f t="shared" si="71"/>
        <v>214.17853930058536</v>
      </c>
      <c r="AM141" s="801">
        <f t="shared" si="71"/>
        <v>202.77219255685426</v>
      </c>
      <c r="AN141" s="801">
        <f t="shared" si="71"/>
        <v>191.82315507451261</v>
      </c>
      <c r="AO141" s="801">
        <f t="shared" si="71"/>
        <v>181.40336353805006</v>
      </c>
      <c r="AP141" s="801">
        <f t="shared" si="71"/>
        <v>171.45605807123093</v>
      </c>
      <c r="AQ141" s="801">
        <f t="shared" si="71"/>
        <v>163.59056063648336</v>
      </c>
      <c r="AR141" s="801">
        <f t="shared" si="71"/>
        <v>156.38324935676712</v>
      </c>
      <c r="AS141" s="801">
        <f t="shared" si="71"/>
        <v>148.07136077401711</v>
      </c>
      <c r="AT141" s="801">
        <f t="shared" si="71"/>
        <v>147.98128390042828</v>
      </c>
      <c r="AU141" s="801">
        <f t="shared" si="71"/>
        <v>147.93889278779878</v>
      </c>
      <c r="AV141" s="801">
        <f t="shared" si="71"/>
        <v>147.85363322769692</v>
      </c>
      <c r="AW141" s="801">
        <f t="shared" si="71"/>
        <v>147.79756515005056</v>
      </c>
      <c r="AX141" s="801">
        <f t="shared" si="71"/>
        <v>147.75240590753054</v>
      </c>
      <c r="AY141" s="801">
        <f t="shared" si="71"/>
        <v>147.65956850168817</v>
      </c>
      <c r="AZ141" s="801">
        <f t="shared" si="71"/>
        <v>147.59010991539353</v>
      </c>
      <c r="BA141" s="801">
        <f t="shared" si="71"/>
        <v>147.49153141297165</v>
      </c>
      <c r="BB141" s="801">
        <f t="shared" si="71"/>
        <v>147.42205787193598</v>
      </c>
      <c r="BC141" s="801">
        <f t="shared" si="71"/>
        <v>147.34107807618392</v>
      </c>
      <c r="BD141" s="801">
        <f t="shared" si="71"/>
        <v>147.24352326307951</v>
      </c>
      <c r="BE141" s="801">
        <f t="shared" si="71"/>
        <v>147.17454879559725</v>
      </c>
      <c r="BF141" s="801">
        <f t="shared" si="71"/>
        <v>147.09397967273401</v>
      </c>
      <c r="BG141" s="801">
        <f t="shared" si="71"/>
        <v>146.99748526869206</v>
      </c>
      <c r="BH141" s="801">
        <f t="shared" si="71"/>
        <v>146.91811847823794</v>
      </c>
      <c r="BI141" s="801">
        <f t="shared" si="71"/>
        <v>146.83837645371878</v>
      </c>
      <c r="BJ141" s="801">
        <f t="shared" si="71"/>
        <v>146.74302172788762</v>
      </c>
      <c r="BK141" s="801">
        <f t="shared" si="71"/>
        <v>146.66449234251468</v>
      </c>
      <c r="BL141" s="801">
        <f t="shared" si="71"/>
        <v>146.55894198184833</v>
      </c>
      <c r="BM141" s="801">
        <f t="shared" si="71"/>
        <v>146.48076081568695</v>
      </c>
      <c r="BN141" s="801">
        <f t="shared" si="71"/>
        <v>146.40284846732428</v>
      </c>
      <c r="BO141" s="801">
        <f t="shared" si="71"/>
        <v>146.29871392507721</v>
      </c>
      <c r="BP141" s="801" t="e">
        <f t="shared" si="71"/>
        <v>#DIV/0!</v>
      </c>
      <c r="BQ141" s="801" t="e">
        <f t="shared" si="71"/>
        <v>#DIV/0!</v>
      </c>
      <c r="BR141" s="801" t="e">
        <f t="shared" si="71"/>
        <v>#DIV/0!</v>
      </c>
      <c r="BS141" s="801" t="e">
        <f t="shared" si="71"/>
        <v>#DIV/0!</v>
      </c>
      <c r="BT141" s="801" t="e">
        <f t="shared" si="72"/>
        <v>#DIV/0!</v>
      </c>
      <c r="BU141" s="801" t="e">
        <f t="shared" si="72"/>
        <v>#DIV/0!</v>
      </c>
      <c r="BV141" s="801" t="e">
        <f t="shared" si="72"/>
        <v>#DIV/0!</v>
      </c>
      <c r="BW141" s="801" t="e">
        <f t="shared" si="72"/>
        <v>#DIV/0!</v>
      </c>
      <c r="BX141" s="801" t="e">
        <f t="shared" si="72"/>
        <v>#DIV/0!</v>
      </c>
      <c r="BY141" s="801" t="e">
        <f t="shared" si="72"/>
        <v>#DIV/0!</v>
      </c>
      <c r="BZ141" s="801" t="e">
        <f t="shared" si="72"/>
        <v>#DIV/0!</v>
      </c>
      <c r="CA141" s="801" t="e">
        <f t="shared" si="72"/>
        <v>#DIV/0!</v>
      </c>
      <c r="CB141" s="801" t="e">
        <f t="shared" si="72"/>
        <v>#DIV/0!</v>
      </c>
      <c r="CC141" s="801" t="e">
        <f t="shared" si="72"/>
        <v>#DIV/0!</v>
      </c>
      <c r="CD141" s="801" t="e">
        <f t="shared" si="72"/>
        <v>#DIV/0!</v>
      </c>
      <c r="CE141" s="801" t="e">
        <f t="shared" si="72"/>
        <v>#DIV/0!</v>
      </c>
      <c r="CF141" s="801" t="e">
        <f t="shared" si="72"/>
        <v>#DIV/0!</v>
      </c>
      <c r="CG141" s="801" t="e">
        <f t="shared" si="72"/>
        <v>#DIV/0!</v>
      </c>
      <c r="CH141" s="801" t="e">
        <f t="shared" si="72"/>
        <v>#DIV/0!</v>
      </c>
      <c r="CI141" s="802" t="e">
        <f t="shared" si="72"/>
        <v>#DIV/0!</v>
      </c>
      <c r="CK141" s="1366"/>
    </row>
    <row r="142" spans="2:89" ht="27.6" x14ac:dyDescent="0.25">
      <c r="B142" s="788" t="s">
        <v>628</v>
      </c>
      <c r="C142" s="796" t="s">
        <v>148</v>
      </c>
      <c r="D142" s="797" t="s">
        <v>629</v>
      </c>
      <c r="E142" s="798" t="s">
        <v>149</v>
      </c>
      <c r="F142" s="799">
        <v>1</v>
      </c>
      <c r="G142" s="800"/>
      <c r="H142" s="800"/>
      <c r="I142" s="800">
        <f t="shared" ref="I142:BS142" si="73">(((I136-I147)+(I137-I148))*1000000)/((I169+I170)*1000)</f>
        <v>158.04658923764734</v>
      </c>
      <c r="J142" s="800">
        <f t="shared" si="73"/>
        <v>156.0936734232416</v>
      </c>
      <c r="K142" s="800">
        <f t="shared" si="73"/>
        <v>154.35265818006147</v>
      </c>
      <c r="L142" s="800">
        <f t="shared" si="73"/>
        <v>152.78751573204212</v>
      </c>
      <c r="M142" s="801">
        <f t="shared" si="73"/>
        <v>151.28176804282035</v>
      </c>
      <c r="N142" s="801">
        <f>(((N136-N147)+(N137-N148))*1000000)/((N169+N170)*1000)</f>
        <v>148.61629623287516</v>
      </c>
      <c r="O142" s="801">
        <f t="shared" si="73"/>
        <v>145.81061042457046</v>
      </c>
      <c r="P142" s="801">
        <f t="shared" si="73"/>
        <v>143.09574994879006</v>
      </c>
      <c r="Q142" s="801">
        <f t="shared" si="73"/>
        <v>140.43589976905523</v>
      </c>
      <c r="R142" s="801">
        <f t="shared" si="73"/>
        <v>135.84945814535502</v>
      </c>
      <c r="S142" s="801">
        <f t="shared" si="73"/>
        <v>131.198116296883</v>
      </c>
      <c r="T142" s="801">
        <f t="shared" si="73"/>
        <v>128.47397556627556</v>
      </c>
      <c r="U142" s="801">
        <f t="shared" si="73"/>
        <v>125.80256408783255</v>
      </c>
      <c r="V142" s="801">
        <f t="shared" si="73"/>
        <v>123.1713195771195</v>
      </c>
      <c r="W142" s="801">
        <f t="shared" si="73"/>
        <v>121.71872979130335</v>
      </c>
      <c r="X142" s="801">
        <f t="shared" si="73"/>
        <v>120.31310848664694</v>
      </c>
      <c r="Y142" s="801">
        <f t="shared" si="73"/>
        <v>118.97359764814109</v>
      </c>
      <c r="Z142" s="801">
        <f t="shared" si="73"/>
        <v>117.66300317398172</v>
      </c>
      <c r="AA142" s="801">
        <f t="shared" si="73"/>
        <v>116.42220997812673</v>
      </c>
      <c r="AB142" s="801">
        <f t="shared" si="73"/>
        <v>115.53919843724339</v>
      </c>
      <c r="AC142" s="801">
        <f t="shared" si="73"/>
        <v>114.96938463742843</v>
      </c>
      <c r="AD142" s="801">
        <f t="shared" si="73"/>
        <v>114.43138130186517</v>
      </c>
      <c r="AE142" s="801">
        <f t="shared" si="73"/>
        <v>113.85886000434927</v>
      </c>
      <c r="AF142" s="801">
        <f t="shared" si="73"/>
        <v>113.19833321789453</v>
      </c>
      <c r="AG142" s="801">
        <f t="shared" si="73"/>
        <v>112.46950066020268</v>
      </c>
      <c r="AH142" s="801">
        <f t="shared" si="73"/>
        <v>111.63153480213002</v>
      </c>
      <c r="AI142" s="801">
        <f t="shared" si="73"/>
        <v>110.81939671050786</v>
      </c>
      <c r="AJ142" s="801">
        <f t="shared" si="73"/>
        <v>110.02197781261046</v>
      </c>
      <c r="AK142" s="801">
        <f t="shared" si="73"/>
        <v>109.2247531019903</v>
      </c>
      <c r="AL142" s="801">
        <f t="shared" si="73"/>
        <v>108.46916538869284</v>
      </c>
      <c r="AM142" s="801">
        <f t="shared" si="73"/>
        <v>107.75929484273109</v>
      </c>
      <c r="AN142" s="801">
        <f t="shared" si="73"/>
        <v>107.03427705030462</v>
      </c>
      <c r="AO142" s="801">
        <f t="shared" si="73"/>
        <v>106.34511878450706</v>
      </c>
      <c r="AP142" s="801">
        <f t="shared" si="73"/>
        <v>105.67601655725531</v>
      </c>
      <c r="AQ142" s="801">
        <f t="shared" si="73"/>
        <v>106.84519426124866</v>
      </c>
      <c r="AR142" s="801">
        <f t="shared" si="73"/>
        <v>108.26147716257168</v>
      </c>
      <c r="AS142" s="801">
        <f t="shared" si="73"/>
        <v>108.03568270720905</v>
      </c>
      <c r="AT142" s="801">
        <f t="shared" si="73"/>
        <v>107.93860502574609</v>
      </c>
      <c r="AU142" s="801">
        <f t="shared" si="73"/>
        <v>107.89071721085051</v>
      </c>
      <c r="AV142" s="801">
        <f t="shared" si="73"/>
        <v>107.81146483124678</v>
      </c>
      <c r="AW142" s="801">
        <f t="shared" si="73"/>
        <v>107.75475045418241</v>
      </c>
      <c r="AX142" s="801">
        <f t="shared" si="73"/>
        <v>107.70667470742247</v>
      </c>
      <c r="AY142" s="801">
        <f t="shared" si="73"/>
        <v>107.62152713624555</v>
      </c>
      <c r="AZ142" s="801">
        <f t="shared" si="73"/>
        <v>107.55270232099672</v>
      </c>
      <c r="BA142" s="801">
        <f t="shared" si="73"/>
        <v>107.46280306163909</v>
      </c>
      <c r="BB142" s="801">
        <f t="shared" si="73"/>
        <v>107.39567032165232</v>
      </c>
      <c r="BC142" s="801">
        <f t="shared" si="73"/>
        <v>107.3208056211422</v>
      </c>
      <c r="BD142" s="801">
        <f t="shared" si="73"/>
        <v>107.23425675473854</v>
      </c>
      <c r="BE142" s="801">
        <f t="shared" si="73"/>
        <v>107.17008518684841</v>
      </c>
      <c r="BF142" s="801">
        <f t="shared" si="73"/>
        <v>107.09795504086111</v>
      </c>
      <c r="BG142" s="801">
        <f t="shared" si="73"/>
        <v>107.01463054953443</v>
      </c>
      <c r="BH142" s="801">
        <f t="shared" si="73"/>
        <v>106.94528449280381</v>
      </c>
      <c r="BI142" s="801">
        <f t="shared" si="73"/>
        <v>106.87621105001256</v>
      </c>
      <c r="BJ142" s="801">
        <f t="shared" si="73"/>
        <v>106.79607027859127</v>
      </c>
      <c r="BK142" s="801">
        <f t="shared" si="73"/>
        <v>106.72968617301771</v>
      </c>
      <c r="BL142" s="801">
        <f t="shared" si="73"/>
        <v>106.64346804382129</v>
      </c>
      <c r="BM142" s="801">
        <f t="shared" si="73"/>
        <v>106.5787805699718</v>
      </c>
      <c r="BN142" s="801">
        <f t="shared" si="73"/>
        <v>106.51499222134252</v>
      </c>
      <c r="BO142" s="801">
        <f t="shared" si="73"/>
        <v>106.43198132528043</v>
      </c>
      <c r="BP142" s="801" t="e">
        <f t="shared" si="73"/>
        <v>#DIV/0!</v>
      </c>
      <c r="BQ142" s="801" t="e">
        <f t="shared" si="73"/>
        <v>#DIV/0!</v>
      </c>
      <c r="BR142" s="801" t="e">
        <f t="shared" si="73"/>
        <v>#DIV/0!</v>
      </c>
      <c r="BS142" s="801" t="e">
        <f t="shared" si="73"/>
        <v>#DIV/0!</v>
      </c>
      <c r="BT142" s="801" t="e">
        <f t="shared" ref="BT142:CI142" si="74">(((BT136-BT147)+(BT137-BT148))*1000000)/((BT169+BT170)*1000)</f>
        <v>#DIV/0!</v>
      </c>
      <c r="BU142" s="801" t="e">
        <f t="shared" si="74"/>
        <v>#DIV/0!</v>
      </c>
      <c r="BV142" s="801" t="e">
        <f t="shared" si="74"/>
        <v>#DIV/0!</v>
      </c>
      <c r="BW142" s="801" t="e">
        <f t="shared" si="74"/>
        <v>#DIV/0!</v>
      </c>
      <c r="BX142" s="801" t="e">
        <f t="shared" si="74"/>
        <v>#DIV/0!</v>
      </c>
      <c r="BY142" s="801" t="e">
        <f t="shared" si="74"/>
        <v>#DIV/0!</v>
      </c>
      <c r="BZ142" s="801" t="e">
        <f t="shared" si="74"/>
        <v>#DIV/0!</v>
      </c>
      <c r="CA142" s="801" t="e">
        <f t="shared" si="74"/>
        <v>#DIV/0!</v>
      </c>
      <c r="CB142" s="801" t="e">
        <f t="shared" si="74"/>
        <v>#DIV/0!</v>
      </c>
      <c r="CC142" s="801" t="e">
        <f t="shared" si="74"/>
        <v>#DIV/0!</v>
      </c>
      <c r="CD142" s="801" t="e">
        <f t="shared" si="74"/>
        <v>#DIV/0!</v>
      </c>
      <c r="CE142" s="801" t="e">
        <f t="shared" si="74"/>
        <v>#DIV/0!</v>
      </c>
      <c r="CF142" s="801" t="e">
        <f t="shared" si="74"/>
        <v>#DIV/0!</v>
      </c>
      <c r="CG142" s="801" t="e">
        <f t="shared" si="74"/>
        <v>#DIV/0!</v>
      </c>
      <c r="CH142" s="801" t="e">
        <f t="shared" si="74"/>
        <v>#DIV/0!</v>
      </c>
      <c r="CI142" s="802" t="e">
        <f t="shared" si="74"/>
        <v>#DIV/0!</v>
      </c>
      <c r="CK142" s="1366"/>
    </row>
    <row r="143" spans="2:89" x14ac:dyDescent="0.25">
      <c r="B143" s="788" t="s">
        <v>630</v>
      </c>
      <c r="C143" s="796" t="s">
        <v>420</v>
      </c>
      <c r="D143" s="797" t="s">
        <v>631</v>
      </c>
      <c r="E143" s="798" t="s">
        <v>146</v>
      </c>
      <c r="F143" s="799">
        <v>2</v>
      </c>
      <c r="G143" s="607"/>
      <c r="H143" s="607"/>
      <c r="I143" s="607">
        <f t="shared" ref="I143:BR146" si="75">I53+I111</f>
        <v>0.44</v>
      </c>
      <c r="J143" s="607">
        <f t="shared" si="75"/>
        <v>0.44</v>
      </c>
      <c r="K143" s="607">
        <f t="shared" si="75"/>
        <v>0.44</v>
      </c>
      <c r="L143" s="607">
        <f t="shared" si="75"/>
        <v>0.44</v>
      </c>
      <c r="M143" s="768">
        <f t="shared" si="75"/>
        <v>0.44</v>
      </c>
      <c r="N143" s="768">
        <f t="shared" si="75"/>
        <v>0.44</v>
      </c>
      <c r="O143" s="768">
        <f t="shared" si="75"/>
        <v>0.44</v>
      </c>
      <c r="P143" s="768">
        <f t="shared" si="75"/>
        <v>0.44</v>
      </c>
      <c r="Q143" s="768">
        <f t="shared" si="75"/>
        <v>0.44</v>
      </c>
      <c r="R143" s="768">
        <f t="shared" si="75"/>
        <v>0.44</v>
      </c>
      <c r="S143" s="768">
        <f t="shared" si="75"/>
        <v>0.44</v>
      </c>
      <c r="T143" s="768">
        <f t="shared" si="75"/>
        <v>0.44</v>
      </c>
      <c r="U143" s="768">
        <f t="shared" si="75"/>
        <v>0.44</v>
      </c>
      <c r="V143" s="768">
        <f t="shared" si="75"/>
        <v>0.44</v>
      </c>
      <c r="W143" s="768">
        <f t="shared" si="75"/>
        <v>0.44</v>
      </c>
      <c r="X143" s="768">
        <f t="shared" si="75"/>
        <v>0.44</v>
      </c>
      <c r="Y143" s="768">
        <f t="shared" si="75"/>
        <v>0.44</v>
      </c>
      <c r="Z143" s="768">
        <f t="shared" si="75"/>
        <v>0.44</v>
      </c>
      <c r="AA143" s="768">
        <f t="shared" si="75"/>
        <v>0.44</v>
      </c>
      <c r="AB143" s="768">
        <f t="shared" si="75"/>
        <v>0.44</v>
      </c>
      <c r="AC143" s="768">
        <f t="shared" si="75"/>
        <v>0.44</v>
      </c>
      <c r="AD143" s="768">
        <f t="shared" si="75"/>
        <v>0.44</v>
      </c>
      <c r="AE143" s="768">
        <f t="shared" si="75"/>
        <v>0.44</v>
      </c>
      <c r="AF143" s="768">
        <f t="shared" si="75"/>
        <v>0.44</v>
      </c>
      <c r="AG143" s="768">
        <f t="shared" si="75"/>
        <v>0.44</v>
      </c>
      <c r="AH143" s="768">
        <f t="shared" si="75"/>
        <v>0.44</v>
      </c>
      <c r="AI143" s="768">
        <f t="shared" si="75"/>
        <v>0.44</v>
      </c>
      <c r="AJ143" s="768">
        <f t="shared" si="75"/>
        <v>0.44</v>
      </c>
      <c r="AK143" s="768">
        <f t="shared" si="75"/>
        <v>0.44</v>
      </c>
      <c r="AL143" s="768">
        <f t="shared" si="75"/>
        <v>0.44</v>
      </c>
      <c r="AM143" s="768">
        <f t="shared" si="75"/>
        <v>0.44</v>
      </c>
      <c r="AN143" s="768">
        <f t="shared" si="75"/>
        <v>0.44</v>
      </c>
      <c r="AO143" s="768">
        <f t="shared" si="75"/>
        <v>0.44</v>
      </c>
      <c r="AP143" s="768">
        <f t="shared" si="75"/>
        <v>0.44</v>
      </c>
      <c r="AQ143" s="768">
        <f t="shared" si="75"/>
        <v>0.44</v>
      </c>
      <c r="AR143" s="768">
        <f t="shared" si="75"/>
        <v>0.44</v>
      </c>
      <c r="AS143" s="768">
        <f t="shared" si="75"/>
        <v>0.44</v>
      </c>
      <c r="AT143" s="768">
        <f t="shared" si="75"/>
        <v>0.44</v>
      </c>
      <c r="AU143" s="768">
        <f t="shared" si="75"/>
        <v>0.44</v>
      </c>
      <c r="AV143" s="768">
        <f t="shared" si="75"/>
        <v>0.44</v>
      </c>
      <c r="AW143" s="768">
        <f t="shared" si="75"/>
        <v>0.44</v>
      </c>
      <c r="AX143" s="768">
        <f t="shared" si="75"/>
        <v>0.44</v>
      </c>
      <c r="AY143" s="768">
        <f t="shared" si="75"/>
        <v>0.44</v>
      </c>
      <c r="AZ143" s="768">
        <f t="shared" si="75"/>
        <v>0.44</v>
      </c>
      <c r="BA143" s="768">
        <f t="shared" si="75"/>
        <v>0.44</v>
      </c>
      <c r="BB143" s="768">
        <f t="shared" si="75"/>
        <v>0.44</v>
      </c>
      <c r="BC143" s="768">
        <f t="shared" si="75"/>
        <v>0.44</v>
      </c>
      <c r="BD143" s="768">
        <f t="shared" si="75"/>
        <v>0.44</v>
      </c>
      <c r="BE143" s="768">
        <f t="shared" si="75"/>
        <v>0.44</v>
      </c>
      <c r="BF143" s="768">
        <f t="shared" si="75"/>
        <v>0.44</v>
      </c>
      <c r="BG143" s="768">
        <f t="shared" si="75"/>
        <v>0.44</v>
      </c>
      <c r="BH143" s="768">
        <f t="shared" si="75"/>
        <v>0.44</v>
      </c>
      <c r="BI143" s="768">
        <f t="shared" si="75"/>
        <v>0.44</v>
      </c>
      <c r="BJ143" s="768">
        <f t="shared" si="75"/>
        <v>0.44</v>
      </c>
      <c r="BK143" s="768">
        <f t="shared" si="75"/>
        <v>0.44</v>
      </c>
      <c r="BL143" s="768">
        <f t="shared" si="75"/>
        <v>0.44</v>
      </c>
      <c r="BM143" s="768">
        <f t="shared" si="75"/>
        <v>0.44</v>
      </c>
      <c r="BN143" s="768">
        <f t="shared" si="75"/>
        <v>0.44</v>
      </c>
      <c r="BO143" s="768">
        <f t="shared" si="75"/>
        <v>0.44</v>
      </c>
      <c r="BP143" s="768">
        <f t="shared" si="75"/>
        <v>0</v>
      </c>
      <c r="BQ143" s="768">
        <f t="shared" si="75"/>
        <v>0</v>
      </c>
      <c r="BR143" s="768">
        <f t="shared" si="75"/>
        <v>0</v>
      </c>
      <c r="BS143" s="768">
        <f t="shared" ref="BS143:CI150" si="76">BS53+BS111</f>
        <v>0</v>
      </c>
      <c r="BT143" s="768">
        <f t="shared" si="76"/>
        <v>0</v>
      </c>
      <c r="BU143" s="768">
        <f t="shared" si="76"/>
        <v>0</v>
      </c>
      <c r="BV143" s="768">
        <f t="shared" si="76"/>
        <v>0</v>
      </c>
      <c r="BW143" s="768">
        <f t="shared" si="76"/>
        <v>0</v>
      </c>
      <c r="BX143" s="768">
        <f t="shared" si="76"/>
        <v>0</v>
      </c>
      <c r="BY143" s="768">
        <f t="shared" si="76"/>
        <v>0</v>
      </c>
      <c r="BZ143" s="768">
        <f t="shared" si="76"/>
        <v>0</v>
      </c>
      <c r="CA143" s="768">
        <f t="shared" si="76"/>
        <v>0</v>
      </c>
      <c r="CB143" s="768">
        <f t="shared" si="76"/>
        <v>0</v>
      </c>
      <c r="CC143" s="768">
        <f t="shared" si="76"/>
        <v>0</v>
      </c>
      <c r="CD143" s="768">
        <f t="shared" si="76"/>
        <v>0</v>
      </c>
      <c r="CE143" s="768">
        <f t="shared" si="76"/>
        <v>0</v>
      </c>
      <c r="CF143" s="768">
        <f t="shared" si="76"/>
        <v>0</v>
      </c>
      <c r="CG143" s="768">
        <f t="shared" si="76"/>
        <v>0</v>
      </c>
      <c r="CH143" s="768">
        <f t="shared" si="76"/>
        <v>0</v>
      </c>
      <c r="CI143" s="769">
        <f t="shared" si="76"/>
        <v>0</v>
      </c>
      <c r="CK143" s="1366"/>
    </row>
    <row r="144" spans="2:89" ht="14.4" thickBot="1" x14ac:dyDescent="0.3">
      <c r="B144" s="803" t="s">
        <v>632</v>
      </c>
      <c r="C144" s="804" t="s">
        <v>422</v>
      </c>
      <c r="D144" s="805" t="s">
        <v>633</v>
      </c>
      <c r="E144" s="806" t="s">
        <v>146</v>
      </c>
      <c r="F144" s="807">
        <v>2</v>
      </c>
      <c r="G144" s="779"/>
      <c r="H144" s="779"/>
      <c r="I144" s="779">
        <f t="shared" si="75"/>
        <v>3.19</v>
      </c>
      <c r="J144" s="779">
        <f t="shared" si="75"/>
        <v>3.19</v>
      </c>
      <c r="K144" s="779">
        <f t="shared" si="75"/>
        <v>3.19</v>
      </c>
      <c r="L144" s="779">
        <f t="shared" si="75"/>
        <v>3.19</v>
      </c>
      <c r="M144" s="808">
        <f t="shared" si="75"/>
        <v>3.19</v>
      </c>
      <c r="N144" s="808">
        <f t="shared" si="75"/>
        <v>3.19</v>
      </c>
      <c r="O144" s="808">
        <f t="shared" si="75"/>
        <v>3.19</v>
      </c>
      <c r="P144" s="808">
        <f t="shared" si="75"/>
        <v>3.19</v>
      </c>
      <c r="Q144" s="808">
        <f t="shared" si="75"/>
        <v>3.19</v>
      </c>
      <c r="R144" s="808">
        <f t="shared" si="75"/>
        <v>3.19</v>
      </c>
      <c r="S144" s="808">
        <f t="shared" si="75"/>
        <v>3.19</v>
      </c>
      <c r="T144" s="808">
        <f t="shared" si="75"/>
        <v>3.19</v>
      </c>
      <c r="U144" s="808">
        <f t="shared" si="75"/>
        <v>3.19</v>
      </c>
      <c r="V144" s="808">
        <f t="shared" si="75"/>
        <v>3.19</v>
      </c>
      <c r="W144" s="808">
        <f t="shared" si="75"/>
        <v>3.19</v>
      </c>
      <c r="X144" s="808">
        <f t="shared" si="75"/>
        <v>3.19</v>
      </c>
      <c r="Y144" s="808">
        <f t="shared" si="75"/>
        <v>3.19</v>
      </c>
      <c r="Z144" s="808">
        <f t="shared" si="75"/>
        <v>3.19</v>
      </c>
      <c r="AA144" s="808">
        <f t="shared" si="75"/>
        <v>3.19</v>
      </c>
      <c r="AB144" s="808">
        <f t="shared" si="75"/>
        <v>3.19</v>
      </c>
      <c r="AC144" s="808">
        <f t="shared" si="75"/>
        <v>3.19</v>
      </c>
      <c r="AD144" s="808">
        <f t="shared" si="75"/>
        <v>3.19</v>
      </c>
      <c r="AE144" s="808">
        <f t="shared" si="75"/>
        <v>3.19</v>
      </c>
      <c r="AF144" s="808">
        <f t="shared" si="75"/>
        <v>3.19</v>
      </c>
      <c r="AG144" s="808">
        <f t="shared" si="75"/>
        <v>3.19</v>
      </c>
      <c r="AH144" s="808">
        <f t="shared" si="75"/>
        <v>3.19</v>
      </c>
      <c r="AI144" s="808">
        <f t="shared" si="75"/>
        <v>3.19</v>
      </c>
      <c r="AJ144" s="808">
        <f t="shared" si="75"/>
        <v>3.19</v>
      </c>
      <c r="AK144" s="808">
        <f t="shared" si="75"/>
        <v>3.19</v>
      </c>
      <c r="AL144" s="808">
        <f t="shared" si="75"/>
        <v>3.19</v>
      </c>
      <c r="AM144" s="808">
        <f t="shared" si="75"/>
        <v>3.19</v>
      </c>
      <c r="AN144" s="808">
        <f t="shared" si="75"/>
        <v>3.19</v>
      </c>
      <c r="AO144" s="808">
        <f t="shared" si="75"/>
        <v>3.19</v>
      </c>
      <c r="AP144" s="808">
        <f t="shared" si="75"/>
        <v>3.19</v>
      </c>
      <c r="AQ144" s="808">
        <f t="shared" si="75"/>
        <v>3.19</v>
      </c>
      <c r="AR144" s="808">
        <f t="shared" si="75"/>
        <v>3.19</v>
      </c>
      <c r="AS144" s="808">
        <f t="shared" si="75"/>
        <v>3.19</v>
      </c>
      <c r="AT144" s="808">
        <f t="shared" si="75"/>
        <v>3.19</v>
      </c>
      <c r="AU144" s="808">
        <f t="shared" si="75"/>
        <v>3.19</v>
      </c>
      <c r="AV144" s="808">
        <f t="shared" si="75"/>
        <v>3.19</v>
      </c>
      <c r="AW144" s="808">
        <f t="shared" si="75"/>
        <v>3.19</v>
      </c>
      <c r="AX144" s="808">
        <f t="shared" si="75"/>
        <v>3.19</v>
      </c>
      <c r="AY144" s="808">
        <f t="shared" si="75"/>
        <v>3.19</v>
      </c>
      <c r="AZ144" s="808">
        <f t="shared" si="75"/>
        <v>3.19</v>
      </c>
      <c r="BA144" s="808">
        <f t="shared" si="75"/>
        <v>3.19</v>
      </c>
      <c r="BB144" s="808">
        <f t="shared" si="75"/>
        <v>3.19</v>
      </c>
      <c r="BC144" s="808">
        <f t="shared" si="75"/>
        <v>3.19</v>
      </c>
      <c r="BD144" s="808">
        <f t="shared" si="75"/>
        <v>3.19</v>
      </c>
      <c r="BE144" s="808">
        <f t="shared" si="75"/>
        <v>3.19</v>
      </c>
      <c r="BF144" s="808">
        <f t="shared" si="75"/>
        <v>3.19</v>
      </c>
      <c r="BG144" s="808">
        <f t="shared" si="75"/>
        <v>3.19</v>
      </c>
      <c r="BH144" s="808">
        <f t="shared" si="75"/>
        <v>3.19</v>
      </c>
      <c r="BI144" s="808">
        <f t="shared" si="75"/>
        <v>3.19</v>
      </c>
      <c r="BJ144" s="808">
        <f t="shared" si="75"/>
        <v>3.19</v>
      </c>
      <c r="BK144" s="808">
        <f t="shared" si="75"/>
        <v>3.19</v>
      </c>
      <c r="BL144" s="808">
        <f t="shared" si="75"/>
        <v>3.19</v>
      </c>
      <c r="BM144" s="808">
        <f t="shared" si="75"/>
        <v>3.19</v>
      </c>
      <c r="BN144" s="808">
        <f t="shared" si="75"/>
        <v>3.19</v>
      </c>
      <c r="BO144" s="808">
        <f t="shared" si="75"/>
        <v>3.19</v>
      </c>
      <c r="BP144" s="808">
        <f t="shared" si="75"/>
        <v>0</v>
      </c>
      <c r="BQ144" s="808">
        <f t="shared" si="75"/>
        <v>0</v>
      </c>
      <c r="BR144" s="808">
        <f t="shared" si="75"/>
        <v>0</v>
      </c>
      <c r="BS144" s="808">
        <f t="shared" si="76"/>
        <v>0</v>
      </c>
      <c r="BT144" s="808">
        <f t="shared" si="76"/>
        <v>0</v>
      </c>
      <c r="BU144" s="808">
        <f t="shared" si="76"/>
        <v>0</v>
      </c>
      <c r="BV144" s="808">
        <f t="shared" si="76"/>
        <v>0</v>
      </c>
      <c r="BW144" s="808">
        <f t="shared" si="76"/>
        <v>0</v>
      </c>
      <c r="BX144" s="808">
        <f t="shared" si="76"/>
        <v>0</v>
      </c>
      <c r="BY144" s="808">
        <f t="shared" si="76"/>
        <v>0</v>
      </c>
      <c r="BZ144" s="808">
        <f t="shared" si="76"/>
        <v>0</v>
      </c>
      <c r="CA144" s="808">
        <f t="shared" si="76"/>
        <v>0</v>
      </c>
      <c r="CB144" s="808">
        <f t="shared" si="76"/>
        <v>0</v>
      </c>
      <c r="CC144" s="808">
        <f t="shared" si="76"/>
        <v>0</v>
      </c>
      <c r="CD144" s="808">
        <f t="shared" si="76"/>
        <v>0</v>
      </c>
      <c r="CE144" s="808">
        <f t="shared" si="76"/>
        <v>0</v>
      </c>
      <c r="CF144" s="808">
        <f t="shared" si="76"/>
        <v>0</v>
      </c>
      <c r="CG144" s="808">
        <f t="shared" si="76"/>
        <v>0</v>
      </c>
      <c r="CH144" s="808">
        <f t="shared" si="76"/>
        <v>0</v>
      </c>
      <c r="CI144" s="809">
        <f t="shared" si="76"/>
        <v>0</v>
      </c>
      <c r="CK144" s="1366"/>
    </row>
    <row r="145" spans="2:89" x14ac:dyDescent="0.25">
      <c r="B145" s="756" t="s">
        <v>634</v>
      </c>
      <c r="C145" s="757" t="s">
        <v>424</v>
      </c>
      <c r="D145" s="758" t="s">
        <v>635</v>
      </c>
      <c r="E145" s="759" t="s">
        <v>146</v>
      </c>
      <c r="F145" s="760">
        <v>2</v>
      </c>
      <c r="G145" s="785"/>
      <c r="H145" s="785"/>
      <c r="I145" s="785">
        <f t="shared" si="75"/>
        <v>0.49299999999999999</v>
      </c>
      <c r="J145" s="785">
        <f t="shared" si="75"/>
        <v>0.46451708100211225</v>
      </c>
      <c r="K145" s="785">
        <f t="shared" si="75"/>
        <v>0.47615263271104352</v>
      </c>
      <c r="L145" s="785">
        <f t="shared" si="75"/>
        <v>0.47098127639596293</v>
      </c>
      <c r="M145" s="786">
        <f t="shared" si="75"/>
        <v>0.46098127639596292</v>
      </c>
      <c r="N145" s="786">
        <f t="shared" si="75"/>
        <v>0.46098127639596292</v>
      </c>
      <c r="O145" s="786">
        <f t="shared" si="75"/>
        <v>0.46098127639596292</v>
      </c>
      <c r="P145" s="786">
        <f t="shared" si="75"/>
        <v>0.46098127639596292</v>
      </c>
      <c r="Q145" s="786">
        <f t="shared" si="75"/>
        <v>0.46098127639596292</v>
      </c>
      <c r="R145" s="786">
        <f t="shared" si="75"/>
        <v>0.46098127639596292</v>
      </c>
      <c r="S145" s="786">
        <f t="shared" si="75"/>
        <v>0.46098127639596292</v>
      </c>
      <c r="T145" s="786">
        <f t="shared" si="75"/>
        <v>0.46098127639596292</v>
      </c>
      <c r="U145" s="786">
        <f t="shared" si="75"/>
        <v>0.46098127639596292</v>
      </c>
      <c r="V145" s="786">
        <f t="shared" si="75"/>
        <v>0.46098127639596292</v>
      </c>
      <c r="W145" s="786">
        <f t="shared" si="75"/>
        <v>0.46098127639596292</v>
      </c>
      <c r="X145" s="786">
        <f t="shared" si="75"/>
        <v>0.46098127639596292</v>
      </c>
      <c r="Y145" s="786">
        <f t="shared" si="75"/>
        <v>0.46098127639596292</v>
      </c>
      <c r="Z145" s="786">
        <f t="shared" si="75"/>
        <v>0.46098127639596292</v>
      </c>
      <c r="AA145" s="786">
        <f t="shared" si="75"/>
        <v>0.46098127639596292</v>
      </c>
      <c r="AB145" s="786">
        <f t="shared" si="75"/>
        <v>0.46098127639596292</v>
      </c>
      <c r="AC145" s="786">
        <f t="shared" si="75"/>
        <v>0.46098127639596292</v>
      </c>
      <c r="AD145" s="786">
        <f t="shared" si="75"/>
        <v>0.46098127639596292</v>
      </c>
      <c r="AE145" s="786">
        <f t="shared" si="75"/>
        <v>0.46098127639596292</v>
      </c>
      <c r="AF145" s="786">
        <f t="shared" si="75"/>
        <v>0.46098127639596292</v>
      </c>
      <c r="AG145" s="786">
        <f t="shared" si="75"/>
        <v>0.46098127639596292</v>
      </c>
      <c r="AH145" s="786">
        <f t="shared" si="75"/>
        <v>0.46098127639596292</v>
      </c>
      <c r="AI145" s="786">
        <f t="shared" si="75"/>
        <v>0.46098127639596292</v>
      </c>
      <c r="AJ145" s="786">
        <f t="shared" si="75"/>
        <v>0.46098127639596292</v>
      </c>
      <c r="AK145" s="786">
        <f t="shared" si="75"/>
        <v>0.46098127639596292</v>
      </c>
      <c r="AL145" s="786">
        <f t="shared" si="75"/>
        <v>0.46098127639596292</v>
      </c>
      <c r="AM145" s="786">
        <f t="shared" si="75"/>
        <v>0.46098127639596292</v>
      </c>
      <c r="AN145" s="786">
        <f t="shared" si="75"/>
        <v>0.46098127639596292</v>
      </c>
      <c r="AO145" s="786">
        <f t="shared" si="75"/>
        <v>0.46098127639596292</v>
      </c>
      <c r="AP145" s="786">
        <f t="shared" si="75"/>
        <v>0.46098127639596292</v>
      </c>
      <c r="AQ145" s="786">
        <f t="shared" si="75"/>
        <v>0.46098127639596292</v>
      </c>
      <c r="AR145" s="786">
        <f t="shared" si="75"/>
        <v>0.46098127639596292</v>
      </c>
      <c r="AS145" s="786">
        <f t="shared" si="75"/>
        <v>0.46098127639596292</v>
      </c>
      <c r="AT145" s="786">
        <f t="shared" si="75"/>
        <v>0.46098127639596292</v>
      </c>
      <c r="AU145" s="786">
        <f t="shared" si="75"/>
        <v>0.46098127639596292</v>
      </c>
      <c r="AV145" s="786">
        <f t="shared" si="75"/>
        <v>0.46098127639596292</v>
      </c>
      <c r="AW145" s="786">
        <f t="shared" si="75"/>
        <v>0.46098127639596292</v>
      </c>
      <c r="AX145" s="786">
        <f t="shared" si="75"/>
        <v>0.46098127639596292</v>
      </c>
      <c r="AY145" s="786">
        <f t="shared" si="75"/>
        <v>0.46098127639596292</v>
      </c>
      <c r="AZ145" s="786">
        <f t="shared" si="75"/>
        <v>0.46098127639596292</v>
      </c>
      <c r="BA145" s="786">
        <f t="shared" si="75"/>
        <v>0.46098127639596292</v>
      </c>
      <c r="BB145" s="786">
        <f t="shared" si="75"/>
        <v>0.46098127639596292</v>
      </c>
      <c r="BC145" s="786">
        <f t="shared" si="75"/>
        <v>0.46098127639596292</v>
      </c>
      <c r="BD145" s="786">
        <f t="shared" si="75"/>
        <v>0.46098127639596292</v>
      </c>
      <c r="BE145" s="786">
        <f t="shared" si="75"/>
        <v>0.46098127639596292</v>
      </c>
      <c r="BF145" s="786">
        <f t="shared" si="75"/>
        <v>0.46098127639596292</v>
      </c>
      <c r="BG145" s="786">
        <f t="shared" si="75"/>
        <v>0.46098127639596292</v>
      </c>
      <c r="BH145" s="786">
        <f t="shared" si="75"/>
        <v>0.46098127639596292</v>
      </c>
      <c r="BI145" s="786">
        <f t="shared" si="75"/>
        <v>0.46098127639596292</v>
      </c>
      <c r="BJ145" s="786">
        <f t="shared" si="75"/>
        <v>0.46098127639596292</v>
      </c>
      <c r="BK145" s="786">
        <f t="shared" si="75"/>
        <v>0.46098127639596292</v>
      </c>
      <c r="BL145" s="786">
        <f t="shared" si="75"/>
        <v>0.46098127639596292</v>
      </c>
      <c r="BM145" s="786">
        <f t="shared" si="75"/>
        <v>0.46098127639596292</v>
      </c>
      <c r="BN145" s="786">
        <f t="shared" si="75"/>
        <v>0.46098127639596292</v>
      </c>
      <c r="BO145" s="786">
        <f t="shared" si="75"/>
        <v>0.46098127639596292</v>
      </c>
      <c r="BP145" s="786">
        <f t="shared" si="75"/>
        <v>0</v>
      </c>
      <c r="BQ145" s="786">
        <f t="shared" si="75"/>
        <v>0</v>
      </c>
      <c r="BR145" s="786">
        <f t="shared" si="75"/>
        <v>0</v>
      </c>
      <c r="BS145" s="786">
        <f t="shared" si="76"/>
        <v>0</v>
      </c>
      <c r="BT145" s="786">
        <f t="shared" si="76"/>
        <v>0</v>
      </c>
      <c r="BU145" s="786">
        <f t="shared" si="76"/>
        <v>0</v>
      </c>
      <c r="BV145" s="786">
        <f t="shared" si="76"/>
        <v>0</v>
      </c>
      <c r="BW145" s="786">
        <f t="shared" si="76"/>
        <v>0</v>
      </c>
      <c r="BX145" s="786">
        <f t="shared" si="76"/>
        <v>0</v>
      </c>
      <c r="BY145" s="786">
        <f t="shared" si="76"/>
        <v>0</v>
      </c>
      <c r="BZ145" s="786">
        <f t="shared" si="76"/>
        <v>0</v>
      </c>
      <c r="CA145" s="786">
        <f t="shared" si="76"/>
        <v>0</v>
      </c>
      <c r="CB145" s="786">
        <f t="shared" si="76"/>
        <v>0</v>
      </c>
      <c r="CC145" s="786">
        <f t="shared" si="76"/>
        <v>0</v>
      </c>
      <c r="CD145" s="786">
        <f t="shared" si="76"/>
        <v>0</v>
      </c>
      <c r="CE145" s="786">
        <f t="shared" si="76"/>
        <v>0</v>
      </c>
      <c r="CF145" s="786">
        <f t="shared" si="76"/>
        <v>0</v>
      </c>
      <c r="CG145" s="786">
        <f t="shared" si="76"/>
        <v>0</v>
      </c>
      <c r="CH145" s="786">
        <f t="shared" si="76"/>
        <v>0</v>
      </c>
      <c r="CI145" s="787">
        <f t="shared" si="76"/>
        <v>0</v>
      </c>
      <c r="CK145" s="1366"/>
    </row>
    <row r="146" spans="2:89" x14ac:dyDescent="0.25">
      <c r="B146" s="770" t="s">
        <v>636</v>
      </c>
      <c r="C146" s="771" t="s">
        <v>426</v>
      </c>
      <c r="D146" s="765" t="s">
        <v>637</v>
      </c>
      <c r="E146" s="766" t="s">
        <v>146</v>
      </c>
      <c r="F146" s="767">
        <v>2</v>
      </c>
      <c r="G146" s="607"/>
      <c r="H146" s="607"/>
      <c r="I146" s="607">
        <f t="shared" si="75"/>
        <v>2.1999999999999999E-2</v>
      </c>
      <c r="J146" s="607">
        <f t="shared" si="75"/>
        <v>2.551361349817842E-2</v>
      </c>
      <c r="K146" s="607">
        <f t="shared" si="75"/>
        <v>2.6152696497019515E-2</v>
      </c>
      <c r="L146" s="607">
        <f t="shared" si="75"/>
        <v>2.5868659608645695E-2</v>
      </c>
      <c r="M146" s="768">
        <f t="shared" si="75"/>
        <v>2.5868659608645695E-2</v>
      </c>
      <c r="N146" s="768">
        <f t="shared" si="75"/>
        <v>2.5868659608645695E-2</v>
      </c>
      <c r="O146" s="768">
        <f t="shared" si="75"/>
        <v>2.5868659608645695E-2</v>
      </c>
      <c r="P146" s="768">
        <f t="shared" si="75"/>
        <v>2.5868659608645695E-2</v>
      </c>
      <c r="Q146" s="768">
        <f t="shared" si="75"/>
        <v>2.5868659608645695E-2</v>
      </c>
      <c r="R146" s="768">
        <f t="shared" si="75"/>
        <v>2.5868659608645695E-2</v>
      </c>
      <c r="S146" s="768">
        <f t="shared" si="75"/>
        <v>2.5868659608645695E-2</v>
      </c>
      <c r="T146" s="768">
        <f t="shared" si="75"/>
        <v>2.5868659608645695E-2</v>
      </c>
      <c r="U146" s="768">
        <f t="shared" si="75"/>
        <v>2.5868659608645695E-2</v>
      </c>
      <c r="V146" s="768">
        <f t="shared" si="75"/>
        <v>2.5868659608645695E-2</v>
      </c>
      <c r="W146" s="768">
        <f t="shared" si="75"/>
        <v>2.5868659608645695E-2</v>
      </c>
      <c r="X146" s="768">
        <f t="shared" si="75"/>
        <v>2.5868659608645695E-2</v>
      </c>
      <c r="Y146" s="768">
        <f t="shared" si="75"/>
        <v>2.5868659608645695E-2</v>
      </c>
      <c r="Z146" s="768">
        <f t="shared" si="75"/>
        <v>2.5868659608645695E-2</v>
      </c>
      <c r="AA146" s="768">
        <f t="shared" si="75"/>
        <v>2.5868659608645695E-2</v>
      </c>
      <c r="AB146" s="768">
        <f t="shared" si="75"/>
        <v>2.5868659608645695E-2</v>
      </c>
      <c r="AC146" s="768">
        <f t="shared" si="75"/>
        <v>2.5868659608645695E-2</v>
      </c>
      <c r="AD146" s="768">
        <f t="shared" si="75"/>
        <v>2.5868659608645695E-2</v>
      </c>
      <c r="AE146" s="768">
        <f t="shared" si="75"/>
        <v>2.5868659608645695E-2</v>
      </c>
      <c r="AF146" s="768">
        <f t="shared" si="75"/>
        <v>2.5868659608645695E-2</v>
      </c>
      <c r="AG146" s="768">
        <f t="shared" si="75"/>
        <v>2.5868659608645695E-2</v>
      </c>
      <c r="AH146" s="768">
        <f t="shared" si="75"/>
        <v>2.5868659608645695E-2</v>
      </c>
      <c r="AI146" s="768">
        <f t="shared" si="75"/>
        <v>2.5868659608645695E-2</v>
      </c>
      <c r="AJ146" s="768">
        <f t="shared" si="75"/>
        <v>2.5868659608645695E-2</v>
      </c>
      <c r="AK146" s="768">
        <f t="shared" si="75"/>
        <v>2.5868659608645695E-2</v>
      </c>
      <c r="AL146" s="768">
        <f t="shared" si="75"/>
        <v>2.5868659608645695E-2</v>
      </c>
      <c r="AM146" s="768">
        <f t="shared" si="75"/>
        <v>2.5868659608645695E-2</v>
      </c>
      <c r="AN146" s="768">
        <f t="shared" si="75"/>
        <v>2.5868659608645695E-2</v>
      </c>
      <c r="AO146" s="768">
        <f t="shared" si="75"/>
        <v>2.5868659608645695E-2</v>
      </c>
      <c r="AP146" s="768">
        <f t="shared" si="75"/>
        <v>2.5868659608645695E-2</v>
      </c>
      <c r="AQ146" s="768">
        <f t="shared" si="75"/>
        <v>2.5868659608645695E-2</v>
      </c>
      <c r="AR146" s="768">
        <f t="shared" si="75"/>
        <v>2.5868659608645695E-2</v>
      </c>
      <c r="AS146" s="768">
        <f t="shared" si="75"/>
        <v>2.5868659608645695E-2</v>
      </c>
      <c r="AT146" s="768">
        <f t="shared" si="75"/>
        <v>2.5868659608645695E-2</v>
      </c>
      <c r="AU146" s="768">
        <f t="shared" si="75"/>
        <v>2.5868659608645695E-2</v>
      </c>
      <c r="AV146" s="768">
        <f t="shared" si="75"/>
        <v>2.5868659608645695E-2</v>
      </c>
      <c r="AW146" s="768">
        <f t="shared" si="75"/>
        <v>2.5868659608645695E-2</v>
      </c>
      <c r="AX146" s="768">
        <f t="shared" si="75"/>
        <v>2.5868659608645695E-2</v>
      </c>
      <c r="AY146" s="768">
        <f t="shared" si="75"/>
        <v>2.5868659608645695E-2</v>
      </c>
      <c r="AZ146" s="768">
        <f t="shared" si="75"/>
        <v>2.5868659608645695E-2</v>
      </c>
      <c r="BA146" s="768">
        <f t="shared" si="75"/>
        <v>2.5868659608645695E-2</v>
      </c>
      <c r="BB146" s="768">
        <f t="shared" si="75"/>
        <v>2.5868659608645695E-2</v>
      </c>
      <c r="BC146" s="768">
        <f t="shared" si="75"/>
        <v>2.5868659608645695E-2</v>
      </c>
      <c r="BD146" s="768">
        <f t="shared" si="75"/>
        <v>2.5868659608645695E-2</v>
      </c>
      <c r="BE146" s="768">
        <f t="shared" si="75"/>
        <v>2.5868659608645695E-2</v>
      </c>
      <c r="BF146" s="768">
        <f t="shared" si="75"/>
        <v>2.5868659608645695E-2</v>
      </c>
      <c r="BG146" s="768">
        <f t="shared" si="75"/>
        <v>2.5868659608645695E-2</v>
      </c>
      <c r="BH146" s="768">
        <f t="shared" si="75"/>
        <v>2.5868659608645695E-2</v>
      </c>
      <c r="BI146" s="768">
        <f t="shared" si="75"/>
        <v>2.5868659608645695E-2</v>
      </c>
      <c r="BJ146" s="768">
        <f t="shared" si="75"/>
        <v>2.5868659608645695E-2</v>
      </c>
      <c r="BK146" s="768">
        <f t="shared" si="75"/>
        <v>2.5868659608645695E-2</v>
      </c>
      <c r="BL146" s="768">
        <f t="shared" si="75"/>
        <v>2.5868659608645695E-2</v>
      </c>
      <c r="BM146" s="768">
        <f t="shared" si="75"/>
        <v>2.5868659608645695E-2</v>
      </c>
      <c r="BN146" s="768">
        <f t="shared" si="75"/>
        <v>2.5868659608645695E-2</v>
      </c>
      <c r="BO146" s="768">
        <f t="shared" si="75"/>
        <v>2.5868659608645695E-2</v>
      </c>
      <c r="BP146" s="768">
        <f t="shared" si="75"/>
        <v>0</v>
      </c>
      <c r="BQ146" s="768">
        <f t="shared" si="75"/>
        <v>0</v>
      </c>
      <c r="BR146" s="768">
        <f>BR56+BR114</f>
        <v>0</v>
      </c>
      <c r="BS146" s="768">
        <f t="shared" si="76"/>
        <v>0</v>
      </c>
      <c r="BT146" s="768">
        <f t="shared" si="76"/>
        <v>0</v>
      </c>
      <c r="BU146" s="768">
        <f t="shared" si="76"/>
        <v>0</v>
      </c>
      <c r="BV146" s="768">
        <f t="shared" si="76"/>
        <v>0</v>
      </c>
      <c r="BW146" s="768">
        <f t="shared" si="76"/>
        <v>0</v>
      </c>
      <c r="BX146" s="768">
        <f t="shared" si="76"/>
        <v>0</v>
      </c>
      <c r="BY146" s="768">
        <f t="shared" si="76"/>
        <v>0</v>
      </c>
      <c r="BZ146" s="768">
        <f t="shared" si="76"/>
        <v>0</v>
      </c>
      <c r="CA146" s="768">
        <f t="shared" si="76"/>
        <v>0</v>
      </c>
      <c r="CB146" s="768">
        <f t="shared" si="76"/>
        <v>0</v>
      </c>
      <c r="CC146" s="768">
        <f t="shared" si="76"/>
        <v>0</v>
      </c>
      <c r="CD146" s="768">
        <f t="shared" si="76"/>
        <v>0</v>
      </c>
      <c r="CE146" s="768">
        <f t="shared" si="76"/>
        <v>0</v>
      </c>
      <c r="CF146" s="768">
        <f t="shared" si="76"/>
        <v>0</v>
      </c>
      <c r="CG146" s="768">
        <f t="shared" si="76"/>
        <v>0</v>
      </c>
      <c r="CH146" s="768">
        <f t="shared" si="76"/>
        <v>0</v>
      </c>
      <c r="CI146" s="769">
        <f t="shared" si="76"/>
        <v>0</v>
      </c>
      <c r="CK146" s="1366"/>
    </row>
    <row r="147" spans="2:89" x14ac:dyDescent="0.25">
      <c r="B147" s="770" t="s">
        <v>638</v>
      </c>
      <c r="C147" s="771" t="s">
        <v>428</v>
      </c>
      <c r="D147" s="765" t="s">
        <v>639</v>
      </c>
      <c r="E147" s="766" t="s">
        <v>146</v>
      </c>
      <c r="F147" s="767">
        <v>2</v>
      </c>
      <c r="G147" s="607"/>
      <c r="H147" s="607"/>
      <c r="I147" s="607">
        <f t="shared" ref="I147:BR150" si="77">I57+I115</f>
        <v>5.3109999999999999</v>
      </c>
      <c r="J147" s="607">
        <f t="shared" si="77"/>
        <v>3.8309966130161959</v>
      </c>
      <c r="K147" s="607">
        <f t="shared" si="77"/>
        <v>3.9269581201610491</v>
      </c>
      <c r="L147" s="607">
        <f t="shared" si="77"/>
        <v>3.8843085614300032</v>
      </c>
      <c r="M147" s="768">
        <f t="shared" si="77"/>
        <v>3.8714368612730237</v>
      </c>
      <c r="N147" s="768">
        <f t="shared" si="77"/>
        <v>3.9815414662742237</v>
      </c>
      <c r="O147" s="768">
        <f t="shared" si="77"/>
        <v>4.0857978613322938</v>
      </c>
      <c r="P147" s="768">
        <f t="shared" si="77"/>
        <v>4.184198191122583</v>
      </c>
      <c r="Q147" s="768">
        <f t="shared" si="77"/>
        <v>4.2777173480943684</v>
      </c>
      <c r="R147" s="768">
        <f t="shared" si="77"/>
        <v>4.3654229313093804</v>
      </c>
      <c r="S147" s="768">
        <f t="shared" si="77"/>
        <v>4.4485542292034559</v>
      </c>
      <c r="T147" s="768">
        <f t="shared" si="77"/>
        <v>4.5273553520304519</v>
      </c>
      <c r="U147" s="768">
        <f t="shared" si="77"/>
        <v>4.6020570180869855</v>
      </c>
      <c r="V147" s="768">
        <f t="shared" si="77"/>
        <v>4.6726490875776099</v>
      </c>
      <c r="W147" s="768">
        <f t="shared" si="77"/>
        <v>4.7395922444457543</v>
      </c>
      <c r="X147" s="768">
        <f t="shared" si="77"/>
        <v>4.8026733064275087</v>
      </c>
      <c r="Y147" s="768">
        <f t="shared" si="77"/>
        <v>4.8625264161766397</v>
      </c>
      <c r="Z147" s="768">
        <f t="shared" si="77"/>
        <v>4.9193198540367931</v>
      </c>
      <c r="AA147" s="768">
        <f t="shared" si="77"/>
        <v>4.9730424592036737</v>
      </c>
      <c r="AB147" s="768">
        <f t="shared" si="77"/>
        <v>5.0237127106543813</v>
      </c>
      <c r="AC147" s="768">
        <f t="shared" si="77"/>
        <v>5.0719817221700758</v>
      </c>
      <c r="AD147" s="768">
        <f t="shared" si="77"/>
        <v>5.1179547749775676</v>
      </c>
      <c r="AE147" s="768">
        <f t="shared" si="77"/>
        <v>5.1615975528624256</v>
      </c>
      <c r="AF147" s="768">
        <f t="shared" si="77"/>
        <v>5.203158124118092</v>
      </c>
      <c r="AG147" s="768">
        <f t="shared" si="77"/>
        <v>5.2422454354851347</v>
      </c>
      <c r="AH147" s="768">
        <f t="shared" si="77"/>
        <v>5.2792570203818956</v>
      </c>
      <c r="AI147" s="768">
        <f t="shared" si="77"/>
        <v>5.3145275759627086</v>
      </c>
      <c r="AJ147" s="768">
        <f t="shared" si="77"/>
        <v>5.3480308865686945</v>
      </c>
      <c r="AK147" s="768">
        <f t="shared" si="77"/>
        <v>5.3797602663159658</v>
      </c>
      <c r="AL147" s="768">
        <f t="shared" si="77"/>
        <v>5.4099991735041799</v>
      </c>
      <c r="AM147" s="768">
        <f t="shared" si="77"/>
        <v>5.4387263028907382</v>
      </c>
      <c r="AN147" s="768">
        <f t="shared" si="77"/>
        <v>5.4659367461280537</v>
      </c>
      <c r="AO147" s="768">
        <f t="shared" si="77"/>
        <v>5.4918707058144021</v>
      </c>
      <c r="AP147" s="768">
        <f t="shared" si="77"/>
        <v>5.516510886707219</v>
      </c>
      <c r="AQ147" s="768">
        <f t="shared" si="77"/>
        <v>5.5398537689538596</v>
      </c>
      <c r="AR147" s="768">
        <f t="shared" si="77"/>
        <v>5.5621030140810133</v>
      </c>
      <c r="AS147" s="768">
        <f t="shared" si="77"/>
        <v>5.5831829474164261</v>
      </c>
      <c r="AT147" s="768">
        <f t="shared" si="77"/>
        <v>5.5853907790901314</v>
      </c>
      <c r="AU147" s="768">
        <f t="shared" si="77"/>
        <v>5.587574876912047</v>
      </c>
      <c r="AV147" s="768">
        <f t="shared" si="77"/>
        <v>5.5896759128697937</v>
      </c>
      <c r="AW147" s="768">
        <f t="shared" si="77"/>
        <v>5.5918143102525706</v>
      </c>
      <c r="AX147" s="768">
        <f t="shared" si="77"/>
        <v>5.5939300816521689</v>
      </c>
      <c r="AY147" s="768">
        <f t="shared" si="77"/>
        <v>5.5959657290057097</v>
      </c>
      <c r="AZ147" s="768">
        <f t="shared" si="77"/>
        <v>5.5980379168002008</v>
      </c>
      <c r="BA147" s="768">
        <f t="shared" si="77"/>
        <v>5.6000318459092799</v>
      </c>
      <c r="BB147" s="768">
        <f t="shared" si="77"/>
        <v>5.60206178305463</v>
      </c>
      <c r="BC147" s="768">
        <f t="shared" si="77"/>
        <v>5.6040707893266344</v>
      </c>
      <c r="BD147" s="768">
        <f t="shared" si="77"/>
        <v>5.6060042289991703</v>
      </c>
      <c r="BE147" s="768">
        <f t="shared" si="77"/>
        <v>5.6079728926601584</v>
      </c>
      <c r="BF147" s="768">
        <f t="shared" si="77"/>
        <v>5.609921563601552</v>
      </c>
      <c r="BG147" s="768">
        <f t="shared" si="77"/>
        <v>5.6117972252483286</v>
      </c>
      <c r="BH147" s="768">
        <f t="shared" si="77"/>
        <v>5.6137073484343816</v>
      </c>
      <c r="BI147" s="768">
        <f t="shared" si="77"/>
        <v>5.615598361815703</v>
      </c>
      <c r="BJ147" s="768">
        <f t="shared" si="77"/>
        <v>5.6174187971854135</v>
      </c>
      <c r="BK147" s="768">
        <f t="shared" si="77"/>
        <v>5.6192729527540761</v>
      </c>
      <c r="BL147" s="768">
        <f t="shared" si="77"/>
        <v>5.6210580780162385</v>
      </c>
      <c r="BM147" s="768">
        <f t="shared" si="77"/>
        <v>5.6228764429612292</v>
      </c>
      <c r="BN147" s="768">
        <f t="shared" si="77"/>
        <v>5.6246770551795526</v>
      </c>
      <c r="BO147" s="768">
        <f t="shared" si="77"/>
        <v>5.6264108762868039</v>
      </c>
      <c r="BP147" s="768">
        <f t="shared" si="77"/>
        <v>0</v>
      </c>
      <c r="BQ147" s="768">
        <f t="shared" si="77"/>
        <v>0</v>
      </c>
      <c r="BR147" s="768">
        <f t="shared" si="77"/>
        <v>0</v>
      </c>
      <c r="BS147" s="768">
        <f t="shared" si="76"/>
        <v>0</v>
      </c>
      <c r="BT147" s="768">
        <f t="shared" si="76"/>
        <v>0</v>
      </c>
      <c r="BU147" s="768">
        <f t="shared" si="76"/>
        <v>0</v>
      </c>
      <c r="BV147" s="768">
        <f t="shared" si="76"/>
        <v>0</v>
      </c>
      <c r="BW147" s="768">
        <f t="shared" si="76"/>
        <v>0</v>
      </c>
      <c r="BX147" s="768">
        <f t="shared" si="76"/>
        <v>0</v>
      </c>
      <c r="BY147" s="768">
        <f t="shared" si="76"/>
        <v>0</v>
      </c>
      <c r="BZ147" s="768">
        <f t="shared" si="76"/>
        <v>0</v>
      </c>
      <c r="CA147" s="768">
        <f t="shared" si="76"/>
        <v>0</v>
      </c>
      <c r="CB147" s="768">
        <f t="shared" si="76"/>
        <v>0</v>
      </c>
      <c r="CC147" s="768">
        <f t="shared" si="76"/>
        <v>0</v>
      </c>
      <c r="CD147" s="768">
        <f t="shared" si="76"/>
        <v>0</v>
      </c>
      <c r="CE147" s="768">
        <f t="shared" si="76"/>
        <v>0</v>
      </c>
      <c r="CF147" s="768">
        <f t="shared" si="76"/>
        <v>0</v>
      </c>
      <c r="CG147" s="768">
        <f t="shared" si="76"/>
        <v>0</v>
      </c>
      <c r="CH147" s="768">
        <f t="shared" si="76"/>
        <v>0</v>
      </c>
      <c r="CI147" s="769">
        <f t="shared" si="76"/>
        <v>0</v>
      </c>
      <c r="CK147" s="1366"/>
    </row>
    <row r="148" spans="2:89" x14ac:dyDescent="0.25">
      <c r="B148" s="770" t="s">
        <v>640</v>
      </c>
      <c r="C148" s="771" t="s">
        <v>430</v>
      </c>
      <c r="D148" s="765" t="s">
        <v>641</v>
      </c>
      <c r="E148" s="766" t="s">
        <v>146</v>
      </c>
      <c r="F148" s="767">
        <v>2</v>
      </c>
      <c r="G148" s="607"/>
      <c r="H148" s="607"/>
      <c r="I148" s="607">
        <f t="shared" si="77"/>
        <v>4.0339999999999998</v>
      </c>
      <c r="J148" s="607">
        <f t="shared" si="77"/>
        <v>4.4624072997485049</v>
      </c>
      <c r="K148" s="607">
        <f t="shared" si="77"/>
        <v>4.5741848274349408</v>
      </c>
      <c r="L148" s="607">
        <f t="shared" si="77"/>
        <v>4.5245059262409697</v>
      </c>
      <c r="M148" s="768">
        <f t="shared" si="77"/>
        <v>4.3073776263979493</v>
      </c>
      <c r="N148" s="768">
        <f t="shared" si="77"/>
        <v>4.1972730213967493</v>
      </c>
      <c r="O148" s="768">
        <f t="shared" si="77"/>
        <v>4.0930166263386791</v>
      </c>
      <c r="P148" s="768">
        <f t="shared" si="77"/>
        <v>3.9946162965483896</v>
      </c>
      <c r="Q148" s="768">
        <f t="shared" si="77"/>
        <v>3.9010971395766041</v>
      </c>
      <c r="R148" s="768">
        <f t="shared" si="77"/>
        <v>3.8133915563615921</v>
      </c>
      <c r="S148" s="768">
        <f t="shared" si="77"/>
        <v>3.7302602584675166</v>
      </c>
      <c r="T148" s="768">
        <f t="shared" si="77"/>
        <v>3.6514591356405206</v>
      </c>
      <c r="U148" s="768">
        <f t="shared" si="77"/>
        <v>3.576757469583987</v>
      </c>
      <c r="V148" s="768">
        <f t="shared" si="77"/>
        <v>3.5061654000933626</v>
      </c>
      <c r="W148" s="768">
        <f t="shared" si="77"/>
        <v>3.4392222432252182</v>
      </c>
      <c r="X148" s="768">
        <f t="shared" si="77"/>
        <v>3.3761411812434639</v>
      </c>
      <c r="Y148" s="768">
        <f t="shared" si="77"/>
        <v>3.3162880714943324</v>
      </c>
      <c r="Z148" s="768">
        <f t="shared" si="77"/>
        <v>3.2594946336341795</v>
      </c>
      <c r="AA148" s="768">
        <f t="shared" si="77"/>
        <v>3.2057720284672988</v>
      </c>
      <c r="AB148" s="768">
        <f t="shared" si="77"/>
        <v>3.1551017770165912</v>
      </c>
      <c r="AC148" s="768">
        <f t="shared" si="77"/>
        <v>3.1068327655008967</v>
      </c>
      <c r="AD148" s="768">
        <f t="shared" si="77"/>
        <v>3.0608597126934045</v>
      </c>
      <c r="AE148" s="768">
        <f t="shared" si="77"/>
        <v>3.017216934808546</v>
      </c>
      <c r="AF148" s="768">
        <f t="shared" si="77"/>
        <v>2.9756563635528797</v>
      </c>
      <c r="AG148" s="768">
        <f t="shared" si="77"/>
        <v>2.9365690521858365</v>
      </c>
      <c r="AH148" s="768">
        <f t="shared" si="77"/>
        <v>2.899557467289076</v>
      </c>
      <c r="AI148" s="768">
        <f t="shared" si="77"/>
        <v>2.864286911708263</v>
      </c>
      <c r="AJ148" s="768">
        <f t="shared" si="77"/>
        <v>2.8307836011022771</v>
      </c>
      <c r="AK148" s="768">
        <f t="shared" si="77"/>
        <v>2.7990542213550054</v>
      </c>
      <c r="AL148" s="768">
        <f t="shared" si="77"/>
        <v>2.7688153141667913</v>
      </c>
      <c r="AM148" s="768">
        <f t="shared" si="77"/>
        <v>2.7400881847802334</v>
      </c>
      <c r="AN148" s="768">
        <f t="shared" si="77"/>
        <v>2.7128777415429179</v>
      </c>
      <c r="AO148" s="768">
        <f t="shared" si="77"/>
        <v>2.68694378185657</v>
      </c>
      <c r="AP148" s="768">
        <f t="shared" si="77"/>
        <v>2.6623036009637531</v>
      </c>
      <c r="AQ148" s="768">
        <f t="shared" si="77"/>
        <v>2.6389607187171129</v>
      </c>
      <c r="AR148" s="768">
        <f t="shared" si="77"/>
        <v>2.6167114735899593</v>
      </c>
      <c r="AS148" s="768">
        <f t="shared" si="77"/>
        <v>2.5956315402545465</v>
      </c>
      <c r="AT148" s="768">
        <f t="shared" si="77"/>
        <v>2.5934237085808407</v>
      </c>
      <c r="AU148" s="768">
        <f t="shared" si="77"/>
        <v>2.5912396107589246</v>
      </c>
      <c r="AV148" s="768">
        <f t="shared" si="77"/>
        <v>2.5891385748011784</v>
      </c>
      <c r="AW148" s="768">
        <f t="shared" si="77"/>
        <v>2.587000177418401</v>
      </c>
      <c r="AX148" s="768">
        <f t="shared" si="77"/>
        <v>2.5848844060188032</v>
      </c>
      <c r="AY148" s="768">
        <f t="shared" si="77"/>
        <v>2.582848758665262</v>
      </c>
      <c r="AZ148" s="768">
        <f t="shared" si="77"/>
        <v>2.5807765708707713</v>
      </c>
      <c r="BA148" s="768">
        <f t="shared" si="77"/>
        <v>2.5787826417616917</v>
      </c>
      <c r="BB148" s="768">
        <f t="shared" si="77"/>
        <v>2.5767527046163421</v>
      </c>
      <c r="BC148" s="768">
        <f t="shared" si="77"/>
        <v>2.5747436983443377</v>
      </c>
      <c r="BD148" s="768">
        <f t="shared" si="77"/>
        <v>2.5728102586718022</v>
      </c>
      <c r="BE148" s="768">
        <f t="shared" si="77"/>
        <v>2.5708415950108146</v>
      </c>
      <c r="BF148" s="768">
        <f t="shared" si="77"/>
        <v>2.5688929240694209</v>
      </c>
      <c r="BG148" s="768">
        <f t="shared" si="77"/>
        <v>2.5670172624226439</v>
      </c>
      <c r="BH148" s="768">
        <f t="shared" si="77"/>
        <v>2.5651071392365905</v>
      </c>
      <c r="BI148" s="768">
        <f t="shared" si="77"/>
        <v>2.5632161258552686</v>
      </c>
      <c r="BJ148" s="768">
        <f t="shared" si="77"/>
        <v>2.5613956904855582</v>
      </c>
      <c r="BK148" s="768">
        <f t="shared" si="77"/>
        <v>2.5595415349168955</v>
      </c>
      <c r="BL148" s="768">
        <f t="shared" si="77"/>
        <v>2.5577564096547332</v>
      </c>
      <c r="BM148" s="768">
        <f t="shared" si="77"/>
        <v>2.555938044709742</v>
      </c>
      <c r="BN148" s="768">
        <f t="shared" si="77"/>
        <v>2.5541374324914186</v>
      </c>
      <c r="BO148" s="768">
        <f t="shared" si="77"/>
        <v>2.5524036113841673</v>
      </c>
      <c r="BP148" s="768">
        <f t="shared" si="77"/>
        <v>0</v>
      </c>
      <c r="BQ148" s="768">
        <f t="shared" si="77"/>
        <v>0</v>
      </c>
      <c r="BR148" s="768">
        <f t="shared" si="77"/>
        <v>0</v>
      </c>
      <c r="BS148" s="768">
        <f t="shared" si="76"/>
        <v>0</v>
      </c>
      <c r="BT148" s="768">
        <f t="shared" si="76"/>
        <v>0</v>
      </c>
      <c r="BU148" s="768">
        <f t="shared" si="76"/>
        <v>0</v>
      </c>
      <c r="BV148" s="768">
        <f t="shared" si="76"/>
        <v>0</v>
      </c>
      <c r="BW148" s="768">
        <f t="shared" si="76"/>
        <v>0</v>
      </c>
      <c r="BX148" s="768">
        <f t="shared" si="76"/>
        <v>0</v>
      </c>
      <c r="BY148" s="768">
        <f t="shared" si="76"/>
        <v>0</v>
      </c>
      <c r="BZ148" s="768">
        <f t="shared" si="76"/>
        <v>0</v>
      </c>
      <c r="CA148" s="768">
        <f t="shared" si="76"/>
        <v>0</v>
      </c>
      <c r="CB148" s="768">
        <f t="shared" si="76"/>
        <v>0</v>
      </c>
      <c r="CC148" s="768">
        <f t="shared" si="76"/>
        <v>0</v>
      </c>
      <c r="CD148" s="768">
        <f t="shared" si="76"/>
        <v>0</v>
      </c>
      <c r="CE148" s="768">
        <f t="shared" si="76"/>
        <v>0</v>
      </c>
      <c r="CF148" s="768">
        <f t="shared" si="76"/>
        <v>0</v>
      </c>
      <c r="CG148" s="768">
        <f t="shared" si="76"/>
        <v>0</v>
      </c>
      <c r="CH148" s="768">
        <f t="shared" si="76"/>
        <v>0</v>
      </c>
      <c r="CI148" s="769">
        <f t="shared" si="76"/>
        <v>0</v>
      </c>
      <c r="CK148" s="1366"/>
    </row>
    <row r="149" spans="2:89" x14ac:dyDescent="0.25">
      <c r="B149" s="770" t="s">
        <v>642</v>
      </c>
      <c r="C149" s="771" t="s">
        <v>432</v>
      </c>
      <c r="D149" s="765" t="s">
        <v>643</v>
      </c>
      <c r="E149" s="766" t="s">
        <v>146</v>
      </c>
      <c r="F149" s="767">
        <v>2</v>
      </c>
      <c r="G149" s="607"/>
      <c r="H149" s="607"/>
      <c r="I149" s="607">
        <f t="shared" si="77"/>
        <v>0.27800000000000002</v>
      </c>
      <c r="J149" s="607">
        <f t="shared" si="77"/>
        <v>0.23481037693438206</v>
      </c>
      <c r="K149" s="607">
        <f t="shared" si="77"/>
        <v>0.24069207298895884</v>
      </c>
      <c r="L149" s="607">
        <f t="shared" si="77"/>
        <v>0.23807798585359138</v>
      </c>
      <c r="M149" s="768">
        <f t="shared" si="77"/>
        <v>0.22807798585359138</v>
      </c>
      <c r="N149" s="768">
        <f t="shared" si="77"/>
        <v>0.22807798585359138</v>
      </c>
      <c r="O149" s="768">
        <f t="shared" si="77"/>
        <v>0.22807798585359138</v>
      </c>
      <c r="P149" s="768">
        <f t="shared" si="77"/>
        <v>0.22807798585359138</v>
      </c>
      <c r="Q149" s="768">
        <f t="shared" si="77"/>
        <v>0.22807798585359138</v>
      </c>
      <c r="R149" s="768">
        <f t="shared" si="77"/>
        <v>0.22807798585359138</v>
      </c>
      <c r="S149" s="768">
        <f t="shared" si="77"/>
        <v>0.22807798585359138</v>
      </c>
      <c r="T149" s="768">
        <f t="shared" si="77"/>
        <v>0.22807798585359138</v>
      </c>
      <c r="U149" s="768">
        <f t="shared" si="77"/>
        <v>0.22807798585359138</v>
      </c>
      <c r="V149" s="768">
        <f t="shared" si="77"/>
        <v>0.22807798585359138</v>
      </c>
      <c r="W149" s="768">
        <f t="shared" si="77"/>
        <v>0.22807798585359138</v>
      </c>
      <c r="X149" s="768">
        <f t="shared" si="77"/>
        <v>0.22807798585359138</v>
      </c>
      <c r="Y149" s="768">
        <f t="shared" si="77"/>
        <v>0.22807798585359138</v>
      </c>
      <c r="Z149" s="768">
        <f t="shared" si="77"/>
        <v>0.22807798585359138</v>
      </c>
      <c r="AA149" s="768">
        <f t="shared" si="77"/>
        <v>0.22807798585359138</v>
      </c>
      <c r="AB149" s="768">
        <f t="shared" si="77"/>
        <v>0.22807798585359138</v>
      </c>
      <c r="AC149" s="768">
        <f t="shared" si="77"/>
        <v>0.22807798585359138</v>
      </c>
      <c r="AD149" s="768">
        <f t="shared" si="77"/>
        <v>0.22807798585359138</v>
      </c>
      <c r="AE149" s="768">
        <f t="shared" si="77"/>
        <v>0.22807798585359138</v>
      </c>
      <c r="AF149" s="768">
        <f t="shared" si="77"/>
        <v>0.22807798585359138</v>
      </c>
      <c r="AG149" s="768">
        <f t="shared" si="77"/>
        <v>0.22807798585359138</v>
      </c>
      <c r="AH149" s="768">
        <f t="shared" si="77"/>
        <v>0.22807798585359138</v>
      </c>
      <c r="AI149" s="768">
        <f t="shared" si="77"/>
        <v>0.22807798585359138</v>
      </c>
      <c r="AJ149" s="768">
        <f t="shared" si="77"/>
        <v>0.22807798585359138</v>
      </c>
      <c r="AK149" s="768">
        <f t="shared" si="77"/>
        <v>0.22807798585359138</v>
      </c>
      <c r="AL149" s="768">
        <f t="shared" si="77"/>
        <v>0.22807798585359138</v>
      </c>
      <c r="AM149" s="768">
        <f t="shared" si="77"/>
        <v>0.22807798585359138</v>
      </c>
      <c r="AN149" s="768">
        <f t="shared" si="77"/>
        <v>0.22807798585359138</v>
      </c>
      <c r="AO149" s="768">
        <f t="shared" si="77"/>
        <v>0.22807798585359138</v>
      </c>
      <c r="AP149" s="768">
        <f t="shared" si="77"/>
        <v>0.22807798585359138</v>
      </c>
      <c r="AQ149" s="768">
        <f t="shared" si="77"/>
        <v>0.22807798585359138</v>
      </c>
      <c r="AR149" s="768">
        <f t="shared" si="77"/>
        <v>0.22807798585359138</v>
      </c>
      <c r="AS149" s="768">
        <f t="shared" si="77"/>
        <v>0.22807798585359138</v>
      </c>
      <c r="AT149" s="768">
        <f t="shared" si="77"/>
        <v>0.22807798585359138</v>
      </c>
      <c r="AU149" s="768">
        <f t="shared" si="77"/>
        <v>0.22807798585359138</v>
      </c>
      <c r="AV149" s="768">
        <f t="shared" si="77"/>
        <v>0.22807798585359138</v>
      </c>
      <c r="AW149" s="768">
        <f t="shared" si="77"/>
        <v>0.22807798585359138</v>
      </c>
      <c r="AX149" s="768">
        <f t="shared" si="77"/>
        <v>0.22807798585359138</v>
      </c>
      <c r="AY149" s="768">
        <f t="shared" si="77"/>
        <v>0.22807798585359138</v>
      </c>
      <c r="AZ149" s="768">
        <f t="shared" si="77"/>
        <v>0.22807798585359138</v>
      </c>
      <c r="BA149" s="768">
        <f t="shared" si="77"/>
        <v>0.22807798585359138</v>
      </c>
      <c r="BB149" s="768">
        <f t="shared" si="77"/>
        <v>0.22807798585359138</v>
      </c>
      <c r="BC149" s="768">
        <f t="shared" si="77"/>
        <v>0.22807798585359138</v>
      </c>
      <c r="BD149" s="768">
        <f t="shared" si="77"/>
        <v>0.22807798585359138</v>
      </c>
      <c r="BE149" s="768">
        <f t="shared" si="77"/>
        <v>0.22807798585359138</v>
      </c>
      <c r="BF149" s="768">
        <f t="shared" si="77"/>
        <v>0.22807798585359138</v>
      </c>
      <c r="BG149" s="768">
        <f t="shared" si="77"/>
        <v>0.22807798585359138</v>
      </c>
      <c r="BH149" s="768">
        <f t="shared" si="77"/>
        <v>0.22807798585359138</v>
      </c>
      <c r="BI149" s="768">
        <f t="shared" si="77"/>
        <v>0.22807798585359138</v>
      </c>
      <c r="BJ149" s="768">
        <f t="shared" si="77"/>
        <v>0.22807798585359138</v>
      </c>
      <c r="BK149" s="768">
        <f t="shared" si="77"/>
        <v>0.22807798585359138</v>
      </c>
      <c r="BL149" s="768">
        <f t="shared" si="77"/>
        <v>0.22807798585359138</v>
      </c>
      <c r="BM149" s="768">
        <f t="shared" si="77"/>
        <v>0.22807798585359138</v>
      </c>
      <c r="BN149" s="768">
        <f t="shared" si="77"/>
        <v>0.22807798585359138</v>
      </c>
      <c r="BO149" s="768">
        <f t="shared" si="77"/>
        <v>0.22807798585359138</v>
      </c>
      <c r="BP149" s="768">
        <f t="shared" si="77"/>
        <v>0</v>
      </c>
      <c r="BQ149" s="768">
        <f t="shared" si="77"/>
        <v>0</v>
      </c>
      <c r="BR149" s="768">
        <f t="shared" si="77"/>
        <v>0</v>
      </c>
      <c r="BS149" s="768">
        <f t="shared" si="76"/>
        <v>0</v>
      </c>
      <c r="BT149" s="768">
        <f t="shared" si="76"/>
        <v>0</v>
      </c>
      <c r="BU149" s="768">
        <f t="shared" si="76"/>
        <v>0</v>
      </c>
      <c r="BV149" s="768">
        <f t="shared" si="76"/>
        <v>0</v>
      </c>
      <c r="BW149" s="768">
        <f t="shared" si="76"/>
        <v>0</v>
      </c>
      <c r="BX149" s="768">
        <f t="shared" si="76"/>
        <v>0</v>
      </c>
      <c r="BY149" s="768">
        <f t="shared" si="76"/>
        <v>0</v>
      </c>
      <c r="BZ149" s="768">
        <f t="shared" si="76"/>
        <v>0</v>
      </c>
      <c r="CA149" s="768">
        <f t="shared" si="76"/>
        <v>0</v>
      </c>
      <c r="CB149" s="768">
        <f t="shared" si="76"/>
        <v>0</v>
      </c>
      <c r="CC149" s="768">
        <f t="shared" si="76"/>
        <v>0</v>
      </c>
      <c r="CD149" s="768">
        <f t="shared" si="76"/>
        <v>0</v>
      </c>
      <c r="CE149" s="768">
        <f t="shared" si="76"/>
        <v>0</v>
      </c>
      <c r="CF149" s="768">
        <f t="shared" si="76"/>
        <v>0</v>
      </c>
      <c r="CG149" s="768">
        <f t="shared" si="76"/>
        <v>0</v>
      </c>
      <c r="CH149" s="768">
        <f t="shared" si="76"/>
        <v>0</v>
      </c>
      <c r="CI149" s="769">
        <f t="shared" si="76"/>
        <v>0</v>
      </c>
      <c r="CK149" s="1366"/>
    </row>
    <row r="150" spans="2:89" x14ac:dyDescent="0.25">
      <c r="B150" s="770" t="s">
        <v>644</v>
      </c>
      <c r="C150" s="764" t="s">
        <v>434</v>
      </c>
      <c r="D150" s="765" t="s">
        <v>645</v>
      </c>
      <c r="E150" s="766" t="s">
        <v>146</v>
      </c>
      <c r="F150" s="767">
        <v>2</v>
      </c>
      <c r="G150" s="607"/>
      <c r="H150" s="607"/>
      <c r="I150" s="607">
        <f t="shared" si="77"/>
        <v>25.507999999999999</v>
      </c>
      <c r="J150" s="607">
        <f t="shared" si="77"/>
        <v>22.578888315272106</v>
      </c>
      <c r="K150" s="607">
        <f t="shared" si="77"/>
        <v>23.252992949678468</v>
      </c>
      <c r="L150" s="607">
        <f t="shared" si="77"/>
        <v>22.953390889942309</v>
      </c>
      <c r="M150" s="768">
        <f>M60+M118</f>
        <v>22.835227564744752</v>
      </c>
      <c r="N150" s="768">
        <f t="shared" si="77"/>
        <v>22.18421225885562</v>
      </c>
      <c r="O150" s="768">
        <f t="shared" si="77"/>
        <v>21.502170919626316</v>
      </c>
      <c r="P150" s="768">
        <f t="shared" si="77"/>
        <v>21.023129923402262</v>
      </c>
      <c r="Q150" s="768">
        <f t="shared" si="77"/>
        <v>20.58017400424956</v>
      </c>
      <c r="R150" s="768">
        <f t="shared" si="77"/>
        <v>20.005910576546075</v>
      </c>
      <c r="S150" s="768">
        <f t="shared" si="77"/>
        <v>19.432934856831451</v>
      </c>
      <c r="T150" s="768">
        <f t="shared" si="77"/>
        <v>18.510279296562821</v>
      </c>
      <c r="U150" s="768">
        <f t="shared" si="77"/>
        <v>17.833755902045755</v>
      </c>
      <c r="V150" s="768">
        <f t="shared" si="77"/>
        <v>17.173428031025271</v>
      </c>
      <c r="W150" s="768">
        <f t="shared" si="77"/>
        <v>16.712318022509905</v>
      </c>
      <c r="X150" s="768">
        <f t="shared" si="77"/>
        <v>16.428811496741076</v>
      </c>
      <c r="Y150" s="768">
        <f t="shared" si="77"/>
        <v>16.087736969652298</v>
      </c>
      <c r="Z150" s="768">
        <f t="shared" si="77"/>
        <v>15.785974639237132</v>
      </c>
      <c r="AA150" s="768">
        <f t="shared" si="77"/>
        <v>15.336344660742547</v>
      </c>
      <c r="AB150" s="768">
        <f t="shared" si="77"/>
        <v>15.077132403938327</v>
      </c>
      <c r="AC150" s="768">
        <f t="shared" si="77"/>
        <v>14.857406294882107</v>
      </c>
      <c r="AD150" s="768">
        <f t="shared" si="77"/>
        <v>14.74506778613436</v>
      </c>
      <c r="AE150" s="768">
        <f t="shared" si="77"/>
        <v>14.555784537626156</v>
      </c>
      <c r="AF150" s="768">
        <f t="shared" si="77"/>
        <v>14.307652830042702</v>
      </c>
      <c r="AG150" s="768">
        <f t="shared" si="77"/>
        <v>14.161737168890571</v>
      </c>
      <c r="AH150" s="768">
        <f t="shared" si="77"/>
        <v>13.978261834313715</v>
      </c>
      <c r="AI150" s="768">
        <f t="shared" si="77"/>
        <v>13.744115703591691</v>
      </c>
      <c r="AJ150" s="768">
        <f t="shared" si="77"/>
        <v>13.411257978766562</v>
      </c>
      <c r="AK150" s="768">
        <f t="shared" si="77"/>
        <v>13.066772534727059</v>
      </c>
      <c r="AL150" s="768">
        <f t="shared" si="77"/>
        <v>13.066772534727059</v>
      </c>
      <c r="AM150" s="768">
        <f t="shared" si="77"/>
        <v>13.066772534727059</v>
      </c>
      <c r="AN150" s="768">
        <f t="shared" si="77"/>
        <v>13.066772534727059</v>
      </c>
      <c r="AO150" s="768">
        <f t="shared" si="77"/>
        <v>13.066772534727059</v>
      </c>
      <c r="AP150" s="768">
        <f t="shared" si="77"/>
        <v>13.066772534727059</v>
      </c>
      <c r="AQ150" s="768">
        <f t="shared" si="77"/>
        <v>13.066772534727059</v>
      </c>
      <c r="AR150" s="768">
        <f t="shared" si="77"/>
        <v>13.066772534727059</v>
      </c>
      <c r="AS150" s="768">
        <f t="shared" si="77"/>
        <v>13.066772534727059</v>
      </c>
      <c r="AT150" s="768">
        <f t="shared" si="77"/>
        <v>13.066772534727059</v>
      </c>
      <c r="AU150" s="768">
        <f t="shared" si="77"/>
        <v>13.066772534727059</v>
      </c>
      <c r="AV150" s="768">
        <f t="shared" si="77"/>
        <v>13.066772534727059</v>
      </c>
      <c r="AW150" s="768">
        <f t="shared" si="77"/>
        <v>13.066772534727059</v>
      </c>
      <c r="AX150" s="768">
        <f t="shared" si="77"/>
        <v>13.066772534727059</v>
      </c>
      <c r="AY150" s="768">
        <f t="shared" si="77"/>
        <v>13.066772534727059</v>
      </c>
      <c r="AZ150" s="768">
        <f t="shared" si="77"/>
        <v>13.066772534727059</v>
      </c>
      <c r="BA150" s="768">
        <f t="shared" si="77"/>
        <v>13.066772534727059</v>
      </c>
      <c r="BB150" s="768">
        <f t="shared" si="77"/>
        <v>13.066772534727059</v>
      </c>
      <c r="BC150" s="768">
        <f t="shared" si="77"/>
        <v>13.066772534727059</v>
      </c>
      <c r="BD150" s="768">
        <f t="shared" si="77"/>
        <v>13.066772534727059</v>
      </c>
      <c r="BE150" s="768">
        <f t="shared" si="77"/>
        <v>13.066772534727059</v>
      </c>
      <c r="BF150" s="768">
        <f t="shared" si="77"/>
        <v>13.066772534727059</v>
      </c>
      <c r="BG150" s="768">
        <f t="shared" si="77"/>
        <v>13.066772534727059</v>
      </c>
      <c r="BH150" s="768">
        <f t="shared" si="77"/>
        <v>13.066772534727059</v>
      </c>
      <c r="BI150" s="768">
        <f t="shared" si="77"/>
        <v>13.066772534727059</v>
      </c>
      <c r="BJ150" s="768">
        <f t="shared" si="77"/>
        <v>13.066772534727059</v>
      </c>
      <c r="BK150" s="768">
        <f t="shared" si="77"/>
        <v>13.066772534727059</v>
      </c>
      <c r="BL150" s="768">
        <f t="shared" si="77"/>
        <v>13.066772534727059</v>
      </c>
      <c r="BM150" s="768">
        <f t="shared" si="77"/>
        <v>13.066772534727059</v>
      </c>
      <c r="BN150" s="768">
        <f t="shared" si="77"/>
        <v>13.066772534727059</v>
      </c>
      <c r="BO150" s="768">
        <f t="shared" si="77"/>
        <v>13.066772534727059</v>
      </c>
      <c r="BP150" s="768">
        <f t="shared" si="77"/>
        <v>0</v>
      </c>
      <c r="BQ150" s="768">
        <f t="shared" si="77"/>
        <v>0</v>
      </c>
      <c r="BR150" s="768">
        <f>BR60+BR118</f>
        <v>0</v>
      </c>
      <c r="BS150" s="768">
        <f t="shared" si="76"/>
        <v>0</v>
      </c>
      <c r="BT150" s="768">
        <f t="shared" si="76"/>
        <v>0</v>
      </c>
      <c r="BU150" s="768">
        <f t="shared" si="76"/>
        <v>0</v>
      </c>
      <c r="BV150" s="768">
        <f t="shared" si="76"/>
        <v>0</v>
      </c>
      <c r="BW150" s="768">
        <f t="shared" si="76"/>
        <v>0</v>
      </c>
      <c r="BX150" s="768">
        <f t="shared" si="76"/>
        <v>0</v>
      </c>
      <c r="BY150" s="768">
        <f t="shared" si="76"/>
        <v>0</v>
      </c>
      <c r="BZ150" s="768">
        <f t="shared" si="76"/>
        <v>0</v>
      </c>
      <c r="CA150" s="768">
        <f t="shared" si="76"/>
        <v>0</v>
      </c>
      <c r="CB150" s="768">
        <f t="shared" si="76"/>
        <v>0</v>
      </c>
      <c r="CC150" s="768">
        <f t="shared" si="76"/>
        <v>0</v>
      </c>
      <c r="CD150" s="768">
        <f t="shared" si="76"/>
        <v>0</v>
      </c>
      <c r="CE150" s="768">
        <f t="shared" si="76"/>
        <v>0</v>
      </c>
      <c r="CF150" s="768">
        <f t="shared" si="76"/>
        <v>0</v>
      </c>
      <c r="CG150" s="768">
        <f t="shared" si="76"/>
        <v>0</v>
      </c>
      <c r="CH150" s="768">
        <f t="shared" si="76"/>
        <v>0</v>
      </c>
      <c r="CI150" s="769">
        <f t="shared" si="76"/>
        <v>0</v>
      </c>
      <c r="CK150" s="1366"/>
    </row>
    <row r="151" spans="2:89" x14ac:dyDescent="0.25">
      <c r="B151" s="770" t="s">
        <v>646</v>
      </c>
      <c r="C151" s="764" t="s">
        <v>153</v>
      </c>
      <c r="D151" s="765" t="s">
        <v>647</v>
      </c>
      <c r="E151" s="766" t="s">
        <v>146</v>
      </c>
      <c r="F151" s="767">
        <v>2</v>
      </c>
      <c r="G151" s="607"/>
      <c r="H151" s="607"/>
      <c r="I151" s="607">
        <f t="shared" ref="I151:BS151" si="78">SUM(I145:I150)</f>
        <v>35.646000000000001</v>
      </c>
      <c r="J151" s="607">
        <f t="shared" si="78"/>
        <v>31.59713329947148</v>
      </c>
      <c r="K151" s="607">
        <f t="shared" si="78"/>
        <v>32.497133299471479</v>
      </c>
      <c r="L151" s="607">
        <f t="shared" si="78"/>
        <v>32.09713329947148</v>
      </c>
      <c r="M151" s="768">
        <f>SUM(M145:M150)</f>
        <v>31.728969974273923</v>
      </c>
      <c r="N151" s="768">
        <f t="shared" si="78"/>
        <v>31.077954668384791</v>
      </c>
      <c r="O151" s="768">
        <f t="shared" si="78"/>
        <v>30.395913329155491</v>
      </c>
      <c r="P151" s="768">
        <f t="shared" si="78"/>
        <v>29.916872332931433</v>
      </c>
      <c r="Q151" s="768">
        <f t="shared" si="78"/>
        <v>29.473916413778731</v>
      </c>
      <c r="R151" s="768">
        <f t="shared" si="78"/>
        <v>28.899652986075246</v>
      </c>
      <c r="S151" s="768">
        <f t="shared" si="78"/>
        <v>28.326677266360626</v>
      </c>
      <c r="T151" s="768">
        <f t="shared" si="78"/>
        <v>27.404021706091996</v>
      </c>
      <c r="U151" s="768">
        <f t="shared" si="78"/>
        <v>26.727498311574927</v>
      </c>
      <c r="V151" s="768">
        <f t="shared" si="78"/>
        <v>26.067170440554442</v>
      </c>
      <c r="W151" s="768">
        <f t="shared" si="78"/>
        <v>25.606060432039079</v>
      </c>
      <c r="X151" s="768">
        <f t="shared" si="78"/>
        <v>25.322553906270251</v>
      </c>
      <c r="Y151" s="768">
        <f t="shared" si="78"/>
        <v>24.981479379181469</v>
      </c>
      <c r="Z151" s="768">
        <f t="shared" si="78"/>
        <v>24.679717048766307</v>
      </c>
      <c r="AA151" s="768">
        <f t="shared" si="78"/>
        <v>24.230087070271722</v>
      </c>
      <c r="AB151" s="768">
        <f t="shared" si="78"/>
        <v>23.9708748134675</v>
      </c>
      <c r="AC151" s="768">
        <f t="shared" si="78"/>
        <v>23.751148704411278</v>
      </c>
      <c r="AD151" s="768">
        <f t="shared" si="78"/>
        <v>23.638810195663531</v>
      </c>
      <c r="AE151" s="768">
        <f t="shared" si="78"/>
        <v>23.449526947155327</v>
      </c>
      <c r="AF151" s="768">
        <f t="shared" si="78"/>
        <v>23.201395239571873</v>
      </c>
      <c r="AG151" s="768">
        <f t="shared" si="78"/>
        <v>23.055479578419742</v>
      </c>
      <c r="AH151" s="768">
        <f t="shared" si="78"/>
        <v>22.872004243842888</v>
      </c>
      <c r="AI151" s="768">
        <f t="shared" si="78"/>
        <v>22.637858113120863</v>
      </c>
      <c r="AJ151" s="768">
        <f t="shared" si="78"/>
        <v>22.305000388295731</v>
      </c>
      <c r="AK151" s="768">
        <f t="shared" si="78"/>
        <v>21.960514944256232</v>
      </c>
      <c r="AL151" s="768">
        <f t="shared" si="78"/>
        <v>21.960514944256232</v>
      </c>
      <c r="AM151" s="768">
        <f t="shared" si="78"/>
        <v>21.960514944256232</v>
      </c>
      <c r="AN151" s="768">
        <f t="shared" si="78"/>
        <v>21.960514944256232</v>
      </c>
      <c r="AO151" s="768">
        <f t="shared" si="78"/>
        <v>21.960514944256232</v>
      </c>
      <c r="AP151" s="768">
        <f t="shared" si="78"/>
        <v>21.960514944256232</v>
      </c>
      <c r="AQ151" s="768">
        <f t="shared" si="78"/>
        <v>21.960514944256232</v>
      </c>
      <c r="AR151" s="768">
        <f t="shared" si="78"/>
        <v>21.960514944256232</v>
      </c>
      <c r="AS151" s="768">
        <f t="shared" si="78"/>
        <v>21.960514944256232</v>
      </c>
      <c r="AT151" s="768">
        <f t="shared" si="78"/>
        <v>21.960514944256232</v>
      </c>
      <c r="AU151" s="768">
        <f t="shared" si="78"/>
        <v>21.960514944256232</v>
      </c>
      <c r="AV151" s="768">
        <f t="shared" si="78"/>
        <v>21.960514944256232</v>
      </c>
      <c r="AW151" s="768">
        <f t="shared" si="78"/>
        <v>21.960514944256232</v>
      </c>
      <c r="AX151" s="768">
        <f t="shared" si="78"/>
        <v>21.960514944256232</v>
      </c>
      <c r="AY151" s="768">
        <f t="shared" si="78"/>
        <v>21.960514944256232</v>
      </c>
      <c r="AZ151" s="768">
        <f t="shared" si="78"/>
        <v>21.960514944256232</v>
      </c>
      <c r="BA151" s="768">
        <f t="shared" si="78"/>
        <v>21.960514944256232</v>
      </c>
      <c r="BB151" s="768">
        <f t="shared" si="78"/>
        <v>21.960514944256232</v>
      </c>
      <c r="BC151" s="768">
        <f t="shared" si="78"/>
        <v>21.960514944256232</v>
      </c>
      <c r="BD151" s="768">
        <f t="shared" si="78"/>
        <v>21.960514944256232</v>
      </c>
      <c r="BE151" s="768">
        <f t="shared" si="78"/>
        <v>21.960514944256232</v>
      </c>
      <c r="BF151" s="768">
        <f t="shared" si="78"/>
        <v>21.960514944256232</v>
      </c>
      <c r="BG151" s="768">
        <f t="shared" si="78"/>
        <v>21.960514944256232</v>
      </c>
      <c r="BH151" s="768">
        <f t="shared" si="78"/>
        <v>21.960514944256232</v>
      </c>
      <c r="BI151" s="768">
        <f t="shared" si="78"/>
        <v>21.960514944256232</v>
      </c>
      <c r="BJ151" s="768">
        <f t="shared" si="78"/>
        <v>21.960514944256232</v>
      </c>
      <c r="BK151" s="768">
        <f t="shared" si="78"/>
        <v>21.960514944256232</v>
      </c>
      <c r="BL151" s="768">
        <f t="shared" si="78"/>
        <v>21.960514944256232</v>
      </c>
      <c r="BM151" s="768">
        <f t="shared" si="78"/>
        <v>21.960514944256232</v>
      </c>
      <c r="BN151" s="768">
        <f t="shared" si="78"/>
        <v>21.960514944256232</v>
      </c>
      <c r="BO151" s="768">
        <f t="shared" si="78"/>
        <v>21.960514944256232</v>
      </c>
      <c r="BP151" s="768">
        <f t="shared" si="78"/>
        <v>0</v>
      </c>
      <c r="BQ151" s="768">
        <f t="shared" si="78"/>
        <v>0</v>
      </c>
      <c r="BR151" s="768">
        <f t="shared" si="78"/>
        <v>0</v>
      </c>
      <c r="BS151" s="768">
        <f t="shared" si="78"/>
        <v>0</v>
      </c>
      <c r="BT151" s="768">
        <f t="shared" ref="BT151:CI151" si="79">SUM(BT145:BT150)</f>
        <v>0</v>
      </c>
      <c r="BU151" s="768">
        <f t="shared" si="79"/>
        <v>0</v>
      </c>
      <c r="BV151" s="768">
        <f t="shared" si="79"/>
        <v>0</v>
      </c>
      <c r="BW151" s="768">
        <f t="shared" si="79"/>
        <v>0</v>
      </c>
      <c r="BX151" s="768">
        <f t="shared" si="79"/>
        <v>0</v>
      </c>
      <c r="BY151" s="768">
        <f t="shared" si="79"/>
        <v>0</v>
      </c>
      <c r="BZ151" s="768">
        <f t="shared" si="79"/>
        <v>0</v>
      </c>
      <c r="CA151" s="768">
        <f t="shared" si="79"/>
        <v>0</v>
      </c>
      <c r="CB151" s="768">
        <f t="shared" si="79"/>
        <v>0</v>
      </c>
      <c r="CC151" s="768">
        <f t="shared" si="79"/>
        <v>0</v>
      </c>
      <c r="CD151" s="768">
        <f t="shared" si="79"/>
        <v>0</v>
      </c>
      <c r="CE151" s="768">
        <f t="shared" si="79"/>
        <v>0</v>
      </c>
      <c r="CF151" s="768">
        <f t="shared" si="79"/>
        <v>0</v>
      </c>
      <c r="CG151" s="768">
        <f t="shared" si="79"/>
        <v>0</v>
      </c>
      <c r="CH151" s="768">
        <f t="shared" si="79"/>
        <v>0</v>
      </c>
      <c r="CI151" s="769">
        <f t="shared" si="79"/>
        <v>0</v>
      </c>
      <c r="CK151" s="1366"/>
    </row>
    <row r="152" spans="2:89" ht="14.4" thickBot="1" x14ac:dyDescent="0.3">
      <c r="B152" s="810" t="s">
        <v>648</v>
      </c>
      <c r="C152" s="811" t="s">
        <v>438</v>
      </c>
      <c r="D152" s="812" t="s">
        <v>649</v>
      </c>
      <c r="E152" s="813" t="s">
        <v>440</v>
      </c>
      <c r="F152" s="778">
        <v>2</v>
      </c>
      <c r="G152" s="779"/>
      <c r="H152" s="779"/>
      <c r="I152" s="779">
        <f t="shared" ref="I152:BS152" si="80">(I151*1000000)/(I166*1000)</f>
        <v>64.686710606544509</v>
      </c>
      <c r="J152" s="779">
        <f t="shared" si="80"/>
        <v>56.712090404416884</v>
      </c>
      <c r="K152" s="779">
        <f t="shared" si="80"/>
        <v>57.752260173621579</v>
      </c>
      <c r="L152" s="779">
        <f t="shared" si="80"/>
        <v>56.500448794438249</v>
      </c>
      <c r="M152" s="808">
        <f t="shared" si="80"/>
        <v>55.387246118866422</v>
      </c>
      <c r="N152" s="808">
        <f t="shared" si="80"/>
        <v>53.822817257534375</v>
      </c>
      <c r="O152" s="808">
        <f t="shared" si="80"/>
        <v>52.229940170019219</v>
      </c>
      <c r="P152" s="808">
        <f t="shared" si="80"/>
        <v>51.015745841500028</v>
      </c>
      <c r="Q152" s="808">
        <f t="shared" si="80"/>
        <v>49.87213667103947</v>
      </c>
      <c r="R152" s="808">
        <f t="shared" si="80"/>
        <v>48.550723722540688</v>
      </c>
      <c r="S152" s="808">
        <f t="shared" si="80"/>
        <v>47.250169516795516</v>
      </c>
      <c r="T152" s="808">
        <f t="shared" si="80"/>
        <v>45.388969421189607</v>
      </c>
      <c r="U152" s="808">
        <f t="shared" si="80"/>
        <v>43.958491641229379</v>
      </c>
      <c r="V152" s="808">
        <f t="shared" si="80"/>
        <v>42.582028509926005</v>
      </c>
      <c r="W152" s="808">
        <f t="shared" si="80"/>
        <v>41.547194410098122</v>
      </c>
      <c r="X152" s="808">
        <f t="shared" si="80"/>
        <v>40.825981837332378</v>
      </c>
      <c r="Y152" s="808">
        <f t="shared" si="80"/>
        <v>40.018101608902292</v>
      </c>
      <c r="Z152" s="808">
        <f t="shared" si="80"/>
        <v>39.281772641946155</v>
      </c>
      <c r="AA152" s="808">
        <f t="shared" si="80"/>
        <v>38.328685387877286</v>
      </c>
      <c r="AB152" s="808">
        <f t="shared" si="80"/>
        <v>37.696644987318329</v>
      </c>
      <c r="AC152" s="808">
        <f t="shared" si="80"/>
        <v>37.130211380293993</v>
      </c>
      <c r="AD152" s="808">
        <f t="shared" si="80"/>
        <v>36.731211071762807</v>
      </c>
      <c r="AE152" s="808">
        <f t="shared" si="80"/>
        <v>36.218172054724178</v>
      </c>
      <c r="AF152" s="808">
        <f t="shared" si="80"/>
        <v>35.615346025782607</v>
      </c>
      <c r="AG152" s="808">
        <f t="shared" si="80"/>
        <v>35.191936310130345</v>
      </c>
      <c r="AH152" s="808">
        <f t="shared" si="80"/>
        <v>34.721232296637687</v>
      </c>
      <c r="AI152" s="808">
        <f t="shared" si="80"/>
        <v>34.173996484515854</v>
      </c>
      <c r="AJ152" s="808">
        <f t="shared" si="80"/>
        <v>33.484567178874137</v>
      </c>
      <c r="AK152" s="808">
        <f t="shared" si="80"/>
        <v>32.790309228459883</v>
      </c>
      <c r="AL152" s="808">
        <f t="shared" si="80"/>
        <v>32.609980117070506</v>
      </c>
      <c r="AM152" s="808">
        <f t="shared" si="80"/>
        <v>32.431648575288811</v>
      </c>
      <c r="AN152" s="808">
        <f t="shared" si="80"/>
        <v>32.25992669537824</v>
      </c>
      <c r="AO152" s="808">
        <f t="shared" si="80"/>
        <v>32.085352697636424</v>
      </c>
      <c r="AP152" s="808">
        <f t="shared" si="80"/>
        <v>31.912408223834575</v>
      </c>
      <c r="AQ152" s="808">
        <f t="shared" si="80"/>
        <v>31.745936132051753</v>
      </c>
      <c r="AR152" s="808">
        <f t="shared" si="80"/>
        <v>31.576590369545546</v>
      </c>
      <c r="AS152" s="808">
        <f t="shared" si="80"/>
        <v>31.413565779484053</v>
      </c>
      <c r="AT152" s="808">
        <f t="shared" si="80"/>
        <v>31.247534017888928</v>
      </c>
      <c r="AU152" s="808">
        <f t="shared" si="80"/>
        <v>31.083280521257873</v>
      </c>
      <c r="AV152" s="808">
        <f t="shared" si="80"/>
        <v>30.925044963774106</v>
      </c>
      <c r="AW152" s="808">
        <f t="shared" si="80"/>
        <v>30.764135455244034</v>
      </c>
      <c r="AX152" s="808">
        <f t="shared" si="80"/>
        <v>30.604669711293884</v>
      </c>
      <c r="AY152" s="808">
        <f t="shared" si="80"/>
        <v>30.451104688855981</v>
      </c>
      <c r="AZ152" s="808">
        <f t="shared" si="80"/>
        <v>30.294844206905577</v>
      </c>
      <c r="BA152" s="808">
        <f t="shared" si="80"/>
        <v>30.144351271654521</v>
      </c>
      <c r="BB152" s="808">
        <f t="shared" si="80"/>
        <v>29.991038976188374</v>
      </c>
      <c r="BC152" s="808">
        <f t="shared" si="80"/>
        <v>29.839313470254616</v>
      </c>
      <c r="BD152" s="808">
        <f t="shared" si="80"/>
        <v>29.693084777139596</v>
      </c>
      <c r="BE152" s="808">
        <f t="shared" si="80"/>
        <v>29.544342532349582</v>
      </c>
      <c r="BF152" s="808">
        <f t="shared" si="80"/>
        <v>29.396882489313771</v>
      </c>
      <c r="BG152" s="808">
        <f t="shared" si="80"/>
        <v>29.2548194117043</v>
      </c>
      <c r="BH152" s="808">
        <f t="shared" si="80"/>
        <v>29.110221957735838</v>
      </c>
      <c r="BI152" s="808">
        <f t="shared" si="80"/>
        <v>28.967082515155337</v>
      </c>
      <c r="BJ152" s="808">
        <f t="shared" si="80"/>
        <v>28.828936505530024</v>
      </c>
      <c r="BK152" s="808">
        <f t="shared" si="80"/>
        <v>28.688389246947889</v>
      </c>
      <c r="BL152" s="808">
        <f t="shared" si="80"/>
        <v>28.552878953352103</v>
      </c>
      <c r="BM152" s="808">
        <f t="shared" si="80"/>
        <v>28.415001125961446</v>
      </c>
      <c r="BN152" s="808">
        <f t="shared" si="80"/>
        <v>28.278265328289201</v>
      </c>
      <c r="BO152" s="808">
        <f t="shared" si="80"/>
        <v>28.146481444175269</v>
      </c>
      <c r="BP152" s="808">
        <f t="shared" si="80"/>
        <v>0</v>
      </c>
      <c r="BQ152" s="808">
        <f t="shared" si="80"/>
        <v>0</v>
      </c>
      <c r="BR152" s="808">
        <f t="shared" si="80"/>
        <v>0</v>
      </c>
      <c r="BS152" s="808">
        <f t="shared" si="80"/>
        <v>0</v>
      </c>
      <c r="BT152" s="808">
        <f t="shared" ref="BT152:CI152" si="81">(BT151*1000000)/(BT166*1000)</f>
        <v>0</v>
      </c>
      <c r="BU152" s="808">
        <f t="shared" si="81"/>
        <v>0</v>
      </c>
      <c r="BV152" s="808">
        <f t="shared" si="81"/>
        <v>0</v>
      </c>
      <c r="BW152" s="808">
        <f t="shared" si="81"/>
        <v>0</v>
      </c>
      <c r="BX152" s="808">
        <f t="shared" si="81"/>
        <v>0</v>
      </c>
      <c r="BY152" s="808">
        <f t="shared" si="81"/>
        <v>0</v>
      </c>
      <c r="BZ152" s="808">
        <f t="shared" si="81"/>
        <v>0</v>
      </c>
      <c r="CA152" s="808">
        <f t="shared" si="81"/>
        <v>0</v>
      </c>
      <c r="CB152" s="808">
        <f t="shared" si="81"/>
        <v>0</v>
      </c>
      <c r="CC152" s="808">
        <f t="shared" si="81"/>
        <v>0</v>
      </c>
      <c r="CD152" s="808">
        <f t="shared" si="81"/>
        <v>0</v>
      </c>
      <c r="CE152" s="808">
        <f t="shared" si="81"/>
        <v>0</v>
      </c>
      <c r="CF152" s="808">
        <f t="shared" si="81"/>
        <v>0</v>
      </c>
      <c r="CG152" s="808">
        <f t="shared" si="81"/>
        <v>0</v>
      </c>
      <c r="CH152" s="808">
        <f t="shared" si="81"/>
        <v>0</v>
      </c>
      <c r="CI152" s="809">
        <f t="shared" si="81"/>
        <v>0</v>
      </c>
      <c r="CK152" s="1366"/>
    </row>
    <row r="153" spans="2:89" ht="14.4" thickBot="1" x14ac:dyDescent="0.3">
      <c r="B153" s="780" t="s">
        <v>650</v>
      </c>
      <c r="C153" s="781" t="s">
        <v>442</v>
      </c>
      <c r="D153" s="731" t="s">
        <v>79</v>
      </c>
      <c r="E153" s="814" t="s">
        <v>254</v>
      </c>
      <c r="F153" s="815">
        <v>2</v>
      </c>
      <c r="G153" s="631"/>
      <c r="H153" s="631"/>
      <c r="I153" s="631">
        <v>29.834</v>
      </c>
      <c r="J153" s="631">
        <v>29.922689306003885</v>
      </c>
      <c r="K153" s="631">
        <v>30.069659718805781</v>
      </c>
      <c r="L153" s="631">
        <v>30.159166321214123</v>
      </c>
      <c r="M153" s="632">
        <v>30.232379539141327</v>
      </c>
      <c r="N153" s="632">
        <v>30.286357112025247</v>
      </c>
      <c r="O153" s="632">
        <v>30.337590546503662</v>
      </c>
      <c r="P153" s="632">
        <v>30.398155922176908</v>
      </c>
      <c r="Q153" s="632">
        <v>30.465289889958157</v>
      </c>
      <c r="R153" s="632">
        <v>30.520655999231</v>
      </c>
      <c r="S153" s="632">
        <v>30.578233452285289</v>
      </c>
      <c r="T153" s="632">
        <v>30.633573855854657</v>
      </c>
      <c r="U153" s="632">
        <v>30.692670863565187</v>
      </c>
      <c r="V153" s="632">
        <v>30.738081751431285</v>
      </c>
      <c r="W153" s="632">
        <v>30.786928992519272</v>
      </c>
      <c r="X153" s="632">
        <v>30.83034150102516</v>
      </c>
      <c r="Y153" s="632">
        <v>30.929067433849323</v>
      </c>
      <c r="Z153" s="632">
        <v>31.04598251266966</v>
      </c>
      <c r="AA153" s="632">
        <v>31.138692225409262</v>
      </c>
      <c r="AB153" s="632">
        <v>31.260633965173323</v>
      </c>
      <c r="AC153" s="632">
        <v>31.34684544922348</v>
      </c>
      <c r="AD153" s="632">
        <v>31.434960823797933</v>
      </c>
      <c r="AE153" s="632">
        <v>31.524919305847909</v>
      </c>
      <c r="AF153" s="632">
        <v>31.616663530468553</v>
      </c>
      <c r="AG153" s="632">
        <v>31.710140404238814</v>
      </c>
      <c r="AH153" s="632">
        <v>31.805300590466963</v>
      </c>
      <c r="AI153" s="632">
        <v>31.90209783025951</v>
      </c>
      <c r="AJ153" s="632">
        <v>32.000488881981695</v>
      </c>
      <c r="AK153" s="632">
        <v>32.100432897604833</v>
      </c>
      <c r="AL153" s="632">
        <v>32.201892609452393</v>
      </c>
      <c r="AM153" s="632">
        <v>32.304832138481686</v>
      </c>
      <c r="AN153" s="632">
        <v>32.409218227358174</v>
      </c>
      <c r="AO153" s="632">
        <v>32.515019875112074</v>
      </c>
      <c r="AP153" s="632">
        <v>32.622207599489776</v>
      </c>
      <c r="AQ153" s="632">
        <v>32.730753901070393</v>
      </c>
      <c r="AR153" s="632">
        <v>32.840633144277163</v>
      </c>
      <c r="AS153" s="632">
        <v>32.951821043926358</v>
      </c>
      <c r="AT153" s="632">
        <v>33.064294570025758</v>
      </c>
      <c r="AU153" s="632">
        <v>33.17803224798319</v>
      </c>
      <c r="AV153" s="632">
        <v>33.293014072642869</v>
      </c>
      <c r="AW153" s="632">
        <v>33.409220833455635</v>
      </c>
      <c r="AX153" s="632">
        <v>33.526634835210089</v>
      </c>
      <c r="AY153" s="632">
        <v>33.645239236451218</v>
      </c>
      <c r="AZ153" s="632">
        <v>33.765017981864368</v>
      </c>
      <c r="BA153" s="632">
        <v>33.885956345736297</v>
      </c>
      <c r="BB153" s="632">
        <v>34.008040079332112</v>
      </c>
      <c r="BC153" s="632">
        <v>34.131256157509817</v>
      </c>
      <c r="BD153" s="632">
        <v>34.255592135386877</v>
      </c>
      <c r="BE153" s="632">
        <v>34.381036106241083</v>
      </c>
      <c r="BF153" s="632">
        <v>34.507577452490473</v>
      </c>
      <c r="BG153" s="632">
        <v>34.635205424994652</v>
      </c>
      <c r="BH153" s="632">
        <v>34.763910685599662</v>
      </c>
      <c r="BI153" s="632">
        <v>34.893683699009351</v>
      </c>
      <c r="BJ153" s="632">
        <v>35.024516278995044</v>
      </c>
      <c r="BK153" s="632">
        <v>35.156400176693865</v>
      </c>
      <c r="BL153" s="632">
        <v>35.289327848208721</v>
      </c>
      <c r="BM153" s="632">
        <v>35.423292227382724</v>
      </c>
      <c r="BN153" s="632">
        <v>35.558286902333855</v>
      </c>
      <c r="BO153" s="632">
        <v>35.694305695918153</v>
      </c>
      <c r="BP153" s="632"/>
      <c r="BQ153" s="632"/>
      <c r="BR153" s="632"/>
      <c r="BS153" s="632"/>
      <c r="BT153" s="632"/>
      <c r="BU153" s="632"/>
      <c r="BV153" s="632"/>
      <c r="BW153" s="632"/>
      <c r="BX153" s="632"/>
      <c r="BY153" s="632"/>
      <c r="BZ153" s="632"/>
      <c r="CA153" s="632"/>
      <c r="CB153" s="632"/>
      <c r="CC153" s="632"/>
      <c r="CD153" s="632"/>
      <c r="CE153" s="632"/>
      <c r="CF153" s="632"/>
      <c r="CG153" s="632"/>
      <c r="CH153" s="632"/>
      <c r="CI153" s="633"/>
      <c r="CK153" s="1366"/>
    </row>
    <row r="154" spans="2:89" ht="14.4" thickBot="1" x14ac:dyDescent="0.3">
      <c r="B154" s="788" t="s">
        <v>651</v>
      </c>
      <c r="C154" s="789" t="s">
        <v>444</v>
      </c>
      <c r="D154" s="736" t="s">
        <v>79</v>
      </c>
      <c r="E154" s="798" t="s">
        <v>254</v>
      </c>
      <c r="F154" s="799">
        <v>2</v>
      </c>
      <c r="G154" s="635"/>
      <c r="H154" s="635"/>
      <c r="I154" s="631">
        <v>1.0669999999999999</v>
      </c>
      <c r="J154" s="631">
        <v>1.07017193435362</v>
      </c>
      <c r="K154" s="631">
        <v>1.0722407532242821</v>
      </c>
      <c r="L154" s="631">
        <v>1.0701760766720663</v>
      </c>
      <c r="M154" s="632">
        <v>1.0695902076567994</v>
      </c>
      <c r="N154" s="632">
        <v>1.0689050458860818</v>
      </c>
      <c r="O154" s="632">
        <v>1.0688049735855043</v>
      </c>
      <c r="P154" s="632">
        <v>1.0691301380458884</v>
      </c>
      <c r="Q154" s="632">
        <v>1.0693564568786882</v>
      </c>
      <c r="R154" s="632">
        <v>1.0689391129645403</v>
      </c>
      <c r="S154" s="632">
        <v>1.0690129037334866</v>
      </c>
      <c r="T154" s="632">
        <v>1.0689310536921781</v>
      </c>
      <c r="U154" s="632">
        <v>1.0690584117127071</v>
      </c>
      <c r="V154" s="632">
        <v>1.0685786640911352</v>
      </c>
      <c r="W154" s="632">
        <v>1.0686956167487069</v>
      </c>
      <c r="X154" s="632">
        <v>1.0685045718456365</v>
      </c>
      <c r="Y154" s="632">
        <v>1.0704167824680115</v>
      </c>
      <c r="Z154" s="632">
        <v>1.0710333705297754</v>
      </c>
      <c r="AA154" s="632">
        <v>1.0701862822654398</v>
      </c>
      <c r="AB154" s="632">
        <v>1.0711784618116309</v>
      </c>
      <c r="AC154" s="632">
        <v>1.0699426035820028</v>
      </c>
      <c r="AD154" s="632">
        <v>1.0699993163051473</v>
      </c>
      <c r="AE154" s="632">
        <v>1.0700534696984541</v>
      </c>
      <c r="AF154" s="632">
        <v>1.0701051970893434</v>
      </c>
      <c r="AG154" s="632">
        <v>1.0701546600170737</v>
      </c>
      <c r="AH154" s="632">
        <v>1.0702020015493767</v>
      </c>
      <c r="AI154" s="632">
        <v>1.0702473409444657</v>
      </c>
      <c r="AJ154" s="632">
        <v>1.0702907946288092</v>
      </c>
      <c r="AK154" s="632">
        <v>1.0703324573591058</v>
      </c>
      <c r="AL154" s="632">
        <v>1.0703724626981523</v>
      </c>
      <c r="AM154" s="632">
        <v>1.0704108702493462</v>
      </c>
      <c r="AN154" s="632">
        <v>1.0704477800829895</v>
      </c>
      <c r="AO154" s="632">
        <v>1.0704832792744632</v>
      </c>
      <c r="AP154" s="632">
        <v>1.0705174298631992</v>
      </c>
      <c r="AQ154" s="632">
        <v>1.0705503085875956</v>
      </c>
      <c r="AR154" s="632">
        <v>1.0705819875355165</v>
      </c>
      <c r="AS154" s="632">
        <v>1.0706125213665647</v>
      </c>
      <c r="AT154" s="632">
        <v>1.0706419611586357</v>
      </c>
      <c r="AU154" s="632">
        <v>1.0706703672030047</v>
      </c>
      <c r="AV154" s="632">
        <v>1.0706977963609978</v>
      </c>
      <c r="AW154" s="632">
        <v>1.0707242832240216</v>
      </c>
      <c r="AX154" s="632">
        <v>1.0707498851139434</v>
      </c>
      <c r="AY154" s="632">
        <v>1.0707746375902787</v>
      </c>
      <c r="AZ154" s="632">
        <v>1.0707985737137056</v>
      </c>
      <c r="BA154" s="632">
        <v>1.0708217433890268</v>
      </c>
      <c r="BB154" s="632">
        <v>1.070844169024407</v>
      </c>
      <c r="BC154" s="632">
        <v>1.0708658962736035</v>
      </c>
      <c r="BD154" s="632">
        <v>1.0708869500666145</v>
      </c>
      <c r="BE154" s="632">
        <v>1.0709073537649616</v>
      </c>
      <c r="BF154" s="632">
        <v>1.0709271537957978</v>
      </c>
      <c r="BG154" s="632">
        <v>1.0709463519816576</v>
      </c>
      <c r="BH154" s="632">
        <v>1.0709649977928473</v>
      </c>
      <c r="BI154" s="632">
        <v>1.0709830905838393</v>
      </c>
      <c r="BJ154" s="632">
        <v>1.0710006771439951</v>
      </c>
      <c r="BK154" s="632">
        <v>1.071017760523044</v>
      </c>
      <c r="BL154" s="632">
        <v>1.071034367136364</v>
      </c>
      <c r="BM154" s="632">
        <v>1.0710505161558885</v>
      </c>
      <c r="BN154" s="632">
        <v>1.0710662318241833</v>
      </c>
      <c r="BO154" s="632">
        <v>1.0710815254445052</v>
      </c>
      <c r="BP154" s="632"/>
      <c r="BQ154" s="636"/>
      <c r="BR154" s="636"/>
      <c r="BS154" s="636"/>
      <c r="BT154" s="636"/>
      <c r="BU154" s="636"/>
      <c r="BV154" s="636"/>
      <c r="BW154" s="636"/>
      <c r="BX154" s="636"/>
      <c r="BY154" s="636"/>
      <c r="BZ154" s="636"/>
      <c r="CA154" s="636"/>
      <c r="CB154" s="636"/>
      <c r="CC154" s="636"/>
      <c r="CD154" s="636"/>
      <c r="CE154" s="636"/>
      <c r="CF154" s="636"/>
      <c r="CG154" s="636"/>
      <c r="CH154" s="636"/>
      <c r="CI154" s="637"/>
      <c r="CK154" s="1366"/>
    </row>
    <row r="155" spans="2:89" x14ac:dyDescent="0.25">
      <c r="B155" s="816" t="s">
        <v>652</v>
      </c>
      <c r="C155" s="817" t="s">
        <v>446</v>
      </c>
      <c r="D155" s="736" t="s">
        <v>79</v>
      </c>
      <c r="E155" s="798" t="s">
        <v>254</v>
      </c>
      <c r="F155" s="799">
        <v>2</v>
      </c>
      <c r="G155" s="635"/>
      <c r="H155" s="635"/>
      <c r="I155" s="631">
        <v>2.4780000000000002</v>
      </c>
      <c r="J155" s="631">
        <v>2.48</v>
      </c>
      <c r="K155" s="631">
        <v>2.48</v>
      </c>
      <c r="L155" s="631">
        <v>2.48</v>
      </c>
      <c r="M155" s="632">
        <v>2.4780000000000002</v>
      </c>
      <c r="N155" s="632">
        <v>2.48</v>
      </c>
      <c r="O155" s="632">
        <v>2.48</v>
      </c>
      <c r="P155" s="632">
        <v>2.48</v>
      </c>
      <c r="Q155" s="632">
        <v>2.4780000000000002</v>
      </c>
      <c r="R155" s="632">
        <v>2.48</v>
      </c>
      <c r="S155" s="632">
        <v>2.48</v>
      </c>
      <c r="T155" s="632">
        <v>2.48</v>
      </c>
      <c r="U155" s="632">
        <v>2.4780000000000002</v>
      </c>
      <c r="V155" s="632">
        <v>2.48</v>
      </c>
      <c r="W155" s="632">
        <v>2.48</v>
      </c>
      <c r="X155" s="632">
        <v>2.48</v>
      </c>
      <c r="Y155" s="632">
        <v>2.4780000000000002</v>
      </c>
      <c r="Z155" s="632">
        <v>2.48</v>
      </c>
      <c r="AA155" s="632">
        <v>2.48</v>
      </c>
      <c r="AB155" s="632">
        <v>2.48</v>
      </c>
      <c r="AC155" s="632">
        <v>2.4780000000000002</v>
      </c>
      <c r="AD155" s="632">
        <v>2.48</v>
      </c>
      <c r="AE155" s="632">
        <v>2.48</v>
      </c>
      <c r="AF155" s="632">
        <v>2.48</v>
      </c>
      <c r="AG155" s="632">
        <v>2.4780000000000002</v>
      </c>
      <c r="AH155" s="632">
        <v>2.48</v>
      </c>
      <c r="AI155" s="632">
        <v>2.48</v>
      </c>
      <c r="AJ155" s="632">
        <v>2.48</v>
      </c>
      <c r="AK155" s="632">
        <v>2.4780000000000002</v>
      </c>
      <c r="AL155" s="632">
        <v>2.48</v>
      </c>
      <c r="AM155" s="632">
        <v>2.48</v>
      </c>
      <c r="AN155" s="632">
        <v>2.48</v>
      </c>
      <c r="AO155" s="632">
        <v>2.4780000000000002</v>
      </c>
      <c r="AP155" s="632">
        <v>2.48</v>
      </c>
      <c r="AQ155" s="632">
        <v>2.48</v>
      </c>
      <c r="AR155" s="632">
        <v>2.48</v>
      </c>
      <c r="AS155" s="632">
        <v>2.4780000000000002</v>
      </c>
      <c r="AT155" s="632">
        <v>2.48</v>
      </c>
      <c r="AU155" s="632">
        <v>2.48</v>
      </c>
      <c r="AV155" s="632">
        <v>2.48</v>
      </c>
      <c r="AW155" s="632">
        <v>2.4780000000000002</v>
      </c>
      <c r="AX155" s="632">
        <v>2.48</v>
      </c>
      <c r="AY155" s="632">
        <v>2.48</v>
      </c>
      <c r="AZ155" s="632">
        <v>2.48</v>
      </c>
      <c r="BA155" s="632">
        <v>2.4780000000000002</v>
      </c>
      <c r="BB155" s="632">
        <v>2.48</v>
      </c>
      <c r="BC155" s="632">
        <v>2.48</v>
      </c>
      <c r="BD155" s="632">
        <v>2.48</v>
      </c>
      <c r="BE155" s="632">
        <v>2.4780000000000002</v>
      </c>
      <c r="BF155" s="632">
        <v>2.48</v>
      </c>
      <c r="BG155" s="632">
        <v>2.48</v>
      </c>
      <c r="BH155" s="632">
        <v>2.48</v>
      </c>
      <c r="BI155" s="632">
        <v>2.4780000000000002</v>
      </c>
      <c r="BJ155" s="632">
        <v>2.48</v>
      </c>
      <c r="BK155" s="632">
        <v>2.48</v>
      </c>
      <c r="BL155" s="632">
        <v>2.48</v>
      </c>
      <c r="BM155" s="632">
        <v>2.4780000000000002</v>
      </c>
      <c r="BN155" s="632">
        <v>2.48</v>
      </c>
      <c r="BO155" s="632">
        <v>2.48</v>
      </c>
      <c r="BP155" s="632"/>
      <c r="BQ155" s="636"/>
      <c r="BR155" s="636"/>
      <c r="BS155" s="636"/>
      <c r="BT155" s="636"/>
      <c r="BU155" s="636"/>
      <c r="BV155" s="636"/>
      <c r="BW155" s="636"/>
      <c r="BX155" s="636"/>
      <c r="BY155" s="636"/>
      <c r="BZ155" s="636"/>
      <c r="CA155" s="636"/>
      <c r="CB155" s="636"/>
      <c r="CC155" s="636"/>
      <c r="CD155" s="636"/>
      <c r="CE155" s="636"/>
      <c r="CF155" s="636"/>
      <c r="CG155" s="636"/>
      <c r="CH155" s="636"/>
      <c r="CI155" s="637"/>
      <c r="CK155" s="1366"/>
    </row>
    <row r="156" spans="2:89" x14ac:dyDescent="0.25">
      <c r="B156" s="816" t="s">
        <v>653</v>
      </c>
      <c r="C156" s="817" t="s">
        <v>448</v>
      </c>
      <c r="D156" s="640" t="s">
        <v>449</v>
      </c>
      <c r="E156" s="641" t="s">
        <v>254</v>
      </c>
      <c r="F156" s="642">
        <v>2</v>
      </c>
      <c r="G156" s="635"/>
      <c r="H156" s="635"/>
      <c r="I156" s="635">
        <v>311.85700000000003</v>
      </c>
      <c r="J156" s="588">
        <f>I156+SUM(J157:J162)</f>
        <v>338.88349749460309</v>
      </c>
      <c r="K156" s="588">
        <f>J156+SUM(K157:K162)</f>
        <v>363.04690375375623</v>
      </c>
      <c r="L156" s="588">
        <f>K156+SUM(L157:L162)</f>
        <v>385.08281745301178</v>
      </c>
      <c r="M156" s="588">
        <f>L156+SUM(M157:M162)</f>
        <v>397.8486882167503</v>
      </c>
      <c r="N156" s="588">
        <f>M156+SUM(N157:N162)</f>
        <v>410.05941862172313</v>
      </c>
      <c r="O156" s="588">
        <f t="shared" ref="O156:BY156" si="82">N156+SUM(O157:O162)</f>
        <v>421.92717564358571</v>
      </c>
      <c r="P156" s="588">
        <f t="shared" si="82"/>
        <v>433.36886705202488</v>
      </c>
      <c r="Q156" s="588">
        <f t="shared" si="82"/>
        <v>444.59530035821803</v>
      </c>
      <c r="R156" s="588">
        <f t="shared" si="82"/>
        <v>455.22751952558116</v>
      </c>
      <c r="S156" s="588">
        <f t="shared" si="82"/>
        <v>465.57327769900888</v>
      </c>
      <c r="T156" s="588">
        <f t="shared" si="82"/>
        <v>475.64518333852482</v>
      </c>
      <c r="U156" s="588">
        <f t="shared" si="82"/>
        <v>485.45528994809371</v>
      </c>
      <c r="V156" s="588">
        <f t="shared" si="82"/>
        <v>494.91693244242902</v>
      </c>
      <c r="W156" s="588">
        <f t="shared" si="82"/>
        <v>504.13931467609251</v>
      </c>
      <c r="X156" s="588">
        <f t="shared" si="82"/>
        <v>512.93659147000926</v>
      </c>
      <c r="Y156" s="588">
        <f t="shared" si="82"/>
        <v>521.51520636762984</v>
      </c>
      <c r="Z156" s="588">
        <f t="shared" si="82"/>
        <v>529.8847836802446</v>
      </c>
      <c r="AA156" s="588">
        <f t="shared" si="82"/>
        <v>537.95633604978491</v>
      </c>
      <c r="AB156" s="588">
        <f t="shared" si="82"/>
        <v>545.64047115318965</v>
      </c>
      <c r="AC156" s="588">
        <f t="shared" si="82"/>
        <v>553.24016176416796</v>
      </c>
      <c r="AD156" s="588">
        <f t="shared" si="82"/>
        <v>560.76344637758234</v>
      </c>
      <c r="AE156" s="588">
        <f t="shared" si="82"/>
        <v>568.1198216179788</v>
      </c>
      <c r="AF156" s="588">
        <f t="shared" si="82"/>
        <v>575.41482199047744</v>
      </c>
      <c r="AG156" s="588">
        <f t="shared" si="82"/>
        <v>578.9495921270684</v>
      </c>
      <c r="AH156" s="588">
        <f t="shared" si="82"/>
        <v>582.38617420430967</v>
      </c>
      <c r="AI156" s="588">
        <f t="shared" si="82"/>
        <v>585.92094434090063</v>
      </c>
      <c r="AJ156" s="588">
        <f t="shared" si="82"/>
        <v>589.4557144774916</v>
      </c>
      <c r="AK156" s="588">
        <f t="shared" si="82"/>
        <v>592.89229655473287</v>
      </c>
      <c r="AL156" s="588">
        <f t="shared" si="82"/>
        <v>596.42706669132383</v>
      </c>
      <c r="AM156" s="588">
        <f t="shared" si="82"/>
        <v>599.96183682791491</v>
      </c>
      <c r="AN156" s="588">
        <f t="shared" si="82"/>
        <v>603.39841890515606</v>
      </c>
      <c r="AO156" s="588">
        <f t="shared" si="82"/>
        <v>606.93318904174703</v>
      </c>
      <c r="AP156" s="588">
        <f t="shared" si="82"/>
        <v>610.46795917833811</v>
      </c>
      <c r="AQ156" s="588">
        <f t="shared" si="82"/>
        <v>613.90454125557926</v>
      </c>
      <c r="AR156" s="588">
        <f t="shared" si="82"/>
        <v>617.43931139217023</v>
      </c>
      <c r="AS156" s="588">
        <f t="shared" si="82"/>
        <v>620.87589346941149</v>
      </c>
      <c r="AT156" s="588">
        <f t="shared" si="82"/>
        <v>624.41066360600246</v>
      </c>
      <c r="AU156" s="588">
        <f t="shared" si="82"/>
        <v>627.94543374259354</v>
      </c>
      <c r="AV156" s="588">
        <f t="shared" si="82"/>
        <v>631.38201581983469</v>
      </c>
      <c r="AW156" s="588">
        <f t="shared" si="82"/>
        <v>634.91678595642566</v>
      </c>
      <c r="AX156" s="588">
        <f t="shared" si="82"/>
        <v>638.45155609301673</v>
      </c>
      <c r="AY156" s="588">
        <f t="shared" si="82"/>
        <v>641.88813817025789</v>
      </c>
      <c r="AZ156" s="588">
        <f t="shared" si="82"/>
        <v>645.42290830684885</v>
      </c>
      <c r="BA156" s="588">
        <f t="shared" si="82"/>
        <v>648.85949038409012</v>
      </c>
      <c r="BB156" s="588">
        <f t="shared" si="82"/>
        <v>652.39426052068109</v>
      </c>
      <c r="BC156" s="588">
        <f t="shared" si="82"/>
        <v>655.92903065727205</v>
      </c>
      <c r="BD156" s="588">
        <f t="shared" si="82"/>
        <v>659.36561273451332</v>
      </c>
      <c r="BE156" s="588">
        <f t="shared" si="82"/>
        <v>662.90038287110428</v>
      </c>
      <c r="BF156" s="588">
        <f t="shared" si="82"/>
        <v>666.43515300769536</v>
      </c>
      <c r="BG156" s="588">
        <f t="shared" si="82"/>
        <v>669.87173508493652</v>
      </c>
      <c r="BH156" s="588">
        <f t="shared" si="82"/>
        <v>673.40650522152748</v>
      </c>
      <c r="BI156" s="588">
        <f t="shared" si="82"/>
        <v>676.94127535811856</v>
      </c>
      <c r="BJ156" s="588">
        <f t="shared" si="82"/>
        <v>680.37785743535972</v>
      </c>
      <c r="BK156" s="588">
        <f t="shared" si="82"/>
        <v>683.91262757195068</v>
      </c>
      <c r="BL156" s="588">
        <f t="shared" si="82"/>
        <v>687.34920964919195</v>
      </c>
      <c r="BM156" s="588">
        <f t="shared" si="82"/>
        <v>690.88397978578291</v>
      </c>
      <c r="BN156" s="588">
        <f t="shared" si="82"/>
        <v>694.41874992237399</v>
      </c>
      <c r="BO156" s="588">
        <f t="shared" si="82"/>
        <v>697.85533199961515</v>
      </c>
      <c r="BP156" s="588">
        <f t="shared" si="82"/>
        <v>697.85533199961515</v>
      </c>
      <c r="BQ156" s="588">
        <f t="shared" si="82"/>
        <v>697.85533199961515</v>
      </c>
      <c r="BR156" s="588">
        <f t="shared" si="82"/>
        <v>697.85533199961515</v>
      </c>
      <c r="BS156" s="588">
        <f t="shared" si="82"/>
        <v>697.85533199961515</v>
      </c>
      <c r="BT156" s="588">
        <f t="shared" si="82"/>
        <v>697.85533199961515</v>
      </c>
      <c r="BU156" s="588">
        <f t="shared" si="82"/>
        <v>697.85533199961515</v>
      </c>
      <c r="BV156" s="588">
        <f t="shared" si="82"/>
        <v>697.85533199961515</v>
      </c>
      <c r="BW156" s="588">
        <f t="shared" si="82"/>
        <v>697.85533199961515</v>
      </c>
      <c r="BX156" s="588">
        <f t="shared" si="82"/>
        <v>697.85533199961515</v>
      </c>
      <c r="BY156" s="588">
        <f t="shared" si="82"/>
        <v>697.85533199961515</v>
      </c>
      <c r="BZ156" s="588">
        <f t="shared" ref="BZ156:CI156" si="83">BY156+SUM(BZ157:BZ162)</f>
        <v>697.85533199961515</v>
      </c>
      <c r="CA156" s="588">
        <f t="shared" si="83"/>
        <v>697.85533199961515</v>
      </c>
      <c r="CB156" s="588">
        <f t="shared" si="83"/>
        <v>697.85533199961515</v>
      </c>
      <c r="CC156" s="588">
        <f t="shared" si="83"/>
        <v>697.85533199961515</v>
      </c>
      <c r="CD156" s="588">
        <f t="shared" si="83"/>
        <v>697.85533199961515</v>
      </c>
      <c r="CE156" s="588">
        <f t="shared" si="83"/>
        <v>697.85533199961515</v>
      </c>
      <c r="CF156" s="588">
        <f t="shared" si="83"/>
        <v>697.85533199961515</v>
      </c>
      <c r="CG156" s="588">
        <f t="shared" si="83"/>
        <v>697.85533199961515</v>
      </c>
      <c r="CH156" s="588">
        <f t="shared" si="83"/>
        <v>697.85533199961515</v>
      </c>
      <c r="CI156" s="584">
        <f t="shared" si="83"/>
        <v>697.85533199961515</v>
      </c>
      <c r="CK156" s="1366"/>
    </row>
    <row r="157" spans="2:89" x14ac:dyDescent="0.25">
      <c r="B157" s="816" t="s">
        <v>654</v>
      </c>
      <c r="C157" s="817" t="s">
        <v>451</v>
      </c>
      <c r="D157" s="640" t="s">
        <v>452</v>
      </c>
      <c r="E157" s="641" t="s">
        <v>254</v>
      </c>
      <c r="F157" s="642">
        <v>2</v>
      </c>
      <c r="G157" s="635"/>
      <c r="H157" s="635"/>
      <c r="I157" s="635"/>
      <c r="J157" s="635">
        <v>6</v>
      </c>
      <c r="K157" s="635">
        <v>5.4</v>
      </c>
      <c r="L157" s="635">
        <v>5.3</v>
      </c>
      <c r="M157" s="636">
        <v>4.7</v>
      </c>
      <c r="N157" s="636">
        <v>4.5</v>
      </c>
      <c r="O157" s="636">
        <v>4.5</v>
      </c>
      <c r="P157" s="636">
        <v>4.4000000000000004</v>
      </c>
      <c r="Q157" s="636">
        <v>4.5</v>
      </c>
      <c r="R157" s="636">
        <v>4.2</v>
      </c>
      <c r="S157" s="636">
        <v>4.2</v>
      </c>
      <c r="T157" s="636">
        <v>4.2</v>
      </c>
      <c r="U157" s="636">
        <v>4.2</v>
      </c>
      <c r="V157" s="636">
        <v>4.0999999999999996</v>
      </c>
      <c r="W157" s="636">
        <v>4.0999999999999996</v>
      </c>
      <c r="X157" s="636">
        <v>3.9</v>
      </c>
      <c r="Y157" s="636">
        <v>3.9</v>
      </c>
      <c r="Z157" s="636">
        <v>3.9</v>
      </c>
      <c r="AA157" s="636">
        <v>3.8</v>
      </c>
      <c r="AB157" s="636">
        <v>3.6</v>
      </c>
      <c r="AC157" s="636">
        <v>3.7</v>
      </c>
      <c r="AD157" s="636">
        <v>3.8</v>
      </c>
      <c r="AE157" s="636">
        <v>3.8</v>
      </c>
      <c r="AF157" s="636">
        <v>3.9</v>
      </c>
      <c r="AG157" s="636">
        <v>3.6</v>
      </c>
      <c r="AH157" s="636">
        <v>3.5</v>
      </c>
      <c r="AI157" s="636">
        <v>3.6</v>
      </c>
      <c r="AJ157" s="636">
        <v>3.6</v>
      </c>
      <c r="AK157" s="636">
        <v>3.4365820772412699</v>
      </c>
      <c r="AL157" s="636">
        <v>3.5347701365909305</v>
      </c>
      <c r="AM157" s="636">
        <v>3.5347701365910469</v>
      </c>
      <c r="AN157" s="636">
        <v>3.4365820772411535</v>
      </c>
      <c r="AO157" s="636">
        <v>3.5347701365909305</v>
      </c>
      <c r="AP157" s="636">
        <v>3.5347701365910469</v>
      </c>
      <c r="AQ157" s="636">
        <v>3.4365820772411535</v>
      </c>
      <c r="AR157" s="636">
        <v>3.5347701365909305</v>
      </c>
      <c r="AS157" s="636">
        <v>3.4365820772412699</v>
      </c>
      <c r="AT157" s="636">
        <v>3.5347701365909305</v>
      </c>
      <c r="AU157" s="636">
        <v>3.5347701365910469</v>
      </c>
      <c r="AV157" s="636">
        <v>3.4365820772411535</v>
      </c>
      <c r="AW157" s="636">
        <v>3.5347701365909305</v>
      </c>
      <c r="AX157" s="636">
        <v>3.5347701365910469</v>
      </c>
      <c r="AY157" s="636">
        <v>3.4365820772411535</v>
      </c>
      <c r="AZ157" s="636">
        <v>3.5347701365909305</v>
      </c>
      <c r="BA157" s="636">
        <v>3.4365820772412699</v>
      </c>
      <c r="BB157" s="636">
        <v>3.5347701365909305</v>
      </c>
      <c r="BC157" s="636">
        <v>3.5347701365909305</v>
      </c>
      <c r="BD157" s="636">
        <v>3.4365820772412699</v>
      </c>
      <c r="BE157" s="636">
        <v>3.5347701365909305</v>
      </c>
      <c r="BF157" s="636">
        <v>3.5347701365910469</v>
      </c>
      <c r="BG157" s="636">
        <v>3.4365820772411535</v>
      </c>
      <c r="BH157" s="636">
        <v>3.5347701365909305</v>
      </c>
      <c r="BI157" s="636">
        <v>3.5347701365910469</v>
      </c>
      <c r="BJ157" s="636">
        <v>3.4365820772411535</v>
      </c>
      <c r="BK157" s="636">
        <v>3.5347701365909305</v>
      </c>
      <c r="BL157" s="636">
        <v>3.4365820772412699</v>
      </c>
      <c r="BM157" s="636">
        <v>3.5347701365909305</v>
      </c>
      <c r="BN157" s="636">
        <v>3.5347701365910469</v>
      </c>
      <c r="BO157" s="636">
        <v>3.4365820772411535</v>
      </c>
      <c r="BP157" s="636"/>
      <c r="BQ157" s="636"/>
      <c r="BR157" s="636"/>
      <c r="BS157" s="636"/>
      <c r="BT157" s="636"/>
      <c r="BU157" s="636"/>
      <c r="BV157" s="636"/>
      <c r="BW157" s="636"/>
      <c r="BX157" s="636"/>
      <c r="BY157" s="636"/>
      <c r="BZ157" s="636"/>
      <c r="CA157" s="636"/>
      <c r="CB157" s="636"/>
      <c r="CC157" s="636"/>
      <c r="CD157" s="636"/>
      <c r="CE157" s="636"/>
      <c r="CF157" s="636"/>
      <c r="CG157" s="636"/>
      <c r="CH157" s="636"/>
      <c r="CI157" s="637"/>
      <c r="CK157" s="1366"/>
    </row>
    <row r="158" spans="2:89" x14ac:dyDescent="0.25">
      <c r="B158" s="816" t="s">
        <v>655</v>
      </c>
      <c r="C158" s="817" t="s">
        <v>454</v>
      </c>
      <c r="D158" s="640" t="s">
        <v>455</v>
      </c>
      <c r="E158" s="641" t="s">
        <v>254</v>
      </c>
      <c r="F158" s="642">
        <v>2</v>
      </c>
      <c r="G158" s="635"/>
      <c r="H158" s="635"/>
      <c r="I158" s="635"/>
      <c r="J158" s="635">
        <v>7.2810836051852057</v>
      </c>
      <c r="K158" s="635">
        <v>6.4974173528432777</v>
      </c>
      <c r="L158" s="635">
        <v>5.795334524198398</v>
      </c>
      <c r="M158" s="636">
        <v>2.0828374728794161</v>
      </c>
      <c r="N158" s="636">
        <v>1.9598589956312473</v>
      </c>
      <c r="O158" s="636">
        <v>1.8410937149457938</v>
      </c>
      <c r="P158" s="636">
        <v>1.7281832793051806</v>
      </c>
      <c r="Q158" s="636">
        <v>1.6190152830540412</v>
      </c>
      <c r="R158" s="636">
        <v>1.5171344185306557</v>
      </c>
      <c r="S158" s="636">
        <v>1.4179383233653269</v>
      </c>
      <c r="T158" s="636">
        <v>1.323108302558716</v>
      </c>
      <c r="U158" s="636">
        <v>1.232452185186321</v>
      </c>
      <c r="V158" s="636">
        <v>1.1464136998718588</v>
      </c>
      <c r="W158" s="636">
        <v>1.063562337594484</v>
      </c>
      <c r="X158" s="636">
        <v>0.98561252559185364</v>
      </c>
      <c r="Y158" s="636">
        <v>0.9098939924120335</v>
      </c>
      <c r="Z158" s="636">
        <v>0.83750817858619975</v>
      </c>
      <c r="AA158" s="636">
        <v>0.76893583710102598</v>
      </c>
      <c r="AB158" s="636">
        <v>0.70403673613860529</v>
      </c>
      <c r="AC158" s="636">
        <v>0.64016705122233408</v>
      </c>
      <c r="AD158" s="636">
        <v>1.2893039633979768</v>
      </c>
      <c r="AE158" s="636">
        <v>1.2315063630252141</v>
      </c>
      <c r="AF158" s="636">
        <v>1.1756252584693363</v>
      </c>
      <c r="AG158" s="636">
        <v>-2.258788412849792E-2</v>
      </c>
      <c r="AH158" s="636">
        <v>-2.1960442902676076E-2</v>
      </c>
      <c r="AI158" s="636">
        <v>-2.258788412849792E-2</v>
      </c>
      <c r="AJ158" s="636">
        <v>-2.258788412849792E-2</v>
      </c>
      <c r="AK158" s="636">
        <v>0</v>
      </c>
      <c r="AL158" s="636">
        <v>0</v>
      </c>
      <c r="AM158" s="636">
        <v>0</v>
      </c>
      <c r="AN158" s="636">
        <v>0</v>
      </c>
      <c r="AO158" s="636">
        <v>0</v>
      </c>
      <c r="AP158" s="636">
        <v>0</v>
      </c>
      <c r="AQ158" s="636">
        <v>0</v>
      </c>
      <c r="AR158" s="636">
        <v>0</v>
      </c>
      <c r="AS158" s="636">
        <v>0</v>
      </c>
      <c r="AT158" s="636">
        <v>0</v>
      </c>
      <c r="AU158" s="636">
        <v>0</v>
      </c>
      <c r="AV158" s="636">
        <v>0</v>
      </c>
      <c r="AW158" s="636">
        <v>0</v>
      </c>
      <c r="AX158" s="636">
        <v>0</v>
      </c>
      <c r="AY158" s="636">
        <v>0</v>
      </c>
      <c r="AZ158" s="636">
        <v>0</v>
      </c>
      <c r="BA158" s="636">
        <v>0</v>
      </c>
      <c r="BB158" s="636">
        <v>0</v>
      </c>
      <c r="BC158" s="636">
        <v>0</v>
      </c>
      <c r="BD158" s="636">
        <v>0</v>
      </c>
      <c r="BE158" s="636">
        <v>0</v>
      </c>
      <c r="BF158" s="636">
        <v>0</v>
      </c>
      <c r="BG158" s="636">
        <v>0</v>
      </c>
      <c r="BH158" s="636">
        <v>0</v>
      </c>
      <c r="BI158" s="636">
        <v>0</v>
      </c>
      <c r="BJ158" s="636">
        <v>0</v>
      </c>
      <c r="BK158" s="636">
        <v>0</v>
      </c>
      <c r="BL158" s="636">
        <v>0</v>
      </c>
      <c r="BM158" s="636">
        <v>0</v>
      </c>
      <c r="BN158" s="636">
        <v>0</v>
      </c>
      <c r="BO158" s="636">
        <v>0</v>
      </c>
      <c r="BP158" s="636"/>
      <c r="BQ158" s="636"/>
      <c r="BR158" s="636"/>
      <c r="BS158" s="636"/>
      <c r="BT158" s="636"/>
      <c r="BU158" s="636"/>
      <c r="BV158" s="636"/>
      <c r="BW158" s="636"/>
      <c r="BX158" s="636"/>
      <c r="BY158" s="636"/>
      <c r="BZ158" s="636"/>
      <c r="CA158" s="636"/>
      <c r="CB158" s="636"/>
      <c r="CC158" s="636"/>
      <c r="CD158" s="636"/>
      <c r="CE158" s="636"/>
      <c r="CF158" s="636"/>
      <c r="CG158" s="636"/>
      <c r="CH158" s="636"/>
      <c r="CI158" s="637"/>
      <c r="CK158" s="1366"/>
    </row>
    <row r="159" spans="2:89" x14ac:dyDescent="0.25">
      <c r="B159" s="816" t="s">
        <v>656</v>
      </c>
      <c r="C159" s="817" t="s">
        <v>457</v>
      </c>
      <c r="D159" s="640" t="s">
        <v>458</v>
      </c>
      <c r="E159" s="641" t="s">
        <v>254</v>
      </c>
      <c r="F159" s="642">
        <v>2</v>
      </c>
      <c r="G159" s="635"/>
      <c r="H159" s="635"/>
      <c r="I159" s="635"/>
      <c r="J159" s="635">
        <v>0</v>
      </c>
      <c r="K159" s="635">
        <v>0</v>
      </c>
      <c r="L159" s="635">
        <v>0</v>
      </c>
      <c r="M159" s="636">
        <v>2.0510000000000002</v>
      </c>
      <c r="N159" s="636">
        <v>2.0510000000000002</v>
      </c>
      <c r="O159" s="636">
        <v>2.0510000000000002</v>
      </c>
      <c r="P159" s="636">
        <v>2.0510000000000002</v>
      </c>
      <c r="Q159" s="636">
        <v>2.0510000000000002</v>
      </c>
      <c r="R159" s="636">
        <v>2.0510000000000002</v>
      </c>
      <c r="S159" s="636">
        <v>2.0510000000000002</v>
      </c>
      <c r="T159" s="636">
        <v>2.0510000000000002</v>
      </c>
      <c r="U159" s="636">
        <v>2.0510000000000002</v>
      </c>
      <c r="V159" s="636">
        <v>2.0510000000000002</v>
      </c>
      <c r="W159" s="636">
        <v>2.0510000000000002</v>
      </c>
      <c r="X159" s="636">
        <v>2.0510000000000002</v>
      </c>
      <c r="Y159" s="636">
        <v>2.0510000000000002</v>
      </c>
      <c r="Z159" s="636">
        <v>2.0510000000000002</v>
      </c>
      <c r="AA159" s="636">
        <v>2.0510000000000002</v>
      </c>
      <c r="AB159" s="636">
        <v>2.0510000000000002</v>
      </c>
      <c r="AC159" s="636">
        <v>2.0510000000000002</v>
      </c>
      <c r="AD159" s="636">
        <v>0</v>
      </c>
      <c r="AE159" s="636">
        <v>0</v>
      </c>
      <c r="AF159" s="636">
        <v>0</v>
      </c>
      <c r="AG159" s="636">
        <v>0</v>
      </c>
      <c r="AH159" s="636">
        <v>0</v>
      </c>
      <c r="AI159" s="636">
        <v>0</v>
      </c>
      <c r="AJ159" s="636">
        <v>0</v>
      </c>
      <c r="AK159" s="636">
        <v>0</v>
      </c>
      <c r="AL159" s="636">
        <v>0</v>
      </c>
      <c r="AM159" s="636">
        <v>0</v>
      </c>
      <c r="AN159" s="636">
        <v>0</v>
      </c>
      <c r="AO159" s="636">
        <v>0</v>
      </c>
      <c r="AP159" s="636">
        <v>0</v>
      </c>
      <c r="AQ159" s="636">
        <v>0</v>
      </c>
      <c r="AR159" s="636">
        <v>0</v>
      </c>
      <c r="AS159" s="636">
        <v>0</v>
      </c>
      <c r="AT159" s="636">
        <v>0</v>
      </c>
      <c r="AU159" s="636">
        <v>0</v>
      </c>
      <c r="AV159" s="636">
        <v>0</v>
      </c>
      <c r="AW159" s="636">
        <v>0</v>
      </c>
      <c r="AX159" s="636">
        <v>0</v>
      </c>
      <c r="AY159" s="636">
        <v>0</v>
      </c>
      <c r="AZ159" s="636">
        <v>0</v>
      </c>
      <c r="BA159" s="636">
        <v>0</v>
      </c>
      <c r="BB159" s="636">
        <v>0</v>
      </c>
      <c r="BC159" s="636">
        <v>0</v>
      </c>
      <c r="BD159" s="636">
        <v>0</v>
      </c>
      <c r="BE159" s="636">
        <v>0</v>
      </c>
      <c r="BF159" s="636">
        <v>0</v>
      </c>
      <c r="BG159" s="636">
        <v>0</v>
      </c>
      <c r="BH159" s="636">
        <v>0</v>
      </c>
      <c r="BI159" s="636">
        <v>0</v>
      </c>
      <c r="BJ159" s="636">
        <v>0</v>
      </c>
      <c r="BK159" s="636">
        <v>0</v>
      </c>
      <c r="BL159" s="636">
        <v>0</v>
      </c>
      <c r="BM159" s="636">
        <v>0</v>
      </c>
      <c r="BN159" s="636">
        <v>0</v>
      </c>
      <c r="BO159" s="636">
        <v>0</v>
      </c>
      <c r="BP159" s="636"/>
      <c r="BQ159" s="636"/>
      <c r="BR159" s="636"/>
      <c r="BS159" s="636"/>
      <c r="BT159" s="636"/>
      <c r="BU159" s="636"/>
      <c r="BV159" s="636"/>
      <c r="BW159" s="636"/>
      <c r="BX159" s="636"/>
      <c r="BY159" s="636"/>
      <c r="BZ159" s="636"/>
      <c r="CA159" s="636"/>
      <c r="CB159" s="636"/>
      <c r="CC159" s="636"/>
      <c r="CD159" s="636"/>
      <c r="CE159" s="636"/>
      <c r="CF159" s="636"/>
      <c r="CG159" s="636"/>
      <c r="CH159" s="636"/>
      <c r="CI159" s="637"/>
      <c r="CK159" s="1366"/>
    </row>
    <row r="160" spans="2:89" ht="27.6" x14ac:dyDescent="0.25">
      <c r="B160" s="816" t="s">
        <v>657</v>
      </c>
      <c r="C160" s="817" t="s">
        <v>460</v>
      </c>
      <c r="D160" s="640" t="s">
        <v>461</v>
      </c>
      <c r="E160" s="641" t="s">
        <v>254</v>
      </c>
      <c r="F160" s="642">
        <v>2</v>
      </c>
      <c r="G160" s="635"/>
      <c r="H160" s="635"/>
      <c r="I160" s="635"/>
      <c r="J160" s="635">
        <v>13.745413889417838</v>
      </c>
      <c r="K160" s="635">
        <v>12.265988906309879</v>
      </c>
      <c r="L160" s="635">
        <v>10.940579175057161</v>
      </c>
      <c r="M160" s="636">
        <v>3.9320332908591071</v>
      </c>
      <c r="N160" s="636">
        <v>3.6998714093415503</v>
      </c>
      <c r="O160" s="636">
        <v>3.4756633069168124</v>
      </c>
      <c r="P160" s="636">
        <v>3.2625081291340097</v>
      </c>
      <c r="Q160" s="636">
        <v>3.0564180231391127</v>
      </c>
      <c r="R160" s="636">
        <v>2.8640847488324761</v>
      </c>
      <c r="S160" s="636">
        <v>2.6768198500623925</v>
      </c>
      <c r="T160" s="636">
        <v>2.497797336957241</v>
      </c>
      <c r="U160" s="636">
        <v>2.3266544243825518</v>
      </c>
      <c r="V160" s="636">
        <v>2.1642287944634462</v>
      </c>
      <c r="W160" s="636">
        <v>2.0078198960690363</v>
      </c>
      <c r="X160" s="636">
        <v>1.8606642683249144</v>
      </c>
      <c r="Y160" s="636">
        <v>1.717720905208598</v>
      </c>
      <c r="Z160" s="636">
        <v>1.5810691340285692</v>
      </c>
      <c r="AA160" s="636">
        <v>1.4516165324392984</v>
      </c>
      <c r="AB160" s="636">
        <v>1.3290983672661496</v>
      </c>
      <c r="AC160" s="636">
        <v>1.2085235597559529</v>
      </c>
      <c r="AD160" s="636">
        <v>2.4339806500163417</v>
      </c>
      <c r="AE160" s="636">
        <v>2.3248688773712614</v>
      </c>
      <c r="AF160" s="636">
        <v>2.2193751140293094</v>
      </c>
      <c r="AG160" s="636">
        <v>-4.2641979280571458E-2</v>
      </c>
      <c r="AH160" s="636">
        <v>-4.1457479856054059E-2</v>
      </c>
      <c r="AI160" s="636">
        <v>-4.2641979280571458E-2</v>
      </c>
      <c r="AJ160" s="636">
        <v>-4.2641979280571458E-2</v>
      </c>
      <c r="AK160" s="636">
        <v>0</v>
      </c>
      <c r="AL160" s="636">
        <v>0</v>
      </c>
      <c r="AM160" s="636">
        <v>0</v>
      </c>
      <c r="AN160" s="636">
        <v>0</v>
      </c>
      <c r="AO160" s="636">
        <v>0</v>
      </c>
      <c r="AP160" s="636">
        <v>0</v>
      </c>
      <c r="AQ160" s="636">
        <v>0</v>
      </c>
      <c r="AR160" s="636">
        <v>0</v>
      </c>
      <c r="AS160" s="636">
        <v>0</v>
      </c>
      <c r="AT160" s="636">
        <v>0</v>
      </c>
      <c r="AU160" s="636">
        <v>0</v>
      </c>
      <c r="AV160" s="636">
        <v>0</v>
      </c>
      <c r="AW160" s="636">
        <v>0</v>
      </c>
      <c r="AX160" s="636">
        <v>0</v>
      </c>
      <c r="AY160" s="636">
        <v>0</v>
      </c>
      <c r="AZ160" s="636">
        <v>0</v>
      </c>
      <c r="BA160" s="636">
        <v>0</v>
      </c>
      <c r="BB160" s="636">
        <v>0</v>
      </c>
      <c r="BC160" s="636">
        <v>0</v>
      </c>
      <c r="BD160" s="636">
        <v>0</v>
      </c>
      <c r="BE160" s="636">
        <v>0</v>
      </c>
      <c r="BF160" s="636">
        <v>0</v>
      </c>
      <c r="BG160" s="636">
        <v>0</v>
      </c>
      <c r="BH160" s="636">
        <v>0</v>
      </c>
      <c r="BI160" s="636">
        <v>0</v>
      </c>
      <c r="BJ160" s="636">
        <v>0</v>
      </c>
      <c r="BK160" s="636">
        <v>0</v>
      </c>
      <c r="BL160" s="636">
        <v>0</v>
      </c>
      <c r="BM160" s="636">
        <v>0</v>
      </c>
      <c r="BN160" s="636">
        <v>0</v>
      </c>
      <c r="BO160" s="636">
        <v>0</v>
      </c>
      <c r="BP160" s="636"/>
      <c r="BQ160" s="636"/>
      <c r="BR160" s="636"/>
      <c r="BS160" s="636"/>
      <c r="BT160" s="636"/>
      <c r="BU160" s="636"/>
      <c r="BV160" s="636"/>
      <c r="BW160" s="636"/>
      <c r="BX160" s="636"/>
      <c r="BY160" s="636"/>
      <c r="BZ160" s="636"/>
      <c r="CA160" s="636"/>
      <c r="CB160" s="636"/>
      <c r="CC160" s="636"/>
      <c r="CD160" s="636"/>
      <c r="CE160" s="636"/>
      <c r="CF160" s="636"/>
      <c r="CG160" s="636"/>
      <c r="CH160" s="636"/>
      <c r="CI160" s="637"/>
      <c r="CK160" s="1366"/>
    </row>
    <row r="161" spans="2:89" x14ac:dyDescent="0.25">
      <c r="B161" s="816" t="s">
        <v>658</v>
      </c>
      <c r="C161" s="817" t="s">
        <v>463</v>
      </c>
      <c r="D161" s="640" t="s">
        <v>464</v>
      </c>
      <c r="E161" s="641" t="s">
        <v>254</v>
      </c>
      <c r="F161" s="642">
        <v>2</v>
      </c>
      <c r="G161" s="635"/>
      <c r="H161" s="635"/>
      <c r="I161" s="635"/>
      <c r="J161" s="635"/>
      <c r="K161" s="635"/>
      <c r="L161" s="635"/>
      <c r="M161" s="636"/>
      <c r="N161" s="636"/>
      <c r="O161" s="636"/>
      <c r="P161" s="636"/>
      <c r="Q161" s="636"/>
      <c r="R161" s="636"/>
      <c r="S161" s="636"/>
      <c r="T161" s="636"/>
      <c r="U161" s="636"/>
      <c r="V161" s="636"/>
      <c r="W161" s="636"/>
      <c r="X161" s="636"/>
      <c r="Y161" s="636"/>
      <c r="Z161" s="636"/>
      <c r="AA161" s="636"/>
      <c r="AB161" s="636"/>
      <c r="AC161" s="636"/>
      <c r="AD161" s="636"/>
      <c r="AE161" s="636"/>
      <c r="AF161" s="636"/>
      <c r="AG161" s="636"/>
      <c r="AH161" s="636"/>
      <c r="AI161" s="636"/>
      <c r="AJ161" s="636"/>
      <c r="AK161" s="636"/>
      <c r="AL161" s="636"/>
      <c r="AM161" s="636"/>
      <c r="AN161" s="636"/>
      <c r="AO161" s="636"/>
      <c r="AP161" s="636"/>
      <c r="AQ161" s="636"/>
      <c r="AR161" s="636"/>
      <c r="AS161" s="636"/>
      <c r="AT161" s="636"/>
      <c r="AU161" s="636"/>
      <c r="AV161" s="636"/>
      <c r="AW161" s="636"/>
      <c r="AX161" s="636"/>
      <c r="AY161" s="636"/>
      <c r="AZ161" s="636"/>
      <c r="BA161" s="636"/>
      <c r="BB161" s="636"/>
      <c r="BC161" s="636"/>
      <c r="BD161" s="636"/>
      <c r="BE161" s="636"/>
      <c r="BF161" s="636"/>
      <c r="BG161" s="636"/>
      <c r="BH161" s="636"/>
      <c r="BI161" s="636"/>
      <c r="BJ161" s="636"/>
      <c r="BK161" s="636"/>
      <c r="BL161" s="636"/>
      <c r="BM161" s="636"/>
      <c r="BN161" s="636"/>
      <c r="BO161" s="636"/>
      <c r="BP161" s="636"/>
      <c r="BQ161" s="636"/>
      <c r="BR161" s="636"/>
      <c r="BS161" s="636"/>
      <c r="BT161" s="636"/>
      <c r="BU161" s="636"/>
      <c r="BV161" s="636"/>
      <c r="BW161" s="636"/>
      <c r="BX161" s="636"/>
      <c r="BY161" s="636"/>
      <c r="BZ161" s="636"/>
      <c r="CA161" s="636"/>
      <c r="CB161" s="636"/>
      <c r="CC161" s="636"/>
      <c r="CD161" s="636"/>
      <c r="CE161" s="636"/>
      <c r="CF161" s="636"/>
      <c r="CG161" s="636"/>
      <c r="CH161" s="636"/>
      <c r="CI161" s="637"/>
      <c r="CK161" s="1366"/>
    </row>
    <row r="162" spans="2:89" ht="27.6" x14ac:dyDescent="0.25">
      <c r="B162" s="816" t="s">
        <v>659</v>
      </c>
      <c r="C162" s="817" t="s">
        <v>466</v>
      </c>
      <c r="D162" s="640" t="s">
        <v>467</v>
      </c>
      <c r="E162" s="641" t="s">
        <v>254</v>
      </c>
      <c r="F162" s="642">
        <v>2</v>
      </c>
      <c r="G162" s="635"/>
      <c r="H162" s="635"/>
      <c r="I162" s="635"/>
      <c r="J162" s="635"/>
      <c r="K162" s="635"/>
      <c r="L162" s="635"/>
      <c r="M162" s="636"/>
      <c r="N162" s="636"/>
      <c r="O162" s="636"/>
      <c r="P162" s="636"/>
      <c r="Q162" s="636"/>
      <c r="R162" s="636"/>
      <c r="S162" s="636"/>
      <c r="T162" s="636"/>
      <c r="U162" s="636"/>
      <c r="V162" s="636"/>
      <c r="W162" s="636"/>
      <c r="X162" s="636"/>
      <c r="Y162" s="636"/>
      <c r="Z162" s="636"/>
      <c r="AA162" s="636"/>
      <c r="AB162" s="636"/>
      <c r="AC162" s="636"/>
      <c r="AD162" s="636"/>
      <c r="AE162" s="636"/>
      <c r="AF162" s="636"/>
      <c r="AG162" s="636"/>
      <c r="AH162" s="636"/>
      <c r="AI162" s="636"/>
      <c r="AJ162" s="636"/>
      <c r="AK162" s="636"/>
      <c r="AL162" s="636"/>
      <c r="AM162" s="636"/>
      <c r="AN162" s="636"/>
      <c r="AO162" s="636"/>
      <c r="AP162" s="636"/>
      <c r="AQ162" s="636"/>
      <c r="AR162" s="636"/>
      <c r="AS162" s="636"/>
      <c r="AT162" s="636"/>
      <c r="AU162" s="636"/>
      <c r="AV162" s="636"/>
      <c r="AW162" s="636"/>
      <c r="AX162" s="636"/>
      <c r="AY162" s="636"/>
      <c r="AZ162" s="636"/>
      <c r="BA162" s="636"/>
      <c r="BB162" s="636"/>
      <c r="BC162" s="636"/>
      <c r="BD162" s="636"/>
      <c r="BE162" s="636"/>
      <c r="BF162" s="636"/>
      <c r="BG162" s="636"/>
      <c r="BH162" s="636"/>
      <c r="BI162" s="636"/>
      <c r="BJ162" s="636"/>
      <c r="BK162" s="636"/>
      <c r="BL162" s="636"/>
      <c r="BM162" s="636"/>
      <c r="BN162" s="636"/>
      <c r="BO162" s="636"/>
      <c r="BP162" s="636"/>
      <c r="BQ162" s="636"/>
      <c r="BR162" s="636"/>
      <c r="BS162" s="636"/>
      <c r="BT162" s="636"/>
      <c r="BU162" s="636"/>
      <c r="BV162" s="636"/>
      <c r="BW162" s="636"/>
      <c r="BX162" s="636"/>
      <c r="BY162" s="636"/>
      <c r="BZ162" s="636"/>
      <c r="CA162" s="636"/>
      <c r="CB162" s="636"/>
      <c r="CC162" s="636"/>
      <c r="CD162" s="636"/>
      <c r="CE162" s="636"/>
      <c r="CF162" s="636"/>
      <c r="CG162" s="636"/>
      <c r="CH162" s="636"/>
      <c r="CI162" s="637"/>
      <c r="CK162" s="1366"/>
    </row>
    <row r="163" spans="2:89" x14ac:dyDescent="0.25">
      <c r="B163" s="816" t="s">
        <v>660</v>
      </c>
      <c r="C163" s="817" t="s">
        <v>469</v>
      </c>
      <c r="D163" s="736" t="s">
        <v>79</v>
      </c>
      <c r="E163" s="798" t="s">
        <v>254</v>
      </c>
      <c r="F163" s="799">
        <v>2</v>
      </c>
      <c r="G163" s="635"/>
      <c r="H163" s="635"/>
      <c r="I163" s="635">
        <v>4.9820000000000002</v>
      </c>
      <c r="J163" s="635">
        <v>5.5639025053969204</v>
      </c>
      <c r="K163" s="635">
        <v>6.0840227135458296</v>
      </c>
      <c r="L163" s="635">
        <v>6.5568978656229371</v>
      </c>
      <c r="M163" s="635">
        <v>6.8245485825122296</v>
      </c>
      <c r="N163" s="635">
        <v>7.0805432193237285</v>
      </c>
      <c r="O163" s="635">
        <v>7.3288591912048737</v>
      </c>
      <c r="P163" s="635">
        <v>7.5680225307089479</v>
      </c>
      <c r="Q163" s="635">
        <v>7.8019802165917485</v>
      </c>
      <c r="R163" s="635">
        <v>8.023793362709128</v>
      </c>
      <c r="S163" s="635">
        <v>8.2391930724015037</v>
      </c>
      <c r="T163" s="635">
        <v>8.4484616303725186</v>
      </c>
      <c r="U163" s="635">
        <v>8.6518688966834461</v>
      </c>
      <c r="V163" s="635">
        <v>8.8478609129683488</v>
      </c>
      <c r="W163" s="635">
        <v>9.0384962471801806</v>
      </c>
      <c r="X163" s="635">
        <v>9.2203867901242589</v>
      </c>
      <c r="Y163" s="635">
        <v>9.3973818177969601</v>
      </c>
      <c r="Z163" s="635">
        <v>9.56969680424152</v>
      </c>
      <c r="AA163" s="635">
        <v>9.7357257988516412</v>
      </c>
      <c r="AB163" s="635">
        <v>9.8938537844559917</v>
      </c>
      <c r="AC163" s="635">
        <v>10.049704838980233</v>
      </c>
      <c r="AD163" s="635">
        <v>10.203458932391809</v>
      </c>
      <c r="AE163" s="635">
        <v>10.353476172705587</v>
      </c>
      <c r="AF163" s="635">
        <v>10.501732976587377</v>
      </c>
      <c r="AG163" s="635">
        <v>10.566962839996414</v>
      </c>
      <c r="AH163" s="635">
        <v>10.630380762755198</v>
      </c>
      <c r="AI163" s="635">
        <v>10.695610626164234</v>
      </c>
      <c r="AJ163" s="635">
        <v>10.760840489573273</v>
      </c>
      <c r="AK163" s="635">
        <v>10.824258412332057</v>
      </c>
      <c r="AL163" s="635">
        <v>10.889488275741094</v>
      </c>
      <c r="AM163" s="635">
        <v>10.954718139150133</v>
      </c>
      <c r="AN163" s="635">
        <v>11.018136061908917</v>
      </c>
      <c r="AO163" s="635">
        <v>11.083365925317954</v>
      </c>
      <c r="AP163" s="635">
        <v>11.148595788726992</v>
      </c>
      <c r="AQ163" s="635">
        <v>11.212013711485778</v>
      </c>
      <c r="AR163" s="635">
        <v>11.277243574894813</v>
      </c>
      <c r="AS163" s="635">
        <v>11.340661497653601</v>
      </c>
      <c r="AT163" s="635">
        <v>11.405891361062636</v>
      </c>
      <c r="AU163" s="635">
        <v>11.471121224471673</v>
      </c>
      <c r="AV163" s="635">
        <v>11.534539147230459</v>
      </c>
      <c r="AW163" s="635">
        <v>11.599769010639497</v>
      </c>
      <c r="AX163" s="635">
        <v>11.664998874048534</v>
      </c>
      <c r="AY163" s="635">
        <v>11.72841679680732</v>
      </c>
      <c r="AZ163" s="635">
        <v>11.793646660216357</v>
      </c>
      <c r="BA163" s="635">
        <v>11.857064582975143</v>
      </c>
      <c r="BB163" s="635">
        <v>11.92229444638418</v>
      </c>
      <c r="BC163" s="635">
        <v>11.987524309793216</v>
      </c>
      <c r="BD163" s="635">
        <v>12.050942232552003</v>
      </c>
      <c r="BE163" s="635">
        <v>12.116172095961039</v>
      </c>
      <c r="BF163" s="635">
        <v>12.181401959370076</v>
      </c>
      <c r="BG163" s="635">
        <v>12.244819882128862</v>
      </c>
      <c r="BH163" s="635">
        <v>12.310049745537899</v>
      </c>
      <c r="BI163" s="635">
        <v>12.375279608946936</v>
      </c>
      <c r="BJ163" s="635">
        <v>12.438697531705722</v>
      </c>
      <c r="BK163" s="635">
        <v>12.50392739511476</v>
      </c>
      <c r="BL163" s="635">
        <v>12.567345317873546</v>
      </c>
      <c r="BM163" s="635">
        <v>12.632575181282583</v>
      </c>
      <c r="BN163" s="635">
        <v>12.697805044691618</v>
      </c>
      <c r="BO163" s="635">
        <v>12.761222967450403</v>
      </c>
      <c r="BP163" s="636"/>
      <c r="BQ163" s="636"/>
      <c r="BR163" s="636"/>
      <c r="BS163" s="636"/>
      <c r="BT163" s="636"/>
      <c r="BU163" s="636"/>
      <c r="BV163" s="636"/>
      <c r="BW163" s="636"/>
      <c r="BX163" s="636"/>
      <c r="BY163" s="636"/>
      <c r="BZ163" s="636"/>
      <c r="CA163" s="636"/>
      <c r="CB163" s="636"/>
      <c r="CC163" s="636"/>
      <c r="CD163" s="636"/>
      <c r="CE163" s="636"/>
      <c r="CF163" s="636"/>
      <c r="CG163" s="636"/>
      <c r="CH163" s="636"/>
      <c r="CI163" s="637"/>
      <c r="CK163" s="1366"/>
    </row>
    <row r="164" spans="2:89" x14ac:dyDescent="0.25">
      <c r="B164" s="816" t="s">
        <v>661</v>
      </c>
      <c r="C164" s="817" t="s">
        <v>471</v>
      </c>
      <c r="D164" s="736" t="s">
        <v>79</v>
      </c>
      <c r="E164" s="798" t="s">
        <v>254</v>
      </c>
      <c r="F164" s="799">
        <v>2</v>
      </c>
      <c r="G164" s="635"/>
      <c r="H164" s="635"/>
      <c r="I164" s="635">
        <v>196.44</v>
      </c>
      <c r="J164" s="635">
        <v>175.30478606638187</v>
      </c>
      <c r="K164" s="635">
        <v>156.44353501211523</v>
      </c>
      <c r="L164" s="635">
        <v>139.61158845839634</v>
      </c>
      <c r="M164" s="635">
        <v>131.460556484096</v>
      </c>
      <c r="N164" s="635">
        <v>123.6682887498619</v>
      </c>
      <c r="O164" s="635">
        <v>116.21899439873796</v>
      </c>
      <c r="P164" s="635">
        <v>109.09757760168779</v>
      </c>
      <c r="Q164" s="635">
        <v>102.28960696623335</v>
      </c>
      <c r="R164" s="635">
        <v>95.781286291559695</v>
      </c>
      <c r="S164" s="635">
        <v>89.559426610821333</v>
      </c>
      <c r="T164" s="635">
        <v>83.611419463994835</v>
      </c>
      <c r="U164" s="635">
        <v>77.925211347115464</v>
      </c>
      <c r="V164" s="635">
        <v>72.489279286119867</v>
      </c>
      <c r="W164" s="635">
        <v>67.292607485796026</v>
      </c>
      <c r="X164" s="635">
        <v>62.324665006519496</v>
      </c>
      <c r="Y164" s="635">
        <v>57.575384423539035</v>
      </c>
      <c r="Z164" s="635">
        <v>53.035141425564547</v>
      </c>
      <c r="AA164" s="635">
        <v>48.694735311314723</v>
      </c>
      <c r="AB164" s="635">
        <v>44.545370344500874</v>
      </c>
      <c r="AC164" s="635">
        <v>40.578637929463284</v>
      </c>
      <c r="AD164" s="635">
        <v>36.786499571339476</v>
      </c>
      <c r="AE164" s="635">
        <v>33.161270586233442</v>
      </c>
      <c r="AF164" s="635">
        <v>29.695604528374936</v>
      </c>
      <c r="AG164" s="635">
        <v>29.695604528374936</v>
      </c>
      <c r="AH164" s="635">
        <v>29.695604528374936</v>
      </c>
      <c r="AI164" s="635">
        <v>29.695604528374936</v>
      </c>
      <c r="AJ164" s="635">
        <v>29.695604528374936</v>
      </c>
      <c r="AK164" s="635">
        <v>29.695604528374936</v>
      </c>
      <c r="AL164" s="635">
        <v>29.695604528374936</v>
      </c>
      <c r="AM164" s="635">
        <v>29.695604528374936</v>
      </c>
      <c r="AN164" s="635">
        <v>29.695604528374936</v>
      </c>
      <c r="AO164" s="635">
        <v>29.695604528374936</v>
      </c>
      <c r="AP164" s="635">
        <v>29.695604528374936</v>
      </c>
      <c r="AQ164" s="635">
        <v>29.695604528374936</v>
      </c>
      <c r="AR164" s="635">
        <v>29.695604528374936</v>
      </c>
      <c r="AS164" s="635">
        <v>29.695604528374936</v>
      </c>
      <c r="AT164" s="635">
        <v>29.695604528374936</v>
      </c>
      <c r="AU164" s="635">
        <v>29.695604528374936</v>
      </c>
      <c r="AV164" s="635">
        <v>29.695604528374936</v>
      </c>
      <c r="AW164" s="635">
        <v>29.695604528374936</v>
      </c>
      <c r="AX164" s="635">
        <v>29.695604528374936</v>
      </c>
      <c r="AY164" s="635">
        <v>29.695604528374936</v>
      </c>
      <c r="AZ164" s="635">
        <v>29.695604528374936</v>
      </c>
      <c r="BA164" s="635">
        <v>29.695604528374936</v>
      </c>
      <c r="BB164" s="635">
        <v>29.695604528374936</v>
      </c>
      <c r="BC164" s="635">
        <v>29.695604528374936</v>
      </c>
      <c r="BD164" s="635">
        <v>29.695604528374936</v>
      </c>
      <c r="BE164" s="635">
        <v>29.695604528374936</v>
      </c>
      <c r="BF164" s="635">
        <v>29.695604528374936</v>
      </c>
      <c r="BG164" s="635">
        <v>29.695604528374936</v>
      </c>
      <c r="BH164" s="635">
        <v>29.695604528374936</v>
      </c>
      <c r="BI164" s="635">
        <v>29.695604528374936</v>
      </c>
      <c r="BJ164" s="635">
        <v>29.695604528374936</v>
      </c>
      <c r="BK164" s="635">
        <v>29.695604528374936</v>
      </c>
      <c r="BL164" s="635">
        <v>29.695604528374936</v>
      </c>
      <c r="BM164" s="635">
        <v>29.695604528374936</v>
      </c>
      <c r="BN164" s="635">
        <v>29.695604528374936</v>
      </c>
      <c r="BO164" s="635">
        <v>29.695604528374936</v>
      </c>
      <c r="BP164" s="636"/>
      <c r="BQ164" s="636"/>
      <c r="BR164" s="636"/>
      <c r="BS164" s="636"/>
      <c r="BT164" s="636"/>
      <c r="BU164" s="636"/>
      <c r="BV164" s="636"/>
      <c r="BW164" s="636"/>
      <c r="BX164" s="636"/>
      <c r="BY164" s="636"/>
      <c r="BZ164" s="636"/>
      <c r="CA164" s="636"/>
      <c r="CB164" s="636"/>
      <c r="CC164" s="636"/>
      <c r="CD164" s="636"/>
      <c r="CE164" s="636"/>
      <c r="CF164" s="636"/>
      <c r="CG164" s="636"/>
      <c r="CH164" s="636"/>
      <c r="CI164" s="637"/>
      <c r="CK164" s="1366"/>
    </row>
    <row r="165" spans="2:89" x14ac:dyDescent="0.25">
      <c r="B165" s="816" t="s">
        <v>662</v>
      </c>
      <c r="C165" s="817" t="s">
        <v>473</v>
      </c>
      <c r="D165" s="736" t="s">
        <v>79</v>
      </c>
      <c r="E165" s="798" t="s">
        <v>254</v>
      </c>
      <c r="F165" s="799">
        <v>2</v>
      </c>
      <c r="G165" s="635"/>
      <c r="H165" s="635"/>
      <c r="I165" s="635">
        <v>4.3979999999999997</v>
      </c>
      <c r="J165" s="635">
        <v>3.9248139336181405</v>
      </c>
      <c r="K165" s="635">
        <v>3.5025385205827875</v>
      </c>
      <c r="L165" s="635">
        <v>3.1256962229689838</v>
      </c>
      <c r="M165" s="635">
        <v>2.9432067166414901</v>
      </c>
      <c r="N165" s="635">
        <v>2.7687494090912881</v>
      </c>
      <c r="O165" s="635">
        <v>2.6019707664714393</v>
      </c>
      <c r="P165" s="635">
        <v>2.4425328155784101</v>
      </c>
      <c r="Q165" s="635">
        <v>2.2901124589569042</v>
      </c>
      <c r="R165" s="635">
        <v>2.1444008201500688</v>
      </c>
      <c r="S165" s="635">
        <v>2.0051026177682356</v>
      </c>
      <c r="T165" s="635">
        <v>1.8719355671077647</v>
      </c>
      <c r="U165" s="635">
        <v>1.7446298081073801</v>
      </c>
      <c r="V165" s="635">
        <v>1.6229273584827693</v>
      </c>
      <c r="W165" s="635">
        <v>1.5065815909312306</v>
      </c>
      <c r="X165" s="635">
        <v>1.3953567333469394</v>
      </c>
      <c r="Y165" s="635">
        <v>1.2890273910340291</v>
      </c>
      <c r="Z165" s="635">
        <v>1.1873780899492612</v>
      </c>
      <c r="AA165" s="635">
        <v>1.0902028400486772</v>
      </c>
      <c r="AB165" s="635">
        <v>0.99730471785336416</v>
      </c>
      <c r="AC165" s="635">
        <v>0.90849546738841147</v>
      </c>
      <c r="AD165" s="635">
        <v>0.82359511868637258</v>
      </c>
      <c r="AE165" s="635">
        <v>0.74243162308213539</v>
      </c>
      <c r="AF165" s="635">
        <v>0.66484050456013533</v>
      </c>
      <c r="AG165" s="635">
        <v>0.66484050456013533</v>
      </c>
      <c r="AH165" s="635">
        <v>0.66484050456013533</v>
      </c>
      <c r="AI165" s="635">
        <v>0.66484050456013533</v>
      </c>
      <c r="AJ165" s="635">
        <v>0.66484050456013533</v>
      </c>
      <c r="AK165" s="635">
        <v>0.66484050456013533</v>
      </c>
      <c r="AL165" s="635">
        <v>0.66484050456013533</v>
      </c>
      <c r="AM165" s="635">
        <v>0.66484050456013533</v>
      </c>
      <c r="AN165" s="635">
        <v>0.66484050456013533</v>
      </c>
      <c r="AO165" s="635">
        <v>0.66484050456013533</v>
      </c>
      <c r="AP165" s="635">
        <v>0.66484050456013533</v>
      </c>
      <c r="AQ165" s="635">
        <v>0.66484050456013533</v>
      </c>
      <c r="AR165" s="635">
        <v>0.66484050456013533</v>
      </c>
      <c r="AS165" s="635">
        <v>0.66484050456013533</v>
      </c>
      <c r="AT165" s="635">
        <v>0.66484050456013533</v>
      </c>
      <c r="AU165" s="635">
        <v>0.66484050456013533</v>
      </c>
      <c r="AV165" s="635">
        <v>0.66484050456013533</v>
      </c>
      <c r="AW165" s="635">
        <v>0.66484050456013533</v>
      </c>
      <c r="AX165" s="635">
        <v>0.66484050456013533</v>
      </c>
      <c r="AY165" s="635">
        <v>0.66484050456013533</v>
      </c>
      <c r="AZ165" s="635">
        <v>0.66484050456013533</v>
      </c>
      <c r="BA165" s="635">
        <v>0.66484050456013533</v>
      </c>
      <c r="BB165" s="635">
        <v>0.66484050456013533</v>
      </c>
      <c r="BC165" s="635">
        <v>0.66484050456013533</v>
      </c>
      <c r="BD165" s="635">
        <v>0.66484050456013533</v>
      </c>
      <c r="BE165" s="635">
        <v>0.66484050456013533</v>
      </c>
      <c r="BF165" s="635">
        <v>0.66484050456013533</v>
      </c>
      <c r="BG165" s="635">
        <v>0.66484050456013533</v>
      </c>
      <c r="BH165" s="635">
        <v>0.66484050456013533</v>
      </c>
      <c r="BI165" s="635">
        <v>0.66484050456013533</v>
      </c>
      <c r="BJ165" s="635">
        <v>0.66484050456013533</v>
      </c>
      <c r="BK165" s="635">
        <v>0.66484050456013533</v>
      </c>
      <c r="BL165" s="635">
        <v>0.66484050456013533</v>
      </c>
      <c r="BM165" s="635">
        <v>0.66484050456013533</v>
      </c>
      <c r="BN165" s="635">
        <v>0.66484050456013533</v>
      </c>
      <c r="BO165" s="635">
        <v>0.66484050456013533</v>
      </c>
      <c r="BP165" s="636"/>
      <c r="BQ165" s="636"/>
      <c r="BR165" s="636"/>
      <c r="BS165" s="636"/>
      <c r="BT165" s="636"/>
      <c r="BU165" s="636"/>
      <c r="BV165" s="636"/>
      <c r="BW165" s="636"/>
      <c r="BX165" s="636"/>
      <c r="BY165" s="636"/>
      <c r="BZ165" s="636"/>
      <c r="CA165" s="636"/>
      <c r="CB165" s="636"/>
      <c r="CC165" s="636"/>
      <c r="CD165" s="636"/>
      <c r="CE165" s="636"/>
      <c r="CF165" s="636"/>
      <c r="CG165" s="636"/>
      <c r="CH165" s="636"/>
      <c r="CI165" s="637"/>
      <c r="CK165" s="1366"/>
    </row>
    <row r="166" spans="2:89" ht="28.2" thickBot="1" x14ac:dyDescent="0.3">
      <c r="B166" s="818" t="s">
        <v>663</v>
      </c>
      <c r="C166" s="819" t="s">
        <v>475</v>
      </c>
      <c r="D166" s="820" t="s">
        <v>664</v>
      </c>
      <c r="E166" s="821" t="s">
        <v>254</v>
      </c>
      <c r="F166" s="822">
        <v>2</v>
      </c>
      <c r="G166" s="779"/>
      <c r="H166" s="779"/>
      <c r="I166" s="779">
        <f>SUM(I153:I156)+I163+I164+I165</f>
        <v>551.05600000000015</v>
      </c>
      <c r="J166" s="779">
        <f t="shared" ref="J166:BS166" si="84">SUM(J153:J156)+J163+J164+J165</f>
        <v>557.1498612403575</v>
      </c>
      <c r="K166" s="779">
        <f t="shared" si="84"/>
        <v>562.69890047203012</v>
      </c>
      <c r="L166" s="779">
        <f t="shared" si="84"/>
        <v>568.08634239788614</v>
      </c>
      <c r="M166" s="779">
        <f t="shared" si="84"/>
        <v>572.8569697467982</v>
      </c>
      <c r="N166" s="779">
        <f t="shared" si="84"/>
        <v>577.4122621579113</v>
      </c>
      <c r="O166" s="779">
        <f t="shared" si="84"/>
        <v>581.96339552008919</v>
      </c>
      <c r="P166" s="779">
        <f t="shared" si="84"/>
        <v>586.42428606022281</v>
      </c>
      <c r="Q166" s="779">
        <f t="shared" si="84"/>
        <v>590.98964634683682</v>
      </c>
      <c r="R166" s="779">
        <f t="shared" si="84"/>
        <v>595.24659511219556</v>
      </c>
      <c r="S166" s="779">
        <f t="shared" si="84"/>
        <v>599.50424635601871</v>
      </c>
      <c r="T166" s="779">
        <f t="shared" si="84"/>
        <v>603.75950490954676</v>
      </c>
      <c r="U166" s="779">
        <f t="shared" si="84"/>
        <v>608.01672927527784</v>
      </c>
      <c r="V166" s="779">
        <f t="shared" si="84"/>
        <v>612.16366041552249</v>
      </c>
      <c r="W166" s="779">
        <f t="shared" si="84"/>
        <v>616.31262460926791</v>
      </c>
      <c r="X166" s="779">
        <f t="shared" si="84"/>
        <v>620.25584607287078</v>
      </c>
      <c r="Y166" s="779">
        <f t="shared" si="84"/>
        <v>624.25448421631711</v>
      </c>
      <c r="Z166" s="779">
        <f t="shared" si="84"/>
        <v>628.27401588319935</v>
      </c>
      <c r="AA166" s="779">
        <f t="shared" si="84"/>
        <v>632.16587850767473</v>
      </c>
      <c r="AB166" s="779">
        <f t="shared" si="84"/>
        <v>635.88881242698483</v>
      </c>
      <c r="AC166" s="779">
        <f t="shared" si="84"/>
        <v>639.67178805280537</v>
      </c>
      <c r="AD166" s="779">
        <f t="shared" si="84"/>
        <v>643.56196014010311</v>
      </c>
      <c r="AE166" s="779">
        <f t="shared" si="84"/>
        <v>647.45197277554621</v>
      </c>
      <c r="AF166" s="779">
        <f t="shared" si="84"/>
        <v>651.44376872755788</v>
      </c>
      <c r="AG166" s="779">
        <f t="shared" si="84"/>
        <v>655.13529506425584</v>
      </c>
      <c r="AH166" s="779">
        <f t="shared" si="84"/>
        <v>658.73250259201632</v>
      </c>
      <c r="AI166" s="779">
        <f t="shared" si="84"/>
        <v>662.42934517120398</v>
      </c>
      <c r="AJ166" s="779">
        <f t="shared" si="84"/>
        <v>666.12777967661054</v>
      </c>
      <c r="AK166" s="779">
        <f t="shared" si="84"/>
        <v>669.72576535496398</v>
      </c>
      <c r="AL166" s="779">
        <f t="shared" si="84"/>
        <v>673.42926507215054</v>
      </c>
      <c r="AM166" s="779">
        <f t="shared" si="84"/>
        <v>677.13224300873117</v>
      </c>
      <c r="AN166" s="779">
        <f t="shared" si="84"/>
        <v>680.73666600744116</v>
      </c>
      <c r="AO166" s="779">
        <f t="shared" si="84"/>
        <v>684.44050315438665</v>
      </c>
      <c r="AP166" s="779">
        <f t="shared" si="84"/>
        <v>688.14972502935314</v>
      </c>
      <c r="AQ166" s="779">
        <f t="shared" si="84"/>
        <v>691.75830420965804</v>
      </c>
      <c r="AR166" s="779">
        <f t="shared" si="84"/>
        <v>695.46821513181283</v>
      </c>
      <c r="AS166" s="779">
        <f t="shared" si="84"/>
        <v>699.07743356529318</v>
      </c>
      <c r="AT166" s="779">
        <f t="shared" si="84"/>
        <v>702.79193653118466</v>
      </c>
      <c r="AU166" s="779">
        <f t="shared" si="84"/>
        <v>706.50570261518646</v>
      </c>
      <c r="AV166" s="779">
        <f t="shared" si="84"/>
        <v>710.12071186900414</v>
      </c>
      <c r="AW166" s="779">
        <f t="shared" si="84"/>
        <v>713.83494511667993</v>
      </c>
      <c r="AX166" s="779">
        <f t="shared" si="84"/>
        <v>717.55438472032438</v>
      </c>
      <c r="AY166" s="779">
        <f t="shared" si="84"/>
        <v>721.17301387404177</v>
      </c>
      <c r="AZ166" s="779">
        <f t="shared" si="84"/>
        <v>724.89281655557841</v>
      </c>
      <c r="BA166" s="779">
        <f t="shared" si="84"/>
        <v>728.51177808912564</v>
      </c>
      <c r="BB166" s="779">
        <f t="shared" si="84"/>
        <v>732.23588424835691</v>
      </c>
      <c r="BC166" s="779">
        <f t="shared" si="84"/>
        <v>735.95912205378374</v>
      </c>
      <c r="BD166" s="779">
        <f t="shared" si="84"/>
        <v>739.58347908545386</v>
      </c>
      <c r="BE166" s="779">
        <f t="shared" si="84"/>
        <v>743.30694346000644</v>
      </c>
      <c r="BF166" s="779">
        <f t="shared" si="84"/>
        <v>747.03550460628685</v>
      </c>
      <c r="BG166" s="779">
        <f t="shared" si="84"/>
        <v>750.66315177697675</v>
      </c>
      <c r="BH166" s="779">
        <f t="shared" si="84"/>
        <v>754.39187568339298</v>
      </c>
      <c r="BI166" s="779">
        <f t="shared" si="84"/>
        <v>758.11966678959379</v>
      </c>
      <c r="BJ166" s="779">
        <f t="shared" si="84"/>
        <v>761.75251695613963</v>
      </c>
      <c r="BK166" s="779">
        <f t="shared" si="84"/>
        <v>765.48441793721736</v>
      </c>
      <c r="BL166" s="779">
        <f t="shared" si="84"/>
        <v>769.11736221534568</v>
      </c>
      <c r="BM166" s="779">
        <f t="shared" si="84"/>
        <v>772.8493427435393</v>
      </c>
      <c r="BN166" s="779">
        <f t="shared" si="84"/>
        <v>776.58635313415868</v>
      </c>
      <c r="BO166" s="779">
        <f t="shared" si="84"/>
        <v>780.22238722136331</v>
      </c>
      <c r="BP166" s="779">
        <f t="shared" si="84"/>
        <v>697.85533199961515</v>
      </c>
      <c r="BQ166" s="779">
        <f t="shared" si="84"/>
        <v>697.85533199961515</v>
      </c>
      <c r="BR166" s="779">
        <f t="shared" si="84"/>
        <v>697.85533199961515</v>
      </c>
      <c r="BS166" s="779">
        <f t="shared" si="84"/>
        <v>697.85533199961515</v>
      </c>
      <c r="BT166" s="779">
        <f t="shared" ref="BT166:CI166" si="85">SUM(BT153:BT156)+BT163+BT164+BT165</f>
        <v>697.85533199961515</v>
      </c>
      <c r="BU166" s="779">
        <f t="shared" si="85"/>
        <v>697.85533199961515</v>
      </c>
      <c r="BV166" s="779">
        <f t="shared" si="85"/>
        <v>697.85533199961515</v>
      </c>
      <c r="BW166" s="779">
        <f t="shared" si="85"/>
        <v>697.85533199961515</v>
      </c>
      <c r="BX166" s="779">
        <f t="shared" si="85"/>
        <v>697.85533199961515</v>
      </c>
      <c r="BY166" s="779">
        <f t="shared" si="85"/>
        <v>697.85533199961515</v>
      </c>
      <c r="BZ166" s="779">
        <f t="shared" si="85"/>
        <v>697.85533199961515</v>
      </c>
      <c r="CA166" s="779">
        <f t="shared" si="85"/>
        <v>697.85533199961515</v>
      </c>
      <c r="CB166" s="779">
        <f t="shared" si="85"/>
        <v>697.85533199961515</v>
      </c>
      <c r="CC166" s="779">
        <f t="shared" si="85"/>
        <v>697.85533199961515</v>
      </c>
      <c r="CD166" s="779">
        <f t="shared" si="85"/>
        <v>697.85533199961515</v>
      </c>
      <c r="CE166" s="779">
        <f t="shared" si="85"/>
        <v>697.85533199961515</v>
      </c>
      <c r="CF166" s="779">
        <f t="shared" si="85"/>
        <v>697.85533199961515</v>
      </c>
      <c r="CG166" s="779">
        <f t="shared" si="85"/>
        <v>697.85533199961515</v>
      </c>
      <c r="CH166" s="779">
        <f t="shared" si="85"/>
        <v>697.85533199961515</v>
      </c>
      <c r="CI166" s="779">
        <f t="shared" si="85"/>
        <v>697.85533199961515</v>
      </c>
      <c r="CK166" s="1366"/>
    </row>
    <row r="167" spans="2:89" ht="14.4" thickBot="1" x14ac:dyDescent="0.3">
      <c r="B167" s="756" t="s">
        <v>665</v>
      </c>
      <c r="C167" s="757" t="s">
        <v>478</v>
      </c>
      <c r="D167" s="758" t="s">
        <v>79</v>
      </c>
      <c r="E167" s="823" t="s">
        <v>254</v>
      </c>
      <c r="F167" s="824">
        <v>2</v>
      </c>
      <c r="G167" s="631"/>
      <c r="H167" s="631"/>
      <c r="I167" s="631">
        <v>57.417000000000002</v>
      </c>
      <c r="J167" s="631">
        <v>57.587686930442622</v>
      </c>
      <c r="K167" s="631">
        <v>57.870538716721583</v>
      </c>
      <c r="L167" s="631">
        <v>58.042798574282742</v>
      </c>
      <c r="M167" s="632">
        <v>58.183701012230266</v>
      </c>
      <c r="N167" s="632">
        <v>58.287583505435201</v>
      </c>
      <c r="O167" s="632">
        <v>58.386184769343728</v>
      </c>
      <c r="P167" s="632">
        <v>58.502745812952725</v>
      </c>
      <c r="Q167" s="632">
        <v>58.631948435064949</v>
      </c>
      <c r="R167" s="632">
        <v>58.73850323482759</v>
      </c>
      <c r="S167" s="632">
        <v>58.849313874434017</v>
      </c>
      <c r="T167" s="632">
        <v>58.955819202306323</v>
      </c>
      <c r="U167" s="632">
        <v>59.06955429956836</v>
      </c>
      <c r="V167" s="632">
        <v>59.156949786214724</v>
      </c>
      <c r="W167" s="632">
        <v>59.250958703609278</v>
      </c>
      <c r="X167" s="632">
        <v>59.334508210912439</v>
      </c>
      <c r="Y167" s="632">
        <v>59.524511123192553</v>
      </c>
      <c r="Z167" s="632">
        <v>59.749519941340552</v>
      </c>
      <c r="AA167" s="632">
        <v>59.927944342237836</v>
      </c>
      <c r="AB167" s="632">
        <v>60.162627216543434</v>
      </c>
      <c r="AC167" s="632">
        <v>60.328545456796427</v>
      </c>
      <c r="AD167" s="632">
        <v>60.498127827981698</v>
      </c>
      <c r="AE167" s="632">
        <v>60.671257350133054</v>
      </c>
      <c r="AF167" s="632">
        <v>60.847823621670344</v>
      </c>
      <c r="AG167" s="632">
        <v>61.027724461694042</v>
      </c>
      <c r="AH167" s="632">
        <v>61.210864919314936</v>
      </c>
      <c r="AI167" s="632">
        <v>61.397155967017845</v>
      </c>
      <c r="AJ167" s="632">
        <v>61.586514384150405</v>
      </c>
      <c r="AK167" s="632">
        <v>61.778861556672815</v>
      </c>
      <c r="AL167" s="632">
        <v>61.974125761109079</v>
      </c>
      <c r="AM167" s="632">
        <v>62.172237946477274</v>
      </c>
      <c r="AN167" s="632">
        <v>62.373134107401768</v>
      </c>
      <c r="AO167" s="632">
        <v>62.576754580991825</v>
      </c>
      <c r="AP167" s="632">
        <v>62.783042627200665</v>
      </c>
      <c r="AQ167" s="632">
        <v>62.991945322040586</v>
      </c>
      <c r="AR167" s="632">
        <v>63.203413328583565</v>
      </c>
      <c r="AS167" s="632">
        <v>63.417399908799354</v>
      </c>
      <c r="AT167" s="632">
        <v>63.633860740335493</v>
      </c>
      <c r="AU167" s="632">
        <v>63.852754494283396</v>
      </c>
      <c r="AV167" s="632">
        <v>64.074042669737068</v>
      </c>
      <c r="AW167" s="632">
        <v>64.297688295050023</v>
      </c>
      <c r="AX167" s="632">
        <v>64.523657314917799</v>
      </c>
      <c r="AY167" s="632">
        <v>64.751917317132126</v>
      </c>
      <c r="AZ167" s="632">
        <v>64.982437402450444</v>
      </c>
      <c r="BA167" s="632">
        <v>65.215189230513545</v>
      </c>
      <c r="BB167" s="632">
        <v>65.450145378930486</v>
      </c>
      <c r="BC167" s="632">
        <v>65.687280780175016</v>
      </c>
      <c r="BD167" s="632">
        <v>65.926571483458758</v>
      </c>
      <c r="BE167" s="632">
        <v>66.167994573709336</v>
      </c>
      <c r="BF167" s="632">
        <v>66.411529616868194</v>
      </c>
      <c r="BG167" s="632">
        <v>66.65715592568607</v>
      </c>
      <c r="BH167" s="632">
        <v>66.904855528426495</v>
      </c>
      <c r="BI167" s="632">
        <v>67.154610073943147</v>
      </c>
      <c r="BJ167" s="632">
        <v>67.406403807436433</v>
      </c>
      <c r="BK167" s="632">
        <v>67.660220853564113</v>
      </c>
      <c r="BL167" s="632">
        <v>67.916046693725292</v>
      </c>
      <c r="BM167" s="632">
        <v>68.173867728753564</v>
      </c>
      <c r="BN167" s="632">
        <v>68.433671618666722</v>
      </c>
      <c r="BO167" s="632">
        <v>68.695446475247465</v>
      </c>
      <c r="BP167" s="632"/>
      <c r="BQ167" s="632"/>
      <c r="BR167" s="632"/>
      <c r="BS167" s="632"/>
      <c r="BT167" s="632"/>
      <c r="BU167" s="632"/>
      <c r="BV167" s="632"/>
      <c r="BW167" s="632"/>
      <c r="BX167" s="632"/>
      <c r="BY167" s="632"/>
      <c r="BZ167" s="632"/>
      <c r="CA167" s="632"/>
      <c r="CB167" s="632"/>
      <c r="CC167" s="632"/>
      <c r="CD167" s="632"/>
      <c r="CE167" s="632"/>
      <c r="CF167" s="632"/>
      <c r="CG167" s="632"/>
      <c r="CH167" s="632"/>
      <c r="CI167" s="633"/>
      <c r="CK167" s="1366"/>
    </row>
    <row r="168" spans="2:89" x14ac:dyDescent="0.25">
      <c r="B168" s="770" t="s">
        <v>666</v>
      </c>
      <c r="C168" s="771" t="s">
        <v>480</v>
      </c>
      <c r="D168" s="765" t="s">
        <v>79</v>
      </c>
      <c r="E168" s="825" t="s">
        <v>254</v>
      </c>
      <c r="F168" s="826">
        <v>2</v>
      </c>
      <c r="G168" s="635"/>
      <c r="H168" s="635"/>
      <c r="I168" s="631">
        <v>0.58899999999999997</v>
      </c>
      <c r="J168" s="631">
        <v>0.59075095532734978</v>
      </c>
      <c r="K168" s="631">
        <v>0.59189297436654376</v>
      </c>
      <c r="L168" s="631">
        <v>0.59075324194924739</v>
      </c>
      <c r="M168" s="632">
        <v>0.59042983346753031</v>
      </c>
      <c r="N168" s="632">
        <v>0.59005161389587835</v>
      </c>
      <c r="O168" s="632">
        <v>0.58999637248534398</v>
      </c>
      <c r="P168" s="632">
        <v>0.59017586814341916</v>
      </c>
      <c r="Q168" s="632">
        <v>0.59030079953284664</v>
      </c>
      <c r="R168" s="632">
        <v>0.59007041943403393</v>
      </c>
      <c r="S168" s="632">
        <v>0.59011115304500805</v>
      </c>
      <c r="T168" s="632">
        <v>0.59006597059483867</v>
      </c>
      <c r="U168" s="632">
        <v>0.59013627413194425</v>
      </c>
      <c r="V168" s="632">
        <v>0.58987144625087029</v>
      </c>
      <c r="W168" s="632">
        <v>0.58993600587159167</v>
      </c>
      <c r="X168" s="632">
        <v>0.5898305462203185</v>
      </c>
      <c r="Y168" s="632">
        <v>0.59088611515806821</v>
      </c>
      <c r="Z168" s="632">
        <v>0.59122648101409347</v>
      </c>
      <c r="AA168" s="632">
        <v>0.59075887558982565</v>
      </c>
      <c r="AB168" s="632">
        <v>0.59130657357736693</v>
      </c>
      <c r="AC168" s="632">
        <v>0.59062436130253004</v>
      </c>
      <c r="AD168" s="632">
        <v>0.59065566757613097</v>
      </c>
      <c r="AE168" s="632">
        <v>0.59068556106128345</v>
      </c>
      <c r="AF168" s="632">
        <v>0.5907141153567228</v>
      </c>
      <c r="AG168" s="632">
        <v>0.59074141963454208</v>
      </c>
      <c r="AH168" s="632">
        <v>0.59076755287027449</v>
      </c>
      <c r="AI168" s="632">
        <v>0.59079258089624209</v>
      </c>
      <c r="AJ168" s="632">
        <v>0.59081656798160131</v>
      </c>
      <c r="AK168" s="632">
        <v>0.59083956643347069</v>
      </c>
      <c r="AL168" s="632">
        <v>0.59086164998051705</v>
      </c>
      <c r="AM168" s="632">
        <v>0.59088285152470932</v>
      </c>
      <c r="AN168" s="632">
        <v>0.59090322630635495</v>
      </c>
      <c r="AO168" s="632">
        <v>0.59092282239237004</v>
      </c>
      <c r="AP168" s="632">
        <v>0.59094167402945108</v>
      </c>
      <c r="AQ168" s="632">
        <v>0.59095982357834465</v>
      </c>
      <c r="AR168" s="632">
        <v>0.59097731083263283</v>
      </c>
      <c r="AS168" s="632">
        <v>0.5909941659652358</v>
      </c>
      <c r="AT168" s="632">
        <v>0.59101041717191793</v>
      </c>
      <c r="AU168" s="632">
        <v>0.5910260977343671</v>
      </c>
      <c r="AV168" s="632">
        <v>0.59104123904088823</v>
      </c>
      <c r="AW168" s="632">
        <v>0.59105586018645617</v>
      </c>
      <c r="AX168" s="632">
        <v>0.5910699928136014</v>
      </c>
      <c r="AY168" s="632">
        <v>0.59108365655170958</v>
      </c>
      <c r="AZ168" s="632">
        <v>0.59109686965077091</v>
      </c>
      <c r="BA168" s="632">
        <v>0.59110965965898477</v>
      </c>
      <c r="BB168" s="632">
        <v>0.59112203894599413</v>
      </c>
      <c r="BC168" s="632">
        <v>0.59113403271335752</v>
      </c>
      <c r="BD168" s="632">
        <v>0.59114565472280778</v>
      </c>
      <c r="BE168" s="632">
        <v>0.59115691787025526</v>
      </c>
      <c r="BF168" s="632">
        <v>0.59116784778418452</v>
      </c>
      <c r="BG168" s="632">
        <v>0.5911784454706619</v>
      </c>
      <c r="BH168" s="632">
        <v>0.59118873823803841</v>
      </c>
      <c r="BI168" s="632">
        <v>0.59119872572997312</v>
      </c>
      <c r="BJ168" s="632">
        <v>0.59120843377489507</v>
      </c>
      <c r="BK168" s="632">
        <v>0.59121786405630072</v>
      </c>
      <c r="BL168" s="632">
        <v>0.59122703115587472</v>
      </c>
      <c r="BM168" s="632">
        <v>0.59123594565681192</v>
      </c>
      <c r="BN168" s="632">
        <v>0.59124462094137198</v>
      </c>
      <c r="BO168" s="632">
        <v>0.5912530632491223</v>
      </c>
      <c r="BP168" s="632"/>
      <c r="BQ168" s="636"/>
      <c r="BR168" s="636"/>
      <c r="BS168" s="636"/>
      <c r="BT168" s="636"/>
      <c r="BU168" s="636"/>
      <c r="BV168" s="636"/>
      <c r="BW168" s="636"/>
      <c r="BX168" s="636"/>
      <c r="BY168" s="636"/>
      <c r="BZ168" s="636"/>
      <c r="CA168" s="636"/>
      <c r="CB168" s="636"/>
      <c r="CC168" s="636"/>
      <c r="CD168" s="636"/>
      <c r="CE168" s="636"/>
      <c r="CF168" s="636"/>
      <c r="CG168" s="636"/>
      <c r="CH168" s="636"/>
      <c r="CI168" s="637"/>
      <c r="CK168" s="1366"/>
    </row>
    <row r="169" spans="2:89" x14ac:dyDescent="0.25">
      <c r="B169" s="763" t="s">
        <v>667</v>
      </c>
      <c r="C169" s="827" t="s">
        <v>482</v>
      </c>
      <c r="D169" s="765" t="s">
        <v>79</v>
      </c>
      <c r="E169" s="825" t="s">
        <v>254</v>
      </c>
      <c r="F169" s="826">
        <v>2</v>
      </c>
      <c r="G169" s="635"/>
      <c r="H169" s="635"/>
      <c r="I169" s="635">
        <v>654.9</v>
      </c>
      <c r="J169" s="635">
        <v>724.64233383005137</v>
      </c>
      <c r="K169" s="635">
        <v>786.67805363875186</v>
      </c>
      <c r="L169" s="635">
        <v>842.78893768633463</v>
      </c>
      <c r="M169" s="635">
        <v>874.39800910030567</v>
      </c>
      <c r="N169" s="635">
        <v>904.68639908607668</v>
      </c>
      <c r="O169" s="635">
        <v>933.82899351474248</v>
      </c>
      <c r="P169" s="635">
        <v>961.65590665749301</v>
      </c>
      <c r="Q169" s="635">
        <v>988.77182636444854</v>
      </c>
      <c r="R169" s="635">
        <v>1014.6395629388135</v>
      </c>
      <c r="S169" s="635">
        <v>1039.6852608627019</v>
      </c>
      <c r="T169" s="635">
        <v>1063.448376736171</v>
      </c>
      <c r="U169" s="635">
        <v>1086.4483765820823</v>
      </c>
      <c r="V169" s="635">
        <v>1108.5176561486048</v>
      </c>
      <c r="W169" s="635">
        <v>1129.8944260165115</v>
      </c>
      <c r="X169" s="635">
        <v>1150.2932137223938</v>
      </c>
      <c r="Y169" s="635">
        <v>1169.8881125020641</v>
      </c>
      <c r="Z169" s="635">
        <v>1188.9718565136839</v>
      </c>
      <c r="AA169" s="635">
        <v>1207.4637650165362</v>
      </c>
      <c r="AB169" s="635">
        <v>1225.1025744880728</v>
      </c>
      <c r="AC169" s="635">
        <v>1242.2445518065954</v>
      </c>
      <c r="AD169" s="635">
        <v>1259.0942267075573</v>
      </c>
      <c r="AE169" s="635">
        <v>1275.9417195422268</v>
      </c>
      <c r="AF169" s="635">
        <v>1293.5873614029917</v>
      </c>
      <c r="AG169" s="635">
        <v>1301.5867634502561</v>
      </c>
      <c r="AH169" s="635">
        <v>1309.5742990375923</v>
      </c>
      <c r="AI169" s="635">
        <v>1317.6684632181225</v>
      </c>
      <c r="AJ169" s="635">
        <v>1325.7626940327041</v>
      </c>
      <c r="AK169" s="635">
        <v>1333.750572815231</v>
      </c>
      <c r="AL169" s="635">
        <v>1341.8449688649816</v>
      </c>
      <c r="AM169" s="635">
        <v>1349.8446288496511</v>
      </c>
      <c r="AN169" s="635">
        <v>1357.9276340607207</v>
      </c>
      <c r="AO169" s="635">
        <v>1366.022249954457</v>
      </c>
      <c r="AP169" s="635">
        <v>1374.1169253066789</v>
      </c>
      <c r="AQ169" s="635">
        <v>1382.295267523762</v>
      </c>
      <c r="AR169" s="635">
        <v>1390.3901476195113</v>
      </c>
      <c r="AS169" s="635">
        <v>1398.4738971841405</v>
      </c>
      <c r="AT169" s="635">
        <v>1406.6639407163211</v>
      </c>
      <c r="AU169" s="635">
        <v>1414.7590709841161</v>
      </c>
      <c r="AV169" s="635">
        <v>1422.9382865396096</v>
      </c>
      <c r="AW169" s="635">
        <v>1431.1286768593541</v>
      </c>
      <c r="AX169" s="635">
        <v>1439.2240702602448</v>
      </c>
      <c r="AY169" s="635">
        <v>1447.4037900667438</v>
      </c>
      <c r="AZ169" s="635">
        <v>1455.5945105471556</v>
      </c>
      <c r="BA169" s="635">
        <v>1463.7745884155918</v>
      </c>
      <c r="BB169" s="635">
        <v>1471.9655550687332</v>
      </c>
      <c r="BC169" s="635">
        <v>1480.2518384058642</v>
      </c>
      <c r="BD169" s="635">
        <v>1488.4324328476596</v>
      </c>
      <c r="BE169" s="635">
        <v>1496.6237516768088</v>
      </c>
      <c r="BF169" s="635">
        <v>1504.9104542948244</v>
      </c>
      <c r="BG169" s="635">
        <v>1513.0915434667813</v>
      </c>
      <c r="BH169" s="635">
        <v>1521.3785398534392</v>
      </c>
      <c r="BI169" s="635">
        <v>1529.6656663345923</v>
      </c>
      <c r="BJ169" s="635">
        <v>1537.8472520706284</v>
      </c>
      <c r="BK169" s="635">
        <v>1546.134659295396</v>
      </c>
      <c r="BL169" s="635">
        <v>1554.4120055085664</v>
      </c>
      <c r="BM169" s="635">
        <v>1562.6997074643687</v>
      </c>
      <c r="BN169" s="635">
        <v>1570.9875294861772</v>
      </c>
      <c r="BO169" s="635">
        <v>1579.265425446305</v>
      </c>
      <c r="BP169" s="636"/>
      <c r="BQ169" s="636"/>
      <c r="BR169" s="636"/>
      <c r="BS169" s="636"/>
      <c r="BT169" s="636"/>
      <c r="BU169" s="636"/>
      <c r="BV169" s="636"/>
      <c r="BW169" s="636"/>
      <c r="BX169" s="636"/>
      <c r="BY169" s="636"/>
      <c r="BZ169" s="636"/>
      <c r="CA169" s="636"/>
      <c r="CB169" s="636"/>
      <c r="CC169" s="636"/>
      <c r="CD169" s="636"/>
      <c r="CE169" s="636"/>
      <c r="CF169" s="636"/>
      <c r="CG169" s="636"/>
      <c r="CH169" s="636"/>
      <c r="CI169" s="637"/>
      <c r="CK169" s="1366"/>
    </row>
    <row r="170" spans="2:89" x14ac:dyDescent="0.25">
      <c r="B170" s="763" t="s">
        <v>668</v>
      </c>
      <c r="C170" s="827" t="s">
        <v>484</v>
      </c>
      <c r="D170" s="765" t="s">
        <v>79</v>
      </c>
      <c r="E170" s="825" t="s">
        <v>254</v>
      </c>
      <c r="F170" s="826">
        <v>2</v>
      </c>
      <c r="G170" s="635"/>
      <c r="H170" s="635"/>
      <c r="I170" s="635">
        <v>526.10199999999998</v>
      </c>
      <c r="J170" s="635">
        <v>467.05966616994868</v>
      </c>
      <c r="K170" s="635">
        <v>414.82394636124815</v>
      </c>
      <c r="L170" s="635">
        <v>368.51306231366539</v>
      </c>
      <c r="M170" s="635">
        <v>346.1039908996944</v>
      </c>
      <c r="N170" s="635">
        <v>324.81560091392333</v>
      </c>
      <c r="O170" s="635">
        <v>304.4730064852576</v>
      </c>
      <c r="P170" s="635">
        <v>285.04609334250711</v>
      </c>
      <c r="Q170" s="635">
        <v>266.53017363555148</v>
      </c>
      <c r="R170" s="635">
        <v>248.96243706118653</v>
      </c>
      <c r="S170" s="635">
        <v>232.21673913729825</v>
      </c>
      <c r="T170" s="635">
        <v>216.15362326382885</v>
      </c>
      <c r="U170" s="635">
        <v>200.85362341791756</v>
      </c>
      <c r="V170" s="635">
        <v>186.28434385139514</v>
      </c>
      <c r="W170" s="635">
        <v>172.40757398348867</v>
      </c>
      <c r="X170" s="635">
        <v>159.20878627760621</v>
      </c>
      <c r="Y170" s="635">
        <v>146.61388749793582</v>
      </c>
      <c r="Z170" s="635">
        <v>134.63014348631606</v>
      </c>
      <c r="AA170" s="635">
        <v>123.23823498346377</v>
      </c>
      <c r="AB170" s="635">
        <v>112.39942551192703</v>
      </c>
      <c r="AC170" s="635">
        <v>102.05744819340457</v>
      </c>
      <c r="AD170" s="635">
        <v>92.207773292442823</v>
      </c>
      <c r="AE170" s="635">
        <v>82.8602804577732</v>
      </c>
      <c r="AF170" s="635">
        <v>74.014638597008329</v>
      </c>
      <c r="AG170" s="635">
        <v>74.015236549744003</v>
      </c>
      <c r="AH170" s="635">
        <v>74.027700962407692</v>
      </c>
      <c r="AI170" s="635">
        <v>74.033536781877501</v>
      </c>
      <c r="AJ170" s="635">
        <v>74.039305967295959</v>
      </c>
      <c r="AK170" s="635">
        <v>74.051427184768954</v>
      </c>
      <c r="AL170" s="635">
        <v>74.057031135018391</v>
      </c>
      <c r="AM170" s="635">
        <v>74.057371150348871</v>
      </c>
      <c r="AN170" s="635">
        <v>74.074365939279247</v>
      </c>
      <c r="AO170" s="635">
        <v>74.079750045542994</v>
      </c>
      <c r="AP170" s="635">
        <v>74.08507469332109</v>
      </c>
      <c r="AQ170" s="635">
        <v>74.106732476237909</v>
      </c>
      <c r="AR170" s="635">
        <v>74.111852380488742</v>
      </c>
      <c r="AS170" s="635">
        <v>74.128102815859521</v>
      </c>
      <c r="AT170" s="635">
        <v>74.138059283678871</v>
      </c>
      <c r="AU170" s="635">
        <v>74.142929015883951</v>
      </c>
      <c r="AV170" s="635">
        <v>74.163713460390454</v>
      </c>
      <c r="AW170" s="635">
        <v>74.173323140645778</v>
      </c>
      <c r="AX170" s="635">
        <v>74.177929739755001</v>
      </c>
      <c r="AY170" s="635">
        <v>74.198209933256322</v>
      </c>
      <c r="AZ170" s="635">
        <v>74.207489452844499</v>
      </c>
      <c r="BA170" s="635">
        <v>74.227411584408173</v>
      </c>
      <c r="BB170" s="635">
        <v>74.236444931266817</v>
      </c>
      <c r="BC170" s="635">
        <v>74.250161594135918</v>
      </c>
      <c r="BD170" s="635">
        <v>74.269567152340457</v>
      </c>
      <c r="BE170" s="635">
        <v>74.278248323191178</v>
      </c>
      <c r="BF170" s="635">
        <v>74.291545705175778</v>
      </c>
      <c r="BG170" s="635">
        <v>74.310456533218627</v>
      </c>
      <c r="BH170" s="635">
        <v>74.323460146560805</v>
      </c>
      <c r="BI170" s="635">
        <v>74.336333665407693</v>
      </c>
      <c r="BJ170" s="635">
        <v>74.354747929371655</v>
      </c>
      <c r="BK170" s="635">
        <v>74.367340704604032</v>
      </c>
      <c r="BL170" s="635">
        <v>74.389994491433811</v>
      </c>
      <c r="BM170" s="635">
        <v>74.402292535631474</v>
      </c>
      <c r="BN170" s="635">
        <v>74.414470513822693</v>
      </c>
      <c r="BO170" s="635">
        <v>74.436574553694953</v>
      </c>
      <c r="BP170" s="636"/>
      <c r="BQ170" s="636"/>
      <c r="BR170" s="636"/>
      <c r="BS170" s="636"/>
      <c r="BT170" s="636"/>
      <c r="BU170" s="636"/>
      <c r="BV170" s="636"/>
      <c r="BW170" s="636"/>
      <c r="BX170" s="636"/>
      <c r="BY170" s="636"/>
      <c r="BZ170" s="636"/>
      <c r="CA170" s="636"/>
      <c r="CB170" s="636"/>
      <c r="CC170" s="636"/>
      <c r="CD170" s="636"/>
      <c r="CE170" s="636"/>
      <c r="CF170" s="636"/>
      <c r="CG170" s="636"/>
      <c r="CH170" s="636"/>
      <c r="CI170" s="637"/>
      <c r="CK170" s="1366"/>
    </row>
    <row r="171" spans="2:89" x14ac:dyDescent="0.25">
      <c r="B171" s="828" t="s">
        <v>669</v>
      </c>
      <c r="C171" s="827" t="s">
        <v>486</v>
      </c>
      <c r="D171" s="829" t="s">
        <v>670</v>
      </c>
      <c r="E171" s="825" t="s">
        <v>254</v>
      </c>
      <c r="F171" s="826">
        <v>2</v>
      </c>
      <c r="G171" s="607"/>
      <c r="H171" s="607"/>
      <c r="I171" s="607">
        <f>SUM(I167:I170)</f>
        <v>1239.0079999999998</v>
      </c>
      <c r="J171" s="607">
        <f t="shared" ref="J171:BS171" si="86">SUM(J167:J170)</f>
        <v>1249.8804378857701</v>
      </c>
      <c r="K171" s="607">
        <f t="shared" si="86"/>
        <v>1259.9644316910881</v>
      </c>
      <c r="L171" s="607">
        <f t="shared" si="86"/>
        <v>1269.935551816232</v>
      </c>
      <c r="M171" s="768">
        <f t="shared" si="86"/>
        <v>1279.2761308456979</v>
      </c>
      <c r="N171" s="768">
        <f t="shared" si="86"/>
        <v>1288.3796351193312</v>
      </c>
      <c r="O171" s="768">
        <f t="shared" si="86"/>
        <v>1297.2781811418292</v>
      </c>
      <c r="P171" s="768">
        <f t="shared" si="86"/>
        <v>1305.7949216810962</v>
      </c>
      <c r="Q171" s="768">
        <f t="shared" si="86"/>
        <v>1314.5242492345978</v>
      </c>
      <c r="R171" s="768">
        <f t="shared" si="86"/>
        <v>1322.9305736542617</v>
      </c>
      <c r="S171" s="768">
        <f t="shared" si="86"/>
        <v>1331.3414250274791</v>
      </c>
      <c r="T171" s="768">
        <f t="shared" si="86"/>
        <v>1339.1478851729009</v>
      </c>
      <c r="U171" s="768">
        <f t="shared" si="86"/>
        <v>1346.9616905737003</v>
      </c>
      <c r="V171" s="768">
        <f t="shared" si="86"/>
        <v>1354.5488212324656</v>
      </c>
      <c r="W171" s="768">
        <f t="shared" si="86"/>
        <v>1362.142894709481</v>
      </c>
      <c r="X171" s="768">
        <f t="shared" si="86"/>
        <v>1369.4263387571327</v>
      </c>
      <c r="Y171" s="768">
        <f t="shared" si="86"/>
        <v>1376.6173972383506</v>
      </c>
      <c r="Z171" s="768">
        <f t="shared" si="86"/>
        <v>1383.9427464223545</v>
      </c>
      <c r="AA171" s="768">
        <f t="shared" si="86"/>
        <v>1391.2207032178276</v>
      </c>
      <c r="AB171" s="768">
        <f t="shared" si="86"/>
        <v>1398.2559337901207</v>
      </c>
      <c r="AC171" s="768">
        <f t="shared" si="86"/>
        <v>1405.2211698180988</v>
      </c>
      <c r="AD171" s="768">
        <f t="shared" si="86"/>
        <v>1412.390783495558</v>
      </c>
      <c r="AE171" s="768">
        <f t="shared" si="86"/>
        <v>1420.0639429111943</v>
      </c>
      <c r="AF171" s="768">
        <f t="shared" si="86"/>
        <v>1429.0405377370271</v>
      </c>
      <c r="AG171" s="768">
        <f t="shared" si="86"/>
        <v>1437.2204658813287</v>
      </c>
      <c r="AH171" s="768">
        <f t="shared" si="86"/>
        <v>1445.4036324721851</v>
      </c>
      <c r="AI171" s="768">
        <f t="shared" si="86"/>
        <v>1453.6899485479141</v>
      </c>
      <c r="AJ171" s="768">
        <f t="shared" si="86"/>
        <v>1461.9793309521322</v>
      </c>
      <c r="AK171" s="768">
        <f t="shared" si="86"/>
        <v>1470.1717011231062</v>
      </c>
      <c r="AL171" s="768">
        <f t="shared" si="86"/>
        <v>1478.4669874110896</v>
      </c>
      <c r="AM171" s="768">
        <f t="shared" si="86"/>
        <v>1486.6651207980021</v>
      </c>
      <c r="AN171" s="768">
        <f t="shared" si="86"/>
        <v>1494.9660373337081</v>
      </c>
      <c r="AO171" s="768">
        <f t="shared" si="86"/>
        <v>1503.2696774033843</v>
      </c>
      <c r="AP171" s="768">
        <f t="shared" si="86"/>
        <v>1511.5759843012302</v>
      </c>
      <c r="AQ171" s="768">
        <f t="shared" si="86"/>
        <v>1519.984905145619</v>
      </c>
      <c r="AR171" s="768">
        <f t="shared" si="86"/>
        <v>1528.2963906394161</v>
      </c>
      <c r="AS171" s="768">
        <f t="shared" si="86"/>
        <v>1536.6103940747646</v>
      </c>
      <c r="AT171" s="768">
        <f t="shared" si="86"/>
        <v>1545.0268711575072</v>
      </c>
      <c r="AU171" s="768">
        <f t="shared" si="86"/>
        <v>1553.3457805920177</v>
      </c>
      <c r="AV171" s="768">
        <f t="shared" si="86"/>
        <v>1561.767083908778</v>
      </c>
      <c r="AW171" s="768">
        <f t="shared" si="86"/>
        <v>1570.1907441552364</v>
      </c>
      <c r="AX171" s="768">
        <f t="shared" si="86"/>
        <v>1578.5167273077311</v>
      </c>
      <c r="AY171" s="768">
        <f t="shared" si="86"/>
        <v>1586.9450009736838</v>
      </c>
      <c r="AZ171" s="768">
        <f t="shared" si="86"/>
        <v>1595.3755342721013</v>
      </c>
      <c r="BA171" s="768">
        <f t="shared" si="86"/>
        <v>1603.8082988901724</v>
      </c>
      <c r="BB171" s="768">
        <f t="shared" si="86"/>
        <v>1612.2432674178765</v>
      </c>
      <c r="BC171" s="768">
        <f t="shared" si="86"/>
        <v>1620.7804148128885</v>
      </c>
      <c r="BD171" s="768">
        <f t="shared" si="86"/>
        <v>1629.2197171381815</v>
      </c>
      <c r="BE171" s="768">
        <f t="shared" si="86"/>
        <v>1637.6611514915794</v>
      </c>
      <c r="BF171" s="768">
        <f t="shared" si="86"/>
        <v>1646.2046974646526</v>
      </c>
      <c r="BG171" s="768">
        <f t="shared" si="86"/>
        <v>1654.6503343711568</v>
      </c>
      <c r="BH171" s="768">
        <f t="shared" si="86"/>
        <v>1663.1980442666645</v>
      </c>
      <c r="BI171" s="768">
        <f t="shared" si="86"/>
        <v>1671.7478087996731</v>
      </c>
      <c r="BJ171" s="768">
        <f t="shared" si="86"/>
        <v>1680.1996122412113</v>
      </c>
      <c r="BK171" s="768">
        <f t="shared" si="86"/>
        <v>1688.7534387176204</v>
      </c>
      <c r="BL171" s="768">
        <f t="shared" si="86"/>
        <v>1697.3092737248812</v>
      </c>
      <c r="BM171" s="768">
        <f t="shared" si="86"/>
        <v>1705.8671036744104</v>
      </c>
      <c r="BN171" s="768">
        <f t="shared" si="86"/>
        <v>1714.4269162396079</v>
      </c>
      <c r="BO171" s="768">
        <f t="shared" si="86"/>
        <v>1722.9886995384966</v>
      </c>
      <c r="BP171" s="768">
        <f t="shared" si="86"/>
        <v>0</v>
      </c>
      <c r="BQ171" s="768">
        <f t="shared" si="86"/>
        <v>0</v>
      </c>
      <c r="BR171" s="768">
        <f t="shared" si="86"/>
        <v>0</v>
      </c>
      <c r="BS171" s="768">
        <f t="shared" si="86"/>
        <v>0</v>
      </c>
      <c r="BT171" s="768">
        <f t="shared" ref="BT171:CI171" si="87">SUM(BT167:BT170)</f>
        <v>0</v>
      </c>
      <c r="BU171" s="768">
        <f t="shared" si="87"/>
        <v>0</v>
      </c>
      <c r="BV171" s="768">
        <f t="shared" si="87"/>
        <v>0</v>
      </c>
      <c r="BW171" s="768">
        <f t="shared" si="87"/>
        <v>0</v>
      </c>
      <c r="BX171" s="768">
        <f t="shared" si="87"/>
        <v>0</v>
      </c>
      <c r="BY171" s="768">
        <f t="shared" si="87"/>
        <v>0</v>
      </c>
      <c r="BZ171" s="768">
        <f t="shared" si="87"/>
        <v>0</v>
      </c>
      <c r="CA171" s="768">
        <f t="shared" si="87"/>
        <v>0</v>
      </c>
      <c r="CB171" s="768">
        <f t="shared" si="87"/>
        <v>0</v>
      </c>
      <c r="CC171" s="768">
        <f t="shared" si="87"/>
        <v>0</v>
      </c>
      <c r="CD171" s="768">
        <f t="shared" si="87"/>
        <v>0</v>
      </c>
      <c r="CE171" s="768">
        <f t="shared" si="87"/>
        <v>0</v>
      </c>
      <c r="CF171" s="768">
        <f t="shared" si="87"/>
        <v>0</v>
      </c>
      <c r="CG171" s="768">
        <f t="shared" si="87"/>
        <v>0</v>
      </c>
      <c r="CH171" s="768">
        <f t="shared" si="87"/>
        <v>0</v>
      </c>
      <c r="CI171" s="769">
        <f t="shared" si="87"/>
        <v>0</v>
      </c>
      <c r="CK171" s="1366"/>
    </row>
    <row r="172" spans="2:89" x14ac:dyDescent="0.25">
      <c r="B172" s="828" t="s">
        <v>671</v>
      </c>
      <c r="C172" s="827" t="s">
        <v>489</v>
      </c>
      <c r="D172" s="829" t="s">
        <v>672</v>
      </c>
      <c r="E172" s="825" t="s">
        <v>491</v>
      </c>
      <c r="F172" s="826">
        <v>1</v>
      </c>
      <c r="G172" s="800"/>
      <c r="H172" s="800"/>
      <c r="I172" s="800">
        <f t="shared" ref="I172:BS172" si="88">(I170+I169)/(I156+I164)</f>
        <v>2.3234486923983417</v>
      </c>
      <c r="J172" s="800">
        <f t="shared" si="88"/>
        <v>2.3176374065681311</v>
      </c>
      <c r="K172" s="800">
        <f t="shared" si="88"/>
        <v>2.3128471870518941</v>
      </c>
      <c r="L172" s="800">
        <f t="shared" si="88"/>
        <v>2.3085856955077237</v>
      </c>
      <c r="M172" s="800">
        <f t="shared" si="88"/>
        <v>2.3058391898856789</v>
      </c>
      <c r="N172" s="800">
        <f t="shared" si="88"/>
        <v>2.303612840440401</v>
      </c>
      <c r="O172" s="800">
        <f t="shared" si="88"/>
        <v>2.3010514037526479</v>
      </c>
      <c r="P172" s="800">
        <f t="shared" si="88"/>
        <v>2.2982103543673404</v>
      </c>
      <c r="Q172" s="800">
        <f t="shared" si="88"/>
        <v>2.295367787970906</v>
      </c>
      <c r="R172" s="800">
        <f t="shared" si="88"/>
        <v>2.2932519165934022</v>
      </c>
      <c r="S172" s="800">
        <f t="shared" si="88"/>
        <v>2.2911674814426486</v>
      </c>
      <c r="T172" s="800">
        <f t="shared" si="88"/>
        <v>2.2880409343183796</v>
      </c>
      <c r="U172" s="800">
        <f t="shared" si="88"/>
        <v>2.2849601593248234</v>
      </c>
      <c r="V172" s="800">
        <f t="shared" si="88"/>
        <v>2.2819665580598936</v>
      </c>
      <c r="W172" s="800">
        <f t="shared" si="88"/>
        <v>2.2790151363490918</v>
      </c>
      <c r="X172" s="800">
        <f t="shared" si="88"/>
        <v>2.2763604975254039</v>
      </c>
      <c r="Y172" s="800">
        <f t="shared" si="88"/>
        <v>2.2733955980900329</v>
      </c>
      <c r="Z172" s="800">
        <f t="shared" si="88"/>
        <v>2.2706412030087071</v>
      </c>
      <c r="AA172" s="800">
        <f t="shared" si="88"/>
        <v>2.2683023435252823</v>
      </c>
      <c r="AB172" s="800">
        <f t="shared" si="88"/>
        <v>2.2662387098373551</v>
      </c>
      <c r="AC172" s="800">
        <f t="shared" si="88"/>
        <v>2.2638252623419217</v>
      </c>
      <c r="AD172" s="800">
        <f t="shared" si="88"/>
        <v>2.2614042711594662</v>
      </c>
      <c r="AE172" s="800">
        <f t="shared" si="88"/>
        <v>2.2598448838941905</v>
      </c>
      <c r="AF172" s="800">
        <f t="shared" si="88"/>
        <v>2.2600866553691619</v>
      </c>
      <c r="AG172" s="800">
        <f t="shared" si="88"/>
        <v>2.2601049142571878</v>
      </c>
      <c r="AH172" s="800">
        <f t="shared" si="88"/>
        <v>2.2604855234618291</v>
      </c>
      <c r="AI172" s="800">
        <f t="shared" si="88"/>
        <v>2.2606637241253305</v>
      </c>
      <c r="AJ172" s="800">
        <f t="shared" si="88"/>
        <v>2.2608398900733615</v>
      </c>
      <c r="AK172" s="800">
        <f t="shared" si="88"/>
        <v>2.2612100195825611</v>
      </c>
      <c r="AL172" s="800">
        <f t="shared" si="88"/>
        <v>2.2613811399638291</v>
      </c>
      <c r="AM172" s="800">
        <f t="shared" si="88"/>
        <v>2.2613915225601047</v>
      </c>
      <c r="AN172" s="800">
        <f t="shared" si="88"/>
        <v>2.2619104698440529</v>
      </c>
      <c r="AO172" s="800">
        <f t="shared" si="88"/>
        <v>2.2620748771416963</v>
      </c>
      <c r="AP172" s="800">
        <f t="shared" si="88"/>
        <v>2.2622374688345817</v>
      </c>
      <c r="AQ172" s="800">
        <f t="shared" si="88"/>
        <v>2.2628988037689006</v>
      </c>
      <c r="AR172" s="800">
        <f t="shared" si="88"/>
        <v>2.2630551434807926</v>
      </c>
      <c r="AS172" s="800">
        <f t="shared" si="88"/>
        <v>2.2635513614293177</v>
      </c>
      <c r="AT172" s="800">
        <f t="shared" si="88"/>
        <v>2.2638553888552386</v>
      </c>
      <c r="AU172" s="800">
        <f t="shared" si="88"/>
        <v>2.2640040893958422</v>
      </c>
      <c r="AV172" s="800">
        <f t="shared" si="88"/>
        <v>2.2646387563557679</v>
      </c>
      <c r="AW172" s="800">
        <f t="shared" si="88"/>
        <v>2.2649321943907177</v>
      </c>
      <c r="AX172" s="800">
        <f t="shared" si="88"/>
        <v>2.2650728599856689</v>
      </c>
      <c r="AY172" s="800">
        <f t="shared" si="88"/>
        <v>2.2656921293027863</v>
      </c>
      <c r="AZ172" s="800">
        <f t="shared" si="88"/>
        <v>2.2659754856602179</v>
      </c>
      <c r="BA172" s="800">
        <f t="shared" si="88"/>
        <v>2.2665838213157992</v>
      </c>
      <c r="BB172" s="800">
        <f t="shared" si="88"/>
        <v>2.2668596606237461</v>
      </c>
      <c r="BC172" s="800">
        <f t="shared" si="88"/>
        <v>2.2672785081287032</v>
      </c>
      <c r="BD172" s="800">
        <f t="shared" si="88"/>
        <v>2.2678710698701292</v>
      </c>
      <c r="BE172" s="800">
        <f t="shared" si="88"/>
        <v>2.2681361552473547</v>
      </c>
      <c r="BF172" s="800">
        <f t="shared" si="88"/>
        <v>2.2685421997291555</v>
      </c>
      <c r="BG172" s="800">
        <f t="shared" si="88"/>
        <v>2.2691196545531165</v>
      </c>
      <c r="BH172" s="800">
        <f t="shared" si="88"/>
        <v>2.269516728612293</v>
      </c>
      <c r="BI172" s="800">
        <f t="shared" si="88"/>
        <v>2.2699098301487597</v>
      </c>
      <c r="BJ172" s="800">
        <f t="shared" si="88"/>
        <v>2.2704721220553647</v>
      </c>
      <c r="BK172" s="800">
        <f t="shared" si="88"/>
        <v>2.2708566508971759</v>
      </c>
      <c r="BL172" s="800">
        <f t="shared" si="88"/>
        <v>2.2715483994793222</v>
      </c>
      <c r="BM172" s="800">
        <f t="shared" si="88"/>
        <v>2.2719239285112156</v>
      </c>
      <c r="BN172" s="800">
        <f t="shared" si="88"/>
        <v>2.2722957912470343</v>
      </c>
      <c r="BO172" s="800">
        <f t="shared" si="88"/>
        <v>2.2729707529369381</v>
      </c>
      <c r="BP172" s="800">
        <f t="shared" si="88"/>
        <v>0</v>
      </c>
      <c r="BQ172" s="800">
        <f t="shared" si="88"/>
        <v>0</v>
      </c>
      <c r="BR172" s="800">
        <f t="shared" si="88"/>
        <v>0</v>
      </c>
      <c r="BS172" s="800">
        <f t="shared" si="88"/>
        <v>0</v>
      </c>
      <c r="BT172" s="800">
        <f t="shared" ref="BT172:CI172" si="89">(BT170+BT169)/(BT156+BT164)</f>
        <v>0</v>
      </c>
      <c r="BU172" s="800">
        <f t="shared" si="89"/>
        <v>0</v>
      </c>
      <c r="BV172" s="800">
        <f t="shared" si="89"/>
        <v>0</v>
      </c>
      <c r="BW172" s="800">
        <f t="shared" si="89"/>
        <v>0</v>
      </c>
      <c r="BX172" s="800">
        <f t="shared" si="89"/>
        <v>0</v>
      </c>
      <c r="BY172" s="800">
        <f t="shared" si="89"/>
        <v>0</v>
      </c>
      <c r="BZ172" s="800">
        <f t="shared" si="89"/>
        <v>0</v>
      </c>
      <c r="CA172" s="800">
        <f t="shared" si="89"/>
        <v>0</v>
      </c>
      <c r="CB172" s="800">
        <f t="shared" si="89"/>
        <v>0</v>
      </c>
      <c r="CC172" s="800">
        <f t="shared" si="89"/>
        <v>0</v>
      </c>
      <c r="CD172" s="800">
        <f t="shared" si="89"/>
        <v>0</v>
      </c>
      <c r="CE172" s="800">
        <f t="shared" si="89"/>
        <v>0</v>
      </c>
      <c r="CF172" s="800">
        <f t="shared" si="89"/>
        <v>0</v>
      </c>
      <c r="CG172" s="800">
        <f t="shared" si="89"/>
        <v>0</v>
      </c>
      <c r="CH172" s="800">
        <f t="shared" si="89"/>
        <v>0</v>
      </c>
      <c r="CI172" s="800">
        <f t="shared" si="89"/>
        <v>0</v>
      </c>
      <c r="CK172" s="1366"/>
    </row>
    <row r="173" spans="2:89" x14ac:dyDescent="0.25">
      <c r="B173" s="828" t="s">
        <v>673</v>
      </c>
      <c r="C173" s="827" t="s">
        <v>493</v>
      </c>
      <c r="D173" s="829" t="s">
        <v>674</v>
      </c>
      <c r="E173" s="825" t="s">
        <v>285</v>
      </c>
      <c r="F173" s="826">
        <v>1</v>
      </c>
      <c r="G173" s="793"/>
      <c r="H173" s="793"/>
      <c r="I173" s="793">
        <f t="shared" ref="I173:BS173" si="90">I156/(I156+I164)</f>
        <v>0.61353303285284</v>
      </c>
      <c r="J173" s="793">
        <f t="shared" si="90"/>
        <v>0.65906499297821919</v>
      </c>
      <c r="K173" s="793">
        <f t="shared" si="90"/>
        <v>0.69885194541064</v>
      </c>
      <c r="L173" s="793">
        <f t="shared" si="90"/>
        <v>0.73391828293673667</v>
      </c>
      <c r="M173" s="794">
        <f t="shared" si="90"/>
        <v>0.75163752040946397</v>
      </c>
      <c r="N173" s="794">
        <f t="shared" si="90"/>
        <v>0.7682932944236992</v>
      </c>
      <c r="O173" s="794">
        <f t="shared" si="90"/>
        <v>0.78403823929547312</v>
      </c>
      <c r="P173" s="794">
        <f t="shared" si="90"/>
        <v>0.79888603493008492</v>
      </c>
      <c r="Q173" s="794">
        <f t="shared" si="90"/>
        <v>0.812959535733635</v>
      </c>
      <c r="R173" s="794">
        <f t="shared" si="90"/>
        <v>0.8261710424944716</v>
      </c>
      <c r="S173" s="794">
        <f t="shared" si="90"/>
        <v>0.83867023881764236</v>
      </c>
      <c r="T173" s="794">
        <f t="shared" si="90"/>
        <v>0.85049542724215443</v>
      </c>
      <c r="U173" s="794">
        <f t="shared" si="90"/>
        <v>0.86168280377477435</v>
      </c>
      <c r="V173" s="794">
        <f t="shared" si="90"/>
        <v>0.87224447355750967</v>
      </c>
      <c r="W173" s="794">
        <f t="shared" si="90"/>
        <v>0.88223862742702741</v>
      </c>
      <c r="X173" s="794">
        <f t="shared" si="90"/>
        <v>0.8916585041929338</v>
      </c>
      <c r="Y173" s="794">
        <f t="shared" si="90"/>
        <v>0.90057620458851173</v>
      </c>
      <c r="Z173" s="794">
        <f t="shared" si="90"/>
        <v>0.90901813586842506</v>
      </c>
      <c r="AA173" s="794">
        <f t="shared" si="90"/>
        <v>0.91699540376132405</v>
      </c>
      <c r="AB173" s="794">
        <f t="shared" si="90"/>
        <v>0.92452314641866051</v>
      </c>
      <c r="AC173" s="794">
        <f t="shared" si="90"/>
        <v>0.93166494905449437</v>
      </c>
      <c r="AD173" s="794">
        <f t="shared" si="90"/>
        <v>0.93843778278161871</v>
      </c>
      <c r="AE173" s="794">
        <f t="shared" si="90"/>
        <v>0.94484897161048453</v>
      </c>
      <c r="AF173" s="794">
        <f t="shared" si="90"/>
        <v>0.9509253134188892</v>
      </c>
      <c r="AG173" s="794">
        <f t="shared" si="90"/>
        <v>0.95121031975352011</v>
      </c>
      <c r="AH173" s="794">
        <f t="shared" si="90"/>
        <v>0.95148425331356923</v>
      </c>
      <c r="AI173" s="794">
        <f t="shared" si="90"/>
        <v>0.95176282284334646</v>
      </c>
      <c r="AJ173" s="794">
        <f t="shared" si="90"/>
        <v>0.95203821163450741</v>
      </c>
      <c r="AK173" s="794">
        <f t="shared" si="90"/>
        <v>0.95230295276102561</v>
      </c>
      <c r="AL173" s="794">
        <f t="shared" si="90"/>
        <v>0.95257222602956171</v>
      </c>
      <c r="AM173" s="794">
        <f t="shared" si="90"/>
        <v>0.95283847600623883</v>
      </c>
      <c r="AN173" s="794">
        <f t="shared" si="90"/>
        <v>0.95309447976254247</v>
      </c>
      <c r="AO173" s="794">
        <f t="shared" si="90"/>
        <v>0.95335491446774456</v>
      </c>
      <c r="AP173" s="794">
        <f t="shared" si="90"/>
        <v>0.95361247310542063</v>
      </c>
      <c r="AQ173" s="794">
        <f t="shared" si="90"/>
        <v>0.95386016500632798</v>
      </c>
      <c r="AR173" s="794">
        <f t="shared" si="90"/>
        <v>0.95411218928570229</v>
      </c>
      <c r="AS173" s="794">
        <f t="shared" si="90"/>
        <v>0.95435458728246347</v>
      </c>
      <c r="AT173" s="794">
        <f t="shared" si="90"/>
        <v>0.95460125368761284</v>
      </c>
      <c r="AU173" s="794">
        <f t="shared" si="90"/>
        <v>0.95484526846674767</v>
      </c>
      <c r="AV173" s="794">
        <f t="shared" si="90"/>
        <v>0.95508000329411646</v>
      </c>
      <c r="AW173" s="794">
        <f t="shared" si="90"/>
        <v>0.95531891226596977</v>
      </c>
      <c r="AX173" s="794">
        <f t="shared" si="90"/>
        <v>0.95555529338662859</v>
      </c>
      <c r="AY173" s="794">
        <f t="shared" si="90"/>
        <v>0.95578272277847476</v>
      </c>
      <c r="AZ173" s="794">
        <f t="shared" si="90"/>
        <v>0.95601423459169343</v>
      </c>
      <c r="BA173" s="794">
        <f t="shared" si="90"/>
        <v>0.95623700308048576</v>
      </c>
      <c r="BB173" s="794">
        <f t="shared" si="90"/>
        <v>0.95646379450860308</v>
      </c>
      <c r="BC173" s="794">
        <f t="shared" si="90"/>
        <v>0.95668824746891679</v>
      </c>
      <c r="BD173" s="794">
        <f t="shared" si="90"/>
        <v>0.95690425787373035</v>
      </c>
      <c r="BE173" s="794">
        <f t="shared" si="90"/>
        <v>0.95712420362140083</v>
      </c>
      <c r="BF173" s="794">
        <f t="shared" si="90"/>
        <v>0.95734191571497074</v>
      </c>
      <c r="BG173" s="794">
        <f t="shared" si="90"/>
        <v>0.95755147096376847</v>
      </c>
      <c r="BH173" s="794">
        <f t="shared" si="90"/>
        <v>0.95776487637202823</v>
      </c>
      <c r="BI173" s="794">
        <f t="shared" si="90"/>
        <v>0.95797614676841536</v>
      </c>
      <c r="BJ173" s="794">
        <f t="shared" si="90"/>
        <v>0.95817953195117211</v>
      </c>
      <c r="BK173" s="794">
        <f t="shared" si="90"/>
        <v>0.9583866844683484</v>
      </c>
      <c r="BL173" s="794">
        <f t="shared" si="90"/>
        <v>0.95858612468673232</v>
      </c>
      <c r="BM173" s="794">
        <f t="shared" si="90"/>
        <v>0.95878927855465268</v>
      </c>
      <c r="BN173" s="794">
        <f t="shared" si="90"/>
        <v>0.95899044902804131</v>
      </c>
      <c r="BO173" s="794">
        <f t="shared" si="90"/>
        <v>0.95918415737310714</v>
      </c>
      <c r="BP173" s="794">
        <f t="shared" si="90"/>
        <v>1</v>
      </c>
      <c r="BQ173" s="794">
        <f t="shared" si="90"/>
        <v>1</v>
      </c>
      <c r="BR173" s="794">
        <f t="shared" si="90"/>
        <v>1</v>
      </c>
      <c r="BS173" s="794">
        <f t="shared" si="90"/>
        <v>1</v>
      </c>
      <c r="BT173" s="794">
        <f t="shared" ref="BT173:CI173" si="91">BT156/(BT156+BT164)</f>
        <v>1</v>
      </c>
      <c r="BU173" s="794">
        <f t="shared" si="91"/>
        <v>1</v>
      </c>
      <c r="BV173" s="794">
        <f t="shared" si="91"/>
        <v>1</v>
      </c>
      <c r="BW173" s="794">
        <f t="shared" si="91"/>
        <v>1</v>
      </c>
      <c r="BX173" s="794">
        <f t="shared" si="91"/>
        <v>1</v>
      </c>
      <c r="BY173" s="794">
        <f t="shared" si="91"/>
        <v>1</v>
      </c>
      <c r="BZ173" s="794">
        <f t="shared" si="91"/>
        <v>1</v>
      </c>
      <c r="CA173" s="794">
        <f t="shared" si="91"/>
        <v>1</v>
      </c>
      <c r="CB173" s="794">
        <f t="shared" si="91"/>
        <v>1</v>
      </c>
      <c r="CC173" s="794">
        <f t="shared" si="91"/>
        <v>1</v>
      </c>
      <c r="CD173" s="794">
        <f t="shared" si="91"/>
        <v>1</v>
      </c>
      <c r="CE173" s="794">
        <f t="shared" si="91"/>
        <v>1</v>
      </c>
      <c r="CF173" s="794">
        <f t="shared" si="91"/>
        <v>1</v>
      </c>
      <c r="CG173" s="794">
        <f t="shared" si="91"/>
        <v>1</v>
      </c>
      <c r="CH173" s="794">
        <f t="shared" si="91"/>
        <v>1</v>
      </c>
      <c r="CI173" s="795">
        <f t="shared" si="91"/>
        <v>1</v>
      </c>
      <c r="CK173" s="1366"/>
    </row>
    <row r="174" spans="2:89" ht="28.2" thickBot="1" x14ac:dyDescent="0.3">
      <c r="B174" s="830" t="s">
        <v>675</v>
      </c>
      <c r="C174" s="831" t="s">
        <v>496</v>
      </c>
      <c r="D174" s="832" t="s">
        <v>676</v>
      </c>
      <c r="E174" s="833" t="s">
        <v>285</v>
      </c>
      <c r="F174" s="834">
        <v>1</v>
      </c>
      <c r="G174" s="835"/>
      <c r="H174" s="835"/>
      <c r="I174" s="835">
        <f t="shared" ref="I174:BS174" si="92">(I156)/(I156+I165+I164+I163)</f>
        <v>0.60241617842786144</v>
      </c>
      <c r="J174" s="835">
        <f t="shared" si="92"/>
        <v>0.64712312645887271</v>
      </c>
      <c r="K174" s="835">
        <f t="shared" si="92"/>
        <v>0.68618916292667465</v>
      </c>
      <c r="L174" s="835">
        <f t="shared" si="92"/>
        <v>0.72062011922858171</v>
      </c>
      <c r="M174" s="835">
        <f t="shared" si="92"/>
        <v>0.73801829463462609</v>
      </c>
      <c r="N174" s="835">
        <f t="shared" si="92"/>
        <v>0.75437227590888323</v>
      </c>
      <c r="O174" s="835">
        <f t="shared" si="92"/>
        <v>0.76983193172416597</v>
      </c>
      <c r="P174" s="835">
        <f t="shared" si="92"/>
        <v>0.78441069411400799</v>
      </c>
      <c r="Q174" s="835">
        <f t="shared" si="92"/>
        <v>0.79822919143558524</v>
      </c>
      <c r="R174" s="835">
        <f t="shared" si="92"/>
        <v>0.81120131353491165</v>
      </c>
      <c r="S174" s="835">
        <f t="shared" si="92"/>
        <v>0.82347403183894818</v>
      </c>
      <c r="T174" s="835">
        <f t="shared" si="92"/>
        <v>0.83508495486742762</v>
      </c>
      <c r="U174" s="835">
        <f t="shared" si="92"/>
        <v>0.8460696227769563</v>
      </c>
      <c r="V174" s="835">
        <f t="shared" si="92"/>
        <v>0.85643992137155323</v>
      </c>
      <c r="W174" s="835">
        <f t="shared" si="92"/>
        <v>0.86625298710446041</v>
      </c>
      <c r="X174" s="835">
        <f t="shared" si="92"/>
        <v>0.87550218129404178</v>
      </c>
      <c r="Y174" s="835">
        <f t="shared" si="92"/>
        <v>0.88425829825108471</v>
      </c>
      <c r="Z174" s="835">
        <f t="shared" si="92"/>
        <v>0.892547266746471</v>
      </c>
      <c r="AA174" s="835">
        <f t="shared" si="92"/>
        <v>0.90037999127963908</v>
      </c>
      <c r="AB174" s="835">
        <f t="shared" si="92"/>
        <v>0.90777133570772095</v>
      </c>
      <c r="AC174" s="835">
        <f t="shared" si="92"/>
        <v>0.91478373311843542</v>
      </c>
      <c r="AD174" s="835">
        <f t="shared" si="92"/>
        <v>0.92143384711808418</v>
      </c>
      <c r="AE174" s="835">
        <f t="shared" si="92"/>
        <v>0.92772886901039553</v>
      </c>
      <c r="AF174" s="835">
        <f t="shared" si="92"/>
        <v>0.93369511111152537</v>
      </c>
      <c r="AG174" s="835">
        <f t="shared" si="92"/>
        <v>0.93397495330052327</v>
      </c>
      <c r="AH174" s="835">
        <f t="shared" si="92"/>
        <v>0.93424392334704309</v>
      </c>
      <c r="AI174" s="835">
        <f t="shared" si="92"/>
        <v>0.9345174453622711</v>
      </c>
      <c r="AJ174" s="835">
        <f t="shared" si="92"/>
        <v>0.93478784427197881</v>
      </c>
      <c r="AK174" s="835">
        <f t="shared" si="92"/>
        <v>0.93504778844640768</v>
      </c>
      <c r="AL174" s="835">
        <f t="shared" si="92"/>
        <v>0.93531218264313098</v>
      </c>
      <c r="AM174" s="835">
        <f t="shared" si="92"/>
        <v>0.93557360832824932</v>
      </c>
      <c r="AN174" s="835">
        <f t="shared" si="92"/>
        <v>0.93582497344842641</v>
      </c>
      <c r="AO174" s="835">
        <f t="shared" si="92"/>
        <v>0.93608068923133758</v>
      </c>
      <c r="AP174" s="835">
        <f t="shared" si="92"/>
        <v>0.93633358105935938</v>
      </c>
      <c r="AQ174" s="835">
        <f t="shared" si="92"/>
        <v>0.93657678493002683</v>
      </c>
      <c r="AR174" s="835">
        <f t="shared" si="92"/>
        <v>0.93682424267903464</v>
      </c>
      <c r="AS174" s="835">
        <f t="shared" si="92"/>
        <v>0.93706224856795706</v>
      </c>
      <c r="AT174" s="835">
        <f t="shared" si="92"/>
        <v>0.93730444552424086</v>
      </c>
      <c r="AU174" s="835">
        <f t="shared" si="92"/>
        <v>0.93754403890040006</v>
      </c>
      <c r="AV174" s="835">
        <f t="shared" si="92"/>
        <v>0.93777452047201137</v>
      </c>
      <c r="AW174" s="835">
        <f t="shared" si="92"/>
        <v>0.93800910055508668</v>
      </c>
      <c r="AX174" s="835">
        <f t="shared" si="92"/>
        <v>0.93824119859013078</v>
      </c>
      <c r="AY174" s="835">
        <f t="shared" si="92"/>
        <v>0.93846450709637541</v>
      </c>
      <c r="AZ174" s="835">
        <f t="shared" si="92"/>
        <v>0.93869182405294027</v>
      </c>
      <c r="BA174" s="835">
        <f t="shared" si="92"/>
        <v>0.93891055610892826</v>
      </c>
      <c r="BB174" s="835">
        <f t="shared" si="92"/>
        <v>0.93913323821096817</v>
      </c>
      <c r="BC174" s="835">
        <f t="shared" si="92"/>
        <v>0.93935362421685331</v>
      </c>
      <c r="BD174" s="835">
        <f t="shared" si="92"/>
        <v>0.93956572064133326</v>
      </c>
      <c r="BE174" s="835">
        <f t="shared" si="92"/>
        <v>0.93978168110259319</v>
      </c>
      <c r="BF174" s="835">
        <f t="shared" si="92"/>
        <v>0.93999544838223925</v>
      </c>
      <c r="BG174" s="835">
        <f t="shared" si="92"/>
        <v>0.94020120661429929</v>
      </c>
      <c r="BH174" s="835">
        <f t="shared" si="92"/>
        <v>0.94041074524321688</v>
      </c>
      <c r="BI174" s="835">
        <f t="shared" si="92"/>
        <v>0.94061818754540993</v>
      </c>
      <c r="BJ174" s="835">
        <f t="shared" si="92"/>
        <v>0.94081788750936379</v>
      </c>
      <c r="BK174" s="835">
        <f t="shared" si="92"/>
        <v>0.94102128654587336</v>
      </c>
      <c r="BL174" s="835">
        <f t="shared" si="92"/>
        <v>0.94121711302586741</v>
      </c>
      <c r="BM174" s="835">
        <f t="shared" si="92"/>
        <v>0.9414165858662723</v>
      </c>
      <c r="BN174" s="835">
        <f t="shared" si="92"/>
        <v>0.94161411125007743</v>
      </c>
      <c r="BO174" s="835">
        <f t="shared" si="92"/>
        <v>0.94180430971489604</v>
      </c>
      <c r="BP174" s="835">
        <f t="shared" si="92"/>
        <v>1</v>
      </c>
      <c r="BQ174" s="835">
        <f t="shared" si="92"/>
        <v>1</v>
      </c>
      <c r="BR174" s="835">
        <f t="shared" si="92"/>
        <v>1</v>
      </c>
      <c r="BS174" s="835">
        <f t="shared" si="92"/>
        <v>1</v>
      </c>
      <c r="BT174" s="835">
        <f t="shared" ref="BT174:CI174" si="93">(BT156)/(BT156+BT165+BT164+BT163)</f>
        <v>1</v>
      </c>
      <c r="BU174" s="835">
        <f t="shared" si="93"/>
        <v>1</v>
      </c>
      <c r="BV174" s="835">
        <f t="shared" si="93"/>
        <v>1</v>
      </c>
      <c r="BW174" s="835">
        <f t="shared" si="93"/>
        <v>1</v>
      </c>
      <c r="BX174" s="835">
        <f t="shared" si="93"/>
        <v>1</v>
      </c>
      <c r="BY174" s="835">
        <f t="shared" si="93"/>
        <v>1</v>
      </c>
      <c r="BZ174" s="835">
        <f t="shared" si="93"/>
        <v>1</v>
      </c>
      <c r="CA174" s="835">
        <f t="shared" si="93"/>
        <v>1</v>
      </c>
      <c r="CB174" s="835">
        <f t="shared" si="93"/>
        <v>1</v>
      </c>
      <c r="CC174" s="835">
        <f t="shared" si="93"/>
        <v>1</v>
      </c>
      <c r="CD174" s="835">
        <f t="shared" si="93"/>
        <v>1</v>
      </c>
      <c r="CE174" s="835">
        <f t="shared" si="93"/>
        <v>1</v>
      </c>
      <c r="CF174" s="835">
        <f t="shared" si="93"/>
        <v>1</v>
      </c>
      <c r="CG174" s="835">
        <f t="shared" si="93"/>
        <v>1</v>
      </c>
      <c r="CH174" s="835">
        <f t="shared" si="93"/>
        <v>1</v>
      </c>
      <c r="CI174" s="835">
        <f t="shared" si="93"/>
        <v>1</v>
      </c>
      <c r="CK174" s="1366"/>
    </row>
    <row r="175" spans="2:89" ht="28.2" thickBot="1" x14ac:dyDescent="0.3">
      <c r="B175" s="836" t="s">
        <v>677</v>
      </c>
      <c r="C175" s="837" t="s">
        <v>155</v>
      </c>
      <c r="D175" s="837" t="s">
        <v>678</v>
      </c>
      <c r="E175" s="837" t="s">
        <v>146</v>
      </c>
      <c r="F175" s="838">
        <v>2</v>
      </c>
      <c r="G175" s="667"/>
      <c r="H175" s="667"/>
      <c r="I175" s="667">
        <f t="shared" ref="I175:BS175" si="94">SUM(I135:I137)+I133+I144+I149+I150+I143</f>
        <v>283.43771864700085</v>
      </c>
      <c r="J175" s="667">
        <f t="shared" si="94"/>
        <v>278.92361535263348</v>
      </c>
      <c r="K175" s="667">
        <f t="shared" si="94"/>
        <v>279.54480200779875</v>
      </c>
      <c r="L175" s="667">
        <f t="shared" si="94"/>
        <v>278.93413189404333</v>
      </c>
      <c r="M175" s="667">
        <f t="shared" si="94"/>
        <v>278.14761980295498</v>
      </c>
      <c r="N175" s="667">
        <f t="shared" si="94"/>
        <v>275.35272303146263</v>
      </c>
      <c r="O175" s="667">
        <f t="shared" si="94"/>
        <v>272.15287641412834</v>
      </c>
      <c r="P175" s="667">
        <f t="shared" si="94"/>
        <v>269.06041905722549</v>
      </c>
      <c r="Q175" s="667">
        <f t="shared" si="94"/>
        <v>265.94861981021927</v>
      </c>
      <c r="R175" s="667">
        <f t="shared" si="94"/>
        <v>259.98385387961207</v>
      </c>
      <c r="S175" s="667">
        <f t="shared" si="94"/>
        <v>253.80597958268089</v>
      </c>
      <c r="T175" s="667">
        <f t="shared" si="94"/>
        <v>249.46936527530039</v>
      </c>
      <c r="U175" s="667">
        <f t="shared" si="94"/>
        <v>245.29509735638987</v>
      </c>
      <c r="V175" s="667">
        <f t="shared" si="94"/>
        <v>240.98036691958609</v>
      </c>
      <c r="W175" s="667">
        <f t="shared" si="94"/>
        <v>238.27736979217178</v>
      </c>
      <c r="X175" s="667">
        <f t="shared" si="94"/>
        <v>235.65664922197251</v>
      </c>
      <c r="Y175" s="667">
        <f t="shared" si="94"/>
        <v>233.01379708938995</v>
      </c>
      <c r="Z175" s="667">
        <f t="shared" si="94"/>
        <v>230.36342736970551</v>
      </c>
      <c r="AA175" s="667">
        <f t="shared" si="94"/>
        <v>227.48086875286799</v>
      </c>
      <c r="AB175" s="667">
        <f t="shared" si="94"/>
        <v>225.40282843372097</v>
      </c>
      <c r="AC175" s="667">
        <f t="shared" si="94"/>
        <v>223.97122122420748</v>
      </c>
      <c r="AD175" s="667">
        <f t="shared" si="94"/>
        <v>222.95002957592189</v>
      </c>
      <c r="AE175" s="667">
        <f t="shared" si="94"/>
        <v>222.09770071845452</v>
      </c>
      <c r="AF175" s="667">
        <f t="shared" si="94"/>
        <v>221.44676260417864</v>
      </c>
      <c r="AG175" s="667">
        <f t="shared" si="94"/>
        <v>220.94296309809184</v>
      </c>
      <c r="AH175" s="667">
        <f t="shared" si="94"/>
        <v>220.47812057746029</v>
      </c>
      <c r="AI175" s="667">
        <f t="shared" si="94"/>
        <v>220.23404006735083</v>
      </c>
      <c r="AJ175" s="667">
        <f t="shared" si="94"/>
        <v>220.13507084022308</v>
      </c>
      <c r="AK175" s="667">
        <f t="shared" si="94"/>
        <v>220.23570276423536</v>
      </c>
      <c r="AL175" s="667">
        <f t="shared" si="94"/>
        <v>220.97534224995189</v>
      </c>
      <c r="AM175" s="667">
        <f t="shared" si="94"/>
        <v>221.99328790930434</v>
      </c>
      <c r="AN175" s="667">
        <f t="shared" si="94"/>
        <v>223.22010171793383</v>
      </c>
      <c r="AO175" s="667">
        <f t="shared" si="94"/>
        <v>224.71639354874057</v>
      </c>
      <c r="AP175" s="667">
        <f t="shared" si="94"/>
        <v>226.45845108483755</v>
      </c>
      <c r="AQ175" s="667">
        <f t="shared" si="94"/>
        <v>230.9314864688665</v>
      </c>
      <c r="AR175" s="667">
        <f t="shared" si="94"/>
        <v>235.65614331425391</v>
      </c>
      <c r="AS175" s="667">
        <f t="shared" si="94"/>
        <v>237.86779527565062</v>
      </c>
      <c r="AT175" s="667">
        <f t="shared" si="94"/>
        <v>240.1599930541332</v>
      </c>
      <c r="AU175" s="667">
        <f t="shared" si="94"/>
        <v>242.3964930421773</v>
      </c>
      <c r="AV175" s="667">
        <f t="shared" si="94"/>
        <v>244.48008730898673</v>
      </c>
      <c r="AW175" s="667">
        <f t="shared" si="94"/>
        <v>246.4809335931283</v>
      </c>
      <c r="AX175" s="667">
        <f t="shared" si="94"/>
        <v>248.36834642796543</v>
      </c>
      <c r="AY175" s="667">
        <f t="shared" si="94"/>
        <v>250.09508181167209</v>
      </c>
      <c r="AZ175" s="667">
        <f t="shared" si="94"/>
        <v>251.73167152698252</v>
      </c>
      <c r="BA175" s="667">
        <f t="shared" si="94"/>
        <v>253.22152302928816</v>
      </c>
      <c r="BB175" s="667">
        <f t="shared" si="94"/>
        <v>254.63241381812676</v>
      </c>
      <c r="BC175" s="667">
        <f t="shared" si="94"/>
        <v>255.92872641720115</v>
      </c>
      <c r="BD175" s="667">
        <f t="shared" si="94"/>
        <v>257.08310725382529</v>
      </c>
      <c r="BE175" s="667">
        <f t="shared" si="94"/>
        <v>258.15998939733299</v>
      </c>
      <c r="BF175" s="667">
        <f t="shared" si="94"/>
        <v>259.17951566915946</v>
      </c>
      <c r="BG175" s="667">
        <f t="shared" si="94"/>
        <v>260.17146666585586</v>
      </c>
      <c r="BH175" s="667">
        <f t="shared" si="94"/>
        <v>261.19712628116645</v>
      </c>
      <c r="BI175" s="667">
        <f t="shared" si="94"/>
        <v>262.2241302385109</v>
      </c>
      <c r="BJ175" s="667">
        <f t="shared" si="94"/>
        <v>263.22350652699026</v>
      </c>
      <c r="BK175" s="667">
        <f t="shared" si="94"/>
        <v>264.25655933707816</v>
      </c>
      <c r="BL175" s="667">
        <f t="shared" si="94"/>
        <v>265.25821646475055</v>
      </c>
      <c r="BM175" s="667">
        <f t="shared" si="94"/>
        <v>266.29568862068021</v>
      </c>
      <c r="BN175" s="667">
        <f t="shared" si="94"/>
        <v>267.33555239763012</v>
      </c>
      <c r="BO175" s="667">
        <f t="shared" si="94"/>
        <v>268.34454302637084</v>
      </c>
      <c r="BP175" s="667">
        <f t="shared" si="94"/>
        <v>0</v>
      </c>
      <c r="BQ175" s="667">
        <f t="shared" si="94"/>
        <v>0</v>
      </c>
      <c r="BR175" s="667">
        <f t="shared" si="94"/>
        <v>0</v>
      </c>
      <c r="BS175" s="667">
        <f t="shared" si="94"/>
        <v>0</v>
      </c>
      <c r="BT175" s="667">
        <f t="shared" ref="BT175:CI175" si="95">SUM(BT135:BT137)+BT133+BT144+BT149+BT150+BT143</f>
        <v>0</v>
      </c>
      <c r="BU175" s="667">
        <f t="shared" si="95"/>
        <v>0</v>
      </c>
      <c r="BV175" s="667">
        <f t="shared" si="95"/>
        <v>0</v>
      </c>
      <c r="BW175" s="667">
        <f t="shared" si="95"/>
        <v>0</v>
      </c>
      <c r="BX175" s="667">
        <f t="shared" si="95"/>
        <v>0</v>
      </c>
      <c r="BY175" s="667">
        <f t="shared" si="95"/>
        <v>0</v>
      </c>
      <c r="BZ175" s="667">
        <f t="shared" si="95"/>
        <v>0</v>
      </c>
      <c r="CA175" s="667">
        <f t="shared" si="95"/>
        <v>0</v>
      </c>
      <c r="CB175" s="667">
        <f t="shared" si="95"/>
        <v>0</v>
      </c>
      <c r="CC175" s="667">
        <f t="shared" si="95"/>
        <v>0</v>
      </c>
      <c r="CD175" s="667">
        <f t="shared" si="95"/>
        <v>0</v>
      </c>
      <c r="CE175" s="667">
        <f t="shared" si="95"/>
        <v>0</v>
      </c>
      <c r="CF175" s="667">
        <f t="shared" si="95"/>
        <v>0</v>
      </c>
      <c r="CG175" s="667">
        <f t="shared" si="95"/>
        <v>0</v>
      </c>
      <c r="CH175" s="667">
        <f t="shared" si="95"/>
        <v>0</v>
      </c>
      <c r="CI175" s="667">
        <f t="shared" si="95"/>
        <v>0</v>
      </c>
      <c r="CK175" s="1366"/>
    </row>
    <row r="176" spans="2:89" x14ac:dyDescent="0.25">
      <c r="B176" s="839" t="s">
        <v>679</v>
      </c>
      <c r="C176" s="840" t="s">
        <v>501</v>
      </c>
      <c r="D176" s="758" t="s">
        <v>79</v>
      </c>
      <c r="E176" s="840" t="s">
        <v>146</v>
      </c>
      <c r="F176" s="841">
        <v>2</v>
      </c>
      <c r="G176" s="671"/>
      <c r="H176" s="671"/>
      <c r="I176" s="671">
        <v>1.798824177179168</v>
      </c>
      <c r="J176" s="671">
        <v>1.860548727580466</v>
      </c>
      <c r="K176" s="671">
        <v>1.9279681540864271</v>
      </c>
      <c r="L176" s="671">
        <v>1.9879730573775269</v>
      </c>
      <c r="M176" s="671">
        <v>2.0478226064021681</v>
      </c>
      <c r="N176" s="671">
        <v>2.1056098070117919</v>
      </c>
      <c r="O176" s="671">
        <v>2.16119782146618</v>
      </c>
      <c r="P176" s="671">
        <v>2.2211990374804609</v>
      </c>
      <c r="Q176" s="671">
        <v>1.72131574685644</v>
      </c>
      <c r="R176" s="671">
        <v>1.779560517564444</v>
      </c>
      <c r="S176" s="671">
        <v>1.806544677213278</v>
      </c>
      <c r="T176" s="671">
        <v>1.8434381513605811</v>
      </c>
      <c r="U176" s="671">
        <v>1.9115423428488361</v>
      </c>
      <c r="V176" s="671">
        <v>1.4801262672405331</v>
      </c>
      <c r="W176" s="671">
        <v>1.5283783496798311</v>
      </c>
      <c r="X176" s="671">
        <v>1.538073834127031</v>
      </c>
      <c r="Y176" s="671">
        <v>1.5920792627533671</v>
      </c>
      <c r="Z176" s="671">
        <v>1.6219296703577899</v>
      </c>
      <c r="AA176" s="671">
        <v>1.22529143262443</v>
      </c>
      <c r="AB176" s="671">
        <v>1.2205054678718541</v>
      </c>
      <c r="AC176" s="671">
        <v>1.298419874342525</v>
      </c>
      <c r="AD176" s="671">
        <v>1.301213498197511</v>
      </c>
      <c r="AE176" s="671">
        <v>1.3282980868112859</v>
      </c>
      <c r="AF176" s="671">
        <v>0.91235696456694104</v>
      </c>
      <c r="AG176" s="671">
        <v>0.90873305663291504</v>
      </c>
      <c r="AH176" s="671">
        <v>0.96326874720045097</v>
      </c>
      <c r="AI176" s="671">
        <v>0.99286783520589506</v>
      </c>
      <c r="AJ176" s="671">
        <v>0.97693370634105403</v>
      </c>
      <c r="AK176" s="671">
        <v>0.55780290759689</v>
      </c>
      <c r="AL176" s="671">
        <v>0.60038096364850602</v>
      </c>
      <c r="AM176" s="671">
        <v>0.60405994666961804</v>
      </c>
      <c r="AN176" s="671">
        <v>0.60432205506816905</v>
      </c>
      <c r="AO176" s="671">
        <v>0.62129394010540695</v>
      </c>
      <c r="AP176" s="671">
        <v>0.60311024773275701</v>
      </c>
      <c r="AQ176" s="671">
        <v>0.66532561574196702</v>
      </c>
      <c r="AR176" s="671">
        <v>0.62898839905326998</v>
      </c>
      <c r="AS176" s="671">
        <v>0.65045412694321203</v>
      </c>
      <c r="AT176" s="671">
        <v>0.67159763174035803</v>
      </c>
      <c r="AU176" s="671">
        <v>0.68545202267433403</v>
      </c>
      <c r="AV176" s="671">
        <v>0.63092414962971699</v>
      </c>
      <c r="AW176" s="671">
        <v>0.68509960373676204</v>
      </c>
      <c r="AX176" s="671">
        <v>0.70652229061586802</v>
      </c>
      <c r="AY176" s="671">
        <v>0.70035923605574002</v>
      </c>
      <c r="AZ176" s="671">
        <v>0.72576235996956395</v>
      </c>
      <c r="BA176" s="671">
        <v>0.70748688085693201</v>
      </c>
      <c r="BB176" s="671">
        <v>0.73883053731918802</v>
      </c>
      <c r="BC176" s="671">
        <v>0.76345711301779196</v>
      </c>
      <c r="BD176" s="671">
        <v>0.72351620011695705</v>
      </c>
      <c r="BE176" s="671">
        <v>0.77143444097847902</v>
      </c>
      <c r="BF176" s="671">
        <v>0.79968109856575798</v>
      </c>
      <c r="BG176" s="671">
        <v>0.78646533246126304</v>
      </c>
      <c r="BH176" s="671">
        <v>0.813440178020153</v>
      </c>
      <c r="BI176" s="671">
        <v>0.79571313467723404</v>
      </c>
      <c r="BJ176" s="671">
        <v>0.85175222358486202</v>
      </c>
      <c r="BK176" s="671">
        <v>0.77834596180773596</v>
      </c>
      <c r="BL176" s="671">
        <v>0.84894671239053798</v>
      </c>
      <c r="BM176" s="671">
        <v>0.838800110706727</v>
      </c>
      <c r="BN176" s="671">
        <v>0.88380291439678604</v>
      </c>
      <c r="BO176" s="671">
        <v>0.87197588601259601</v>
      </c>
      <c r="BP176" s="672"/>
      <c r="BQ176" s="672"/>
      <c r="BR176" s="672"/>
      <c r="BS176" s="672"/>
      <c r="BT176" s="672"/>
      <c r="BU176" s="672"/>
      <c r="BV176" s="672"/>
      <c r="BW176" s="672"/>
      <c r="BX176" s="672"/>
      <c r="BY176" s="672"/>
      <c r="BZ176" s="672"/>
      <c r="CA176" s="672"/>
      <c r="CB176" s="672"/>
      <c r="CC176" s="672"/>
      <c r="CD176" s="672"/>
      <c r="CE176" s="672"/>
      <c r="CF176" s="672"/>
      <c r="CG176" s="672"/>
      <c r="CH176" s="672"/>
      <c r="CI176" s="673"/>
    </row>
    <row r="177" spans="2:87" x14ac:dyDescent="0.25">
      <c r="B177" s="842" t="s">
        <v>680</v>
      </c>
      <c r="C177" s="843" t="s">
        <v>503</v>
      </c>
      <c r="D177" s="765" t="s">
        <v>79</v>
      </c>
      <c r="E177" s="843" t="s">
        <v>146</v>
      </c>
      <c r="F177" s="844">
        <v>2</v>
      </c>
      <c r="G177" s="677"/>
      <c r="H177" s="677"/>
      <c r="I177" s="677">
        <v>11.80115554171562</v>
      </c>
      <c r="J177" s="677">
        <v>11.84047966426867</v>
      </c>
      <c r="K177" s="677">
        <v>11.923799228770187</v>
      </c>
      <c r="L177" s="677">
        <v>12.056651411519256</v>
      </c>
      <c r="M177" s="677">
        <v>12.014673664508226</v>
      </c>
      <c r="N177" s="677">
        <v>12.279865756730906</v>
      </c>
      <c r="O177" s="677">
        <v>12.422945350277612</v>
      </c>
      <c r="P177" s="677">
        <v>12.592452491283694</v>
      </c>
      <c r="Q177" s="677">
        <v>10.665120494953054</v>
      </c>
      <c r="R177" s="677">
        <v>10.866287514874266</v>
      </c>
      <c r="S177" s="677">
        <v>10.98743483636426</v>
      </c>
      <c r="T177" s="677">
        <v>11.112490095282888</v>
      </c>
      <c r="U177" s="677">
        <v>11.351363382808158</v>
      </c>
      <c r="V177" s="677">
        <v>10.070139705554062</v>
      </c>
      <c r="W177" s="677">
        <v>10.194233787536859</v>
      </c>
      <c r="X177" s="677">
        <v>10.387396859755777</v>
      </c>
      <c r="Y177" s="677">
        <v>10.512984187203163</v>
      </c>
      <c r="Z177" s="677">
        <v>10.543577186493486</v>
      </c>
      <c r="AA177" s="677">
        <v>9.6310493593253454</v>
      </c>
      <c r="AB177" s="677">
        <v>9.7170901283974871</v>
      </c>
      <c r="AC177" s="677">
        <v>9.8247517951450654</v>
      </c>
      <c r="AD177" s="677">
        <v>9.911292811720033</v>
      </c>
      <c r="AE177" s="677">
        <v>10.001828650262972</v>
      </c>
      <c r="AF177" s="677">
        <v>9.1366578558921105</v>
      </c>
      <c r="AG177" s="677">
        <v>9.2752071330570338</v>
      </c>
      <c r="AH177" s="677">
        <v>9.4360543425531205</v>
      </c>
      <c r="AI177" s="677">
        <v>9.6053615323666151</v>
      </c>
      <c r="AJ177" s="677">
        <v>9.6080134916653268</v>
      </c>
      <c r="AK177" s="677">
        <v>8.855001722608506</v>
      </c>
      <c r="AL177" s="677">
        <v>8.9373140428447666</v>
      </c>
      <c r="AM177" s="677">
        <v>9.1136522013362651</v>
      </c>
      <c r="AN177" s="677">
        <v>9.0886471938213571</v>
      </c>
      <c r="AO177" s="677">
        <v>9.1937392644963687</v>
      </c>
      <c r="AP177" s="677">
        <v>9.4199254138585893</v>
      </c>
      <c r="AQ177" s="677">
        <v>9.4561662645121025</v>
      </c>
      <c r="AR177" s="677">
        <v>9.6843369518993772</v>
      </c>
      <c r="AS177" s="677">
        <v>9.9138966016749386</v>
      </c>
      <c r="AT177" s="677">
        <v>10.048686323074714</v>
      </c>
      <c r="AU177" s="677">
        <v>10.186290673136318</v>
      </c>
      <c r="AV177" s="677">
        <v>10.328029750233384</v>
      </c>
      <c r="AW177" s="677">
        <v>10.451435300095095</v>
      </c>
      <c r="AX177" s="677">
        <v>10.665140855177864</v>
      </c>
      <c r="AY177" s="677">
        <v>10.658098382858871</v>
      </c>
      <c r="AZ177" s="677">
        <v>10.914320053187737</v>
      </c>
      <c r="BA177" s="677">
        <v>11.045758565448425</v>
      </c>
      <c r="BB177" s="677">
        <v>11.260517788951754</v>
      </c>
      <c r="BC177" s="677">
        <v>11.488834506576186</v>
      </c>
      <c r="BD177" s="677">
        <v>11.530331986512948</v>
      </c>
      <c r="BE177" s="677">
        <v>11.837242649333854</v>
      </c>
      <c r="BF177" s="677">
        <v>12.017491733426045</v>
      </c>
      <c r="BG177" s="677">
        <v>12.030189279724391</v>
      </c>
      <c r="BH177" s="677">
        <v>12.391465976182126</v>
      </c>
      <c r="BI177" s="677">
        <v>12.61696716627999</v>
      </c>
      <c r="BJ177" s="677">
        <v>12.767937352018466</v>
      </c>
      <c r="BK177" s="677">
        <v>13.082339950901053</v>
      </c>
      <c r="BL177" s="677">
        <v>13.272039928196648</v>
      </c>
      <c r="BM177" s="677">
        <v>13.386376535784015</v>
      </c>
      <c r="BN177" s="677">
        <v>13.65137296283709</v>
      </c>
      <c r="BO177" s="677">
        <v>13.861873774138614</v>
      </c>
      <c r="BP177" s="678"/>
      <c r="BQ177" s="678"/>
      <c r="BR177" s="678"/>
      <c r="BS177" s="678"/>
      <c r="BT177" s="678"/>
      <c r="BU177" s="678"/>
      <c r="BV177" s="678"/>
      <c r="BW177" s="678"/>
      <c r="BX177" s="678"/>
      <c r="BY177" s="678"/>
      <c r="BZ177" s="678"/>
      <c r="CA177" s="678"/>
      <c r="CB177" s="678"/>
      <c r="CC177" s="678"/>
      <c r="CD177" s="678"/>
      <c r="CE177" s="678"/>
      <c r="CF177" s="678"/>
      <c r="CG177" s="678"/>
      <c r="CH177" s="678"/>
      <c r="CI177" s="679"/>
    </row>
    <row r="178" spans="2:87" x14ac:dyDescent="0.25">
      <c r="B178" s="842" t="s">
        <v>681</v>
      </c>
      <c r="C178" s="843" t="s">
        <v>294</v>
      </c>
      <c r="D178" s="765" t="s">
        <v>682</v>
      </c>
      <c r="E178" s="843" t="s">
        <v>146</v>
      </c>
      <c r="F178" s="844">
        <v>2</v>
      </c>
      <c r="G178" s="845"/>
      <c r="H178" s="845"/>
      <c r="I178" s="845">
        <f t="shared" ref="I178:BR178" si="96">I176+I177</f>
        <v>13.599979718894787</v>
      </c>
      <c r="J178" s="845">
        <f t="shared" si="96"/>
        <v>13.701028391849137</v>
      </c>
      <c r="K178" s="845">
        <f t="shared" si="96"/>
        <v>13.851767382856615</v>
      </c>
      <c r="L178" s="845">
        <f t="shared" si="96"/>
        <v>14.044624468896783</v>
      </c>
      <c r="M178" s="846">
        <f t="shared" si="96"/>
        <v>14.062496270910394</v>
      </c>
      <c r="N178" s="846">
        <f t="shared" si="96"/>
        <v>14.385475563742698</v>
      </c>
      <c r="O178" s="846">
        <f t="shared" si="96"/>
        <v>14.584143171743792</v>
      </c>
      <c r="P178" s="846">
        <f t="shared" si="96"/>
        <v>14.813651528764154</v>
      </c>
      <c r="Q178" s="846">
        <f t="shared" si="96"/>
        <v>12.386436241809495</v>
      </c>
      <c r="R178" s="846">
        <f t="shared" si="96"/>
        <v>12.64584803243871</v>
      </c>
      <c r="S178" s="846">
        <f t="shared" si="96"/>
        <v>12.793979513577538</v>
      </c>
      <c r="T178" s="846">
        <f t="shared" si="96"/>
        <v>12.95592824664347</v>
      </c>
      <c r="U178" s="846">
        <f t="shared" si="96"/>
        <v>13.262905725656994</v>
      </c>
      <c r="V178" s="846">
        <f t="shared" si="96"/>
        <v>11.550265972794595</v>
      </c>
      <c r="W178" s="846">
        <f t="shared" si="96"/>
        <v>11.722612137216691</v>
      </c>
      <c r="X178" s="846">
        <f t="shared" si="96"/>
        <v>11.925470693882808</v>
      </c>
      <c r="Y178" s="846">
        <f t="shared" si="96"/>
        <v>12.10506344995653</v>
      </c>
      <c r="Z178" s="846">
        <f t="shared" si="96"/>
        <v>12.165506856851277</v>
      </c>
      <c r="AA178" s="846">
        <f t="shared" si="96"/>
        <v>10.856340791949776</v>
      </c>
      <c r="AB178" s="846">
        <f t="shared" si="96"/>
        <v>10.937595596269341</v>
      </c>
      <c r="AC178" s="846">
        <f t="shared" si="96"/>
        <v>11.12317166948759</v>
      </c>
      <c r="AD178" s="846">
        <f t="shared" si="96"/>
        <v>11.212506309917543</v>
      </c>
      <c r="AE178" s="846">
        <f t="shared" si="96"/>
        <v>11.330126737074258</v>
      </c>
      <c r="AF178" s="846">
        <f t="shared" si="96"/>
        <v>10.049014820459051</v>
      </c>
      <c r="AG178" s="846">
        <f t="shared" si="96"/>
        <v>10.183940189689949</v>
      </c>
      <c r="AH178" s="846">
        <f t="shared" si="96"/>
        <v>10.399323089753571</v>
      </c>
      <c r="AI178" s="846">
        <f t="shared" si="96"/>
        <v>10.598229367572511</v>
      </c>
      <c r="AJ178" s="846">
        <f t="shared" si="96"/>
        <v>10.584947198006381</v>
      </c>
      <c r="AK178" s="846">
        <f t="shared" si="96"/>
        <v>9.4128046302053967</v>
      </c>
      <c r="AL178" s="846">
        <f t="shared" si="96"/>
        <v>9.5376950064932728</v>
      </c>
      <c r="AM178" s="846">
        <f t="shared" si="96"/>
        <v>9.7177121480058837</v>
      </c>
      <c r="AN178" s="846">
        <f t="shared" si="96"/>
        <v>9.6929692488895256</v>
      </c>
      <c r="AO178" s="846">
        <f t="shared" si="96"/>
        <v>9.8150332046017752</v>
      </c>
      <c r="AP178" s="846">
        <f t="shared" si="96"/>
        <v>10.023035661591347</v>
      </c>
      <c r="AQ178" s="846">
        <f t="shared" si="96"/>
        <v>10.121491880254069</v>
      </c>
      <c r="AR178" s="846">
        <f t="shared" si="96"/>
        <v>10.313325350952647</v>
      </c>
      <c r="AS178" s="846">
        <f t="shared" si="96"/>
        <v>10.56435072861815</v>
      </c>
      <c r="AT178" s="846">
        <f t="shared" si="96"/>
        <v>10.720283954815072</v>
      </c>
      <c r="AU178" s="846">
        <f t="shared" si="96"/>
        <v>10.871742695810651</v>
      </c>
      <c r="AV178" s="846">
        <f t="shared" si="96"/>
        <v>10.958953899863101</v>
      </c>
      <c r="AW178" s="846">
        <f t="shared" si="96"/>
        <v>11.136534903831858</v>
      </c>
      <c r="AX178" s="846">
        <f t="shared" si="96"/>
        <v>11.371663145793732</v>
      </c>
      <c r="AY178" s="846">
        <f t="shared" si="96"/>
        <v>11.35845761891461</v>
      </c>
      <c r="AZ178" s="846">
        <f t="shared" si="96"/>
        <v>11.640082413157302</v>
      </c>
      <c r="BA178" s="846">
        <f t="shared" si="96"/>
        <v>11.753245446305357</v>
      </c>
      <c r="BB178" s="846">
        <f t="shared" si="96"/>
        <v>11.999348326270942</v>
      </c>
      <c r="BC178" s="846">
        <f t="shared" si="96"/>
        <v>12.252291619593978</v>
      </c>
      <c r="BD178" s="846">
        <f t="shared" si="96"/>
        <v>12.253848186629906</v>
      </c>
      <c r="BE178" s="846">
        <f t="shared" si="96"/>
        <v>12.608677090312334</v>
      </c>
      <c r="BF178" s="846">
        <f t="shared" si="96"/>
        <v>12.817172831991803</v>
      </c>
      <c r="BG178" s="846">
        <f t="shared" si="96"/>
        <v>12.816654612185655</v>
      </c>
      <c r="BH178" s="846">
        <f t="shared" si="96"/>
        <v>13.204906154202279</v>
      </c>
      <c r="BI178" s="846">
        <f t="shared" si="96"/>
        <v>13.412680300957224</v>
      </c>
      <c r="BJ178" s="846">
        <f t="shared" si="96"/>
        <v>13.619689575603328</v>
      </c>
      <c r="BK178" s="846">
        <f t="shared" si="96"/>
        <v>13.860685912708789</v>
      </c>
      <c r="BL178" s="846">
        <f t="shared" si="96"/>
        <v>14.120986640587185</v>
      </c>
      <c r="BM178" s="846">
        <f t="shared" si="96"/>
        <v>14.225176646490741</v>
      </c>
      <c r="BN178" s="846">
        <f t="shared" si="96"/>
        <v>14.535175877233875</v>
      </c>
      <c r="BO178" s="846">
        <f t="shared" si="96"/>
        <v>14.733849660151209</v>
      </c>
      <c r="BP178" s="846">
        <f t="shared" si="96"/>
        <v>0</v>
      </c>
      <c r="BQ178" s="846">
        <f t="shared" si="96"/>
        <v>0</v>
      </c>
      <c r="BR178" s="846">
        <f t="shared" si="96"/>
        <v>0</v>
      </c>
      <c r="BS178" s="846">
        <f t="shared" ref="BS178:CI178" si="97">BS176+BS177</f>
        <v>0</v>
      </c>
      <c r="BT178" s="846">
        <f t="shared" si="97"/>
        <v>0</v>
      </c>
      <c r="BU178" s="846">
        <f t="shared" si="97"/>
        <v>0</v>
      </c>
      <c r="BV178" s="846">
        <f t="shared" si="97"/>
        <v>0</v>
      </c>
      <c r="BW178" s="846">
        <f t="shared" si="97"/>
        <v>0</v>
      </c>
      <c r="BX178" s="846">
        <f t="shared" si="97"/>
        <v>0</v>
      </c>
      <c r="BY178" s="846">
        <f t="shared" si="97"/>
        <v>0</v>
      </c>
      <c r="BZ178" s="846">
        <f t="shared" si="97"/>
        <v>0</v>
      </c>
      <c r="CA178" s="846">
        <f t="shared" si="97"/>
        <v>0</v>
      </c>
      <c r="CB178" s="846">
        <f t="shared" si="97"/>
        <v>0</v>
      </c>
      <c r="CC178" s="846">
        <f t="shared" si="97"/>
        <v>0</v>
      </c>
      <c r="CD178" s="846">
        <f t="shared" si="97"/>
        <v>0</v>
      </c>
      <c r="CE178" s="846">
        <f t="shared" si="97"/>
        <v>0</v>
      </c>
      <c r="CF178" s="846">
        <f t="shared" si="97"/>
        <v>0</v>
      </c>
      <c r="CG178" s="846">
        <f t="shared" si="97"/>
        <v>0</v>
      </c>
      <c r="CH178" s="846">
        <f t="shared" si="97"/>
        <v>0</v>
      </c>
      <c r="CI178" s="847">
        <f t="shared" si="97"/>
        <v>0</v>
      </c>
    </row>
    <row r="179" spans="2:87" x14ac:dyDescent="0.25">
      <c r="B179" s="1106" t="s">
        <v>683</v>
      </c>
      <c r="C179" s="1107" t="s">
        <v>507</v>
      </c>
      <c r="D179" s="1108" t="s">
        <v>684</v>
      </c>
      <c r="E179" s="1107" t="s">
        <v>146</v>
      </c>
      <c r="F179" s="1109">
        <v>2</v>
      </c>
      <c r="G179" s="848"/>
      <c r="H179" s="848"/>
      <c r="I179" s="848">
        <f t="shared" ref="I179:BS179" si="98">I132-I175</f>
        <v>29.478531352999141</v>
      </c>
      <c r="J179" s="848">
        <f t="shared" si="98"/>
        <v>29.126384647366535</v>
      </c>
      <c r="K179" s="848">
        <f t="shared" si="98"/>
        <v>28.098947992201261</v>
      </c>
      <c r="L179" s="848">
        <f t="shared" si="98"/>
        <v>28.303368105956679</v>
      </c>
      <c r="M179" s="849">
        <f t="shared" si="98"/>
        <v>34.653630197045061</v>
      </c>
      <c r="N179" s="849">
        <f t="shared" si="98"/>
        <v>37.042276968537408</v>
      </c>
      <c r="O179" s="849">
        <f t="shared" si="98"/>
        <v>39.835873585871695</v>
      </c>
      <c r="P179" s="849">
        <f t="shared" si="98"/>
        <v>42.522080942774551</v>
      </c>
      <c r="Q179" s="849">
        <f t="shared" si="98"/>
        <v>45.227630189780768</v>
      </c>
      <c r="R179" s="849">
        <f t="shared" si="98"/>
        <v>49.166146120387964</v>
      </c>
      <c r="S179" s="849">
        <f t="shared" si="98"/>
        <v>54.937770417319143</v>
      </c>
      <c r="T179" s="849">
        <f t="shared" si="98"/>
        <v>58.868134724699644</v>
      </c>
      <c r="U179" s="849">
        <f t="shared" si="98"/>
        <v>62.63615264361016</v>
      </c>
      <c r="V179" s="849">
        <f t="shared" si="98"/>
        <v>66.544633080413945</v>
      </c>
      <c r="W179" s="849">
        <f t="shared" si="98"/>
        <v>64.841380207828252</v>
      </c>
      <c r="X179" s="849">
        <f t="shared" si="98"/>
        <v>67.055850778027519</v>
      </c>
      <c r="Y179" s="849">
        <f t="shared" si="98"/>
        <v>69.292452910610081</v>
      </c>
      <c r="Z179" s="849">
        <f t="shared" si="98"/>
        <v>71.536572630294529</v>
      </c>
      <c r="AA179" s="849">
        <f t="shared" si="98"/>
        <v>74.012881247132043</v>
      </c>
      <c r="AB179" s="849">
        <f t="shared" si="98"/>
        <v>75.734671566279076</v>
      </c>
      <c r="AC179" s="849">
        <f t="shared" si="98"/>
        <v>76.760028775792563</v>
      </c>
      <c r="AD179" s="849">
        <f t="shared" si="98"/>
        <v>77.374970424078157</v>
      </c>
      <c r="AE179" s="849">
        <f t="shared" si="98"/>
        <v>77.821049281545527</v>
      </c>
      <c r="AF179" s="849">
        <f t="shared" si="98"/>
        <v>78.065737395821401</v>
      </c>
      <c r="AG179" s="849">
        <f t="shared" si="98"/>
        <v>78.163286901908208</v>
      </c>
      <c r="AH179" s="849">
        <f t="shared" si="98"/>
        <v>78.221879422539757</v>
      </c>
      <c r="AI179" s="849">
        <f t="shared" si="98"/>
        <v>78.059709932649213</v>
      </c>
      <c r="AJ179" s="849">
        <f t="shared" si="98"/>
        <v>77.752429159776966</v>
      </c>
      <c r="AK179" s="849">
        <f t="shared" si="98"/>
        <v>77.24554723576469</v>
      </c>
      <c r="AL179" s="849">
        <f t="shared" si="98"/>
        <v>76.099657750048152</v>
      </c>
      <c r="AM179" s="849">
        <f t="shared" si="98"/>
        <v>74.675462090695703</v>
      </c>
      <c r="AN179" s="849">
        <f t="shared" si="98"/>
        <v>73.042398282066216</v>
      </c>
      <c r="AO179" s="849">
        <f t="shared" si="98"/>
        <v>71.139856451259476</v>
      </c>
      <c r="AP179" s="849">
        <f t="shared" si="98"/>
        <v>68.991548915162497</v>
      </c>
      <c r="AQ179" s="849">
        <f t="shared" si="98"/>
        <v>64.11226353113355</v>
      </c>
      <c r="AR179" s="849">
        <f t="shared" si="98"/>
        <v>58.981356685746135</v>
      </c>
      <c r="AS179" s="849">
        <f t="shared" si="98"/>
        <v>56.363454724349424</v>
      </c>
      <c r="AT179" s="849">
        <f t="shared" si="98"/>
        <v>53.66500694586685</v>
      </c>
      <c r="AU179" s="849">
        <f t="shared" si="98"/>
        <v>51.022256957822748</v>
      </c>
      <c r="AV179" s="849">
        <f t="shared" si="98"/>
        <v>48.53241269101332</v>
      </c>
      <c r="AW179" s="849">
        <f t="shared" si="98"/>
        <v>46.125316406871747</v>
      </c>
      <c r="AX179" s="849">
        <f t="shared" si="98"/>
        <v>43.831653572034611</v>
      </c>
      <c r="AY179" s="849">
        <f t="shared" si="98"/>
        <v>41.698668188327957</v>
      </c>
      <c r="AZ179" s="849">
        <f t="shared" si="98"/>
        <v>39.655828473017522</v>
      </c>
      <c r="BA179" s="849">
        <f t="shared" si="98"/>
        <v>37.759726970711881</v>
      </c>
      <c r="BB179" s="849">
        <f t="shared" si="98"/>
        <v>35.942586181873281</v>
      </c>
      <c r="BC179" s="849">
        <f t="shared" si="98"/>
        <v>34.240023582798898</v>
      </c>
      <c r="BD179" s="849">
        <f t="shared" si="98"/>
        <v>32.679392746174756</v>
      </c>
      <c r="BE179" s="849">
        <f t="shared" si="98"/>
        <v>31.196260602667053</v>
      </c>
      <c r="BF179" s="849">
        <f t="shared" si="98"/>
        <v>29.770484330840588</v>
      </c>
      <c r="BG179" s="849">
        <f t="shared" si="98"/>
        <v>28.372283334144186</v>
      </c>
      <c r="BH179" s="849">
        <f t="shared" si="98"/>
        <v>26.940373718833598</v>
      </c>
      <c r="BI179" s="849">
        <f t="shared" si="98"/>
        <v>25.50711976148915</v>
      </c>
      <c r="BJ179" s="849">
        <f t="shared" si="98"/>
        <v>24.101493473009782</v>
      </c>
      <c r="BK179" s="849">
        <f t="shared" si="98"/>
        <v>22.662190662921887</v>
      </c>
      <c r="BL179" s="849">
        <f t="shared" si="98"/>
        <v>21.254283535249499</v>
      </c>
      <c r="BM179" s="849">
        <f t="shared" si="98"/>
        <v>19.810561379319836</v>
      </c>
      <c r="BN179" s="849">
        <f t="shared" si="98"/>
        <v>18.364447602369921</v>
      </c>
      <c r="BO179" s="849">
        <f t="shared" si="98"/>
        <v>16.949206973629202</v>
      </c>
      <c r="BP179" s="849">
        <f t="shared" si="98"/>
        <v>0</v>
      </c>
      <c r="BQ179" s="849">
        <f t="shared" si="98"/>
        <v>0</v>
      </c>
      <c r="BR179" s="849">
        <f t="shared" si="98"/>
        <v>0</v>
      </c>
      <c r="BS179" s="849">
        <f t="shared" si="98"/>
        <v>0</v>
      </c>
      <c r="BT179" s="849">
        <f t="shared" ref="BT179:CI179" si="99">BT132-BT175</f>
        <v>0</v>
      </c>
      <c r="BU179" s="849">
        <f t="shared" si="99"/>
        <v>0</v>
      </c>
      <c r="BV179" s="849">
        <f t="shared" si="99"/>
        <v>0</v>
      </c>
      <c r="BW179" s="849">
        <f t="shared" si="99"/>
        <v>0</v>
      </c>
      <c r="BX179" s="849">
        <f t="shared" si="99"/>
        <v>0</v>
      </c>
      <c r="BY179" s="849">
        <f t="shared" si="99"/>
        <v>0</v>
      </c>
      <c r="BZ179" s="849">
        <f t="shared" si="99"/>
        <v>0</v>
      </c>
      <c r="CA179" s="849">
        <f t="shared" si="99"/>
        <v>0</v>
      </c>
      <c r="CB179" s="849">
        <f t="shared" si="99"/>
        <v>0</v>
      </c>
      <c r="CC179" s="849">
        <f t="shared" si="99"/>
        <v>0</v>
      </c>
      <c r="CD179" s="849">
        <f t="shared" si="99"/>
        <v>0</v>
      </c>
      <c r="CE179" s="849">
        <f t="shared" si="99"/>
        <v>0</v>
      </c>
      <c r="CF179" s="849">
        <f t="shared" si="99"/>
        <v>0</v>
      </c>
      <c r="CG179" s="849">
        <f t="shared" si="99"/>
        <v>0</v>
      </c>
      <c r="CH179" s="849">
        <f t="shared" si="99"/>
        <v>0</v>
      </c>
      <c r="CI179" s="850">
        <f t="shared" si="99"/>
        <v>0</v>
      </c>
    </row>
    <row r="180" spans="2:87" ht="14.4" thickBot="1" x14ac:dyDescent="0.3">
      <c r="B180" s="1106" t="s">
        <v>685</v>
      </c>
      <c r="C180" s="1107" t="s">
        <v>510</v>
      </c>
      <c r="D180" s="1108" t="s">
        <v>686</v>
      </c>
      <c r="E180" s="1107" t="s">
        <v>146</v>
      </c>
      <c r="F180" s="1109">
        <v>2</v>
      </c>
      <c r="G180" s="848"/>
      <c r="H180" s="848"/>
      <c r="I180" s="848">
        <f t="shared" ref="I180:BR180" si="100">I123-I134</f>
        <v>0.27</v>
      </c>
      <c r="J180" s="848">
        <f t="shared" si="100"/>
        <v>0.31</v>
      </c>
      <c r="K180" s="848">
        <f t="shared" si="100"/>
        <v>0.31</v>
      </c>
      <c r="L180" s="848">
        <f t="shared" si="100"/>
        <v>0.31</v>
      </c>
      <c r="M180" s="848">
        <f t="shared" si="100"/>
        <v>0.31</v>
      </c>
      <c r="N180" s="848">
        <f t="shared" si="100"/>
        <v>0.31</v>
      </c>
      <c r="O180" s="848">
        <f t="shared" si="100"/>
        <v>0.31</v>
      </c>
      <c r="P180" s="848">
        <f t="shared" si="100"/>
        <v>0.31</v>
      </c>
      <c r="Q180" s="848">
        <f t="shared" si="100"/>
        <v>0.31</v>
      </c>
      <c r="R180" s="848">
        <f t="shared" si="100"/>
        <v>0.31</v>
      </c>
      <c r="S180" s="848">
        <f t="shared" si="100"/>
        <v>0.31</v>
      </c>
      <c r="T180" s="848">
        <f t="shared" si="100"/>
        <v>0.31</v>
      </c>
      <c r="U180" s="848">
        <f t="shared" si="100"/>
        <v>0.31</v>
      </c>
      <c r="V180" s="848">
        <f t="shared" si="100"/>
        <v>0.31</v>
      </c>
      <c r="W180" s="848">
        <f t="shared" si="100"/>
        <v>0.31</v>
      </c>
      <c r="X180" s="848">
        <f t="shared" si="100"/>
        <v>0.31</v>
      </c>
      <c r="Y180" s="848">
        <f t="shared" si="100"/>
        <v>0.31</v>
      </c>
      <c r="Z180" s="848">
        <f t="shared" si="100"/>
        <v>0.31</v>
      </c>
      <c r="AA180" s="848">
        <f t="shared" si="100"/>
        <v>0.31</v>
      </c>
      <c r="AB180" s="848">
        <f t="shared" si="100"/>
        <v>0.31</v>
      </c>
      <c r="AC180" s="848">
        <f t="shared" si="100"/>
        <v>0.31</v>
      </c>
      <c r="AD180" s="848">
        <f t="shared" si="100"/>
        <v>0.31</v>
      </c>
      <c r="AE180" s="848">
        <f t="shared" si="100"/>
        <v>0.31</v>
      </c>
      <c r="AF180" s="848">
        <f t="shared" si="100"/>
        <v>0.31</v>
      </c>
      <c r="AG180" s="848">
        <f t="shared" si="100"/>
        <v>0.31</v>
      </c>
      <c r="AH180" s="848">
        <f t="shared" si="100"/>
        <v>0.31</v>
      </c>
      <c r="AI180" s="848">
        <f t="shared" si="100"/>
        <v>0.31</v>
      </c>
      <c r="AJ180" s="848">
        <f t="shared" si="100"/>
        <v>0.31</v>
      </c>
      <c r="AK180" s="848">
        <f t="shared" si="100"/>
        <v>0.31</v>
      </c>
      <c r="AL180" s="848">
        <f t="shared" si="100"/>
        <v>0.31</v>
      </c>
      <c r="AM180" s="848">
        <f t="shared" si="100"/>
        <v>0.31</v>
      </c>
      <c r="AN180" s="848">
        <f t="shared" si="100"/>
        <v>0.31</v>
      </c>
      <c r="AO180" s="848">
        <f t="shared" si="100"/>
        <v>0.31</v>
      </c>
      <c r="AP180" s="848">
        <f t="shared" si="100"/>
        <v>0.31</v>
      </c>
      <c r="AQ180" s="848">
        <f t="shared" si="100"/>
        <v>0.31</v>
      </c>
      <c r="AR180" s="848">
        <f t="shared" si="100"/>
        <v>0.31</v>
      </c>
      <c r="AS180" s="848">
        <f t="shared" si="100"/>
        <v>0.31</v>
      </c>
      <c r="AT180" s="848">
        <f t="shared" si="100"/>
        <v>0.31</v>
      </c>
      <c r="AU180" s="848">
        <f t="shared" si="100"/>
        <v>0.31</v>
      </c>
      <c r="AV180" s="848">
        <f t="shared" si="100"/>
        <v>0.31</v>
      </c>
      <c r="AW180" s="848">
        <f t="shared" si="100"/>
        <v>0.31</v>
      </c>
      <c r="AX180" s="848">
        <f t="shared" si="100"/>
        <v>0.31</v>
      </c>
      <c r="AY180" s="848">
        <f t="shared" si="100"/>
        <v>0.31</v>
      </c>
      <c r="AZ180" s="848">
        <f t="shared" si="100"/>
        <v>0.31</v>
      </c>
      <c r="BA180" s="848">
        <f t="shared" si="100"/>
        <v>0.31</v>
      </c>
      <c r="BB180" s="848">
        <f t="shared" si="100"/>
        <v>0.31</v>
      </c>
      <c r="BC180" s="848">
        <f t="shared" si="100"/>
        <v>0.31</v>
      </c>
      <c r="BD180" s="848">
        <f t="shared" si="100"/>
        <v>0.31</v>
      </c>
      <c r="BE180" s="848">
        <f t="shared" si="100"/>
        <v>0.31</v>
      </c>
      <c r="BF180" s="848">
        <f t="shared" si="100"/>
        <v>0.31</v>
      </c>
      <c r="BG180" s="848">
        <f t="shared" si="100"/>
        <v>0.31</v>
      </c>
      <c r="BH180" s="848">
        <f t="shared" si="100"/>
        <v>0.31</v>
      </c>
      <c r="BI180" s="848">
        <f t="shared" si="100"/>
        <v>0.31</v>
      </c>
      <c r="BJ180" s="848">
        <f t="shared" si="100"/>
        <v>0.31</v>
      </c>
      <c r="BK180" s="848">
        <f t="shared" si="100"/>
        <v>0.31</v>
      </c>
      <c r="BL180" s="848">
        <f t="shared" si="100"/>
        <v>0.31</v>
      </c>
      <c r="BM180" s="848">
        <f t="shared" si="100"/>
        <v>0.31</v>
      </c>
      <c r="BN180" s="848">
        <f t="shared" si="100"/>
        <v>0.31</v>
      </c>
      <c r="BO180" s="848">
        <f t="shared" si="100"/>
        <v>0.31</v>
      </c>
      <c r="BP180" s="848">
        <f t="shared" si="100"/>
        <v>0</v>
      </c>
      <c r="BQ180" s="848">
        <f t="shared" si="100"/>
        <v>0</v>
      </c>
      <c r="BR180" s="848">
        <f t="shared" si="100"/>
        <v>0</v>
      </c>
      <c r="BS180" s="848">
        <f t="shared" ref="BS180:CI180" si="101">BS123-BS134</f>
        <v>0</v>
      </c>
      <c r="BT180" s="848">
        <f t="shared" si="101"/>
        <v>0</v>
      </c>
      <c r="BU180" s="848">
        <f t="shared" si="101"/>
        <v>0</v>
      </c>
      <c r="BV180" s="848">
        <f t="shared" si="101"/>
        <v>0</v>
      </c>
      <c r="BW180" s="848">
        <f t="shared" si="101"/>
        <v>0</v>
      </c>
      <c r="BX180" s="848">
        <f t="shared" si="101"/>
        <v>0</v>
      </c>
      <c r="BY180" s="848">
        <f t="shared" si="101"/>
        <v>0</v>
      </c>
      <c r="BZ180" s="848">
        <f t="shared" si="101"/>
        <v>0</v>
      </c>
      <c r="CA180" s="848">
        <f t="shared" si="101"/>
        <v>0</v>
      </c>
      <c r="CB180" s="848">
        <f t="shared" si="101"/>
        <v>0</v>
      </c>
      <c r="CC180" s="848">
        <f t="shared" si="101"/>
        <v>0</v>
      </c>
      <c r="CD180" s="848">
        <f t="shared" si="101"/>
        <v>0</v>
      </c>
      <c r="CE180" s="848">
        <f t="shared" si="101"/>
        <v>0</v>
      </c>
      <c r="CF180" s="848">
        <f t="shared" si="101"/>
        <v>0</v>
      </c>
      <c r="CG180" s="848">
        <f t="shared" si="101"/>
        <v>0</v>
      </c>
      <c r="CH180" s="848">
        <f t="shared" si="101"/>
        <v>0</v>
      </c>
      <c r="CI180" s="848">
        <f t="shared" si="101"/>
        <v>0</v>
      </c>
    </row>
    <row r="181" spans="2:87" x14ac:dyDescent="0.25">
      <c r="B181" s="851" t="s">
        <v>687</v>
      </c>
      <c r="C181" s="852" t="s">
        <v>303</v>
      </c>
      <c r="D181" s="853" t="s">
        <v>688</v>
      </c>
      <c r="E181" s="852" t="s">
        <v>146</v>
      </c>
      <c r="F181" s="854">
        <v>2</v>
      </c>
      <c r="G181" s="855"/>
      <c r="H181" s="855"/>
      <c r="I181" s="855">
        <f t="shared" ref="I181:BS181" si="102">I179-I178</f>
        <v>15.878551634104355</v>
      </c>
      <c r="J181" s="855">
        <f t="shared" si="102"/>
        <v>15.425356255517398</v>
      </c>
      <c r="K181" s="855">
        <f t="shared" si="102"/>
        <v>14.247180609344646</v>
      </c>
      <c r="L181" s="855">
        <f t="shared" si="102"/>
        <v>14.258743637059895</v>
      </c>
      <c r="M181" s="856">
        <f>M179-M178</f>
        <v>20.591133926134667</v>
      </c>
      <c r="N181" s="856">
        <f t="shared" si="102"/>
        <v>22.656801404794709</v>
      </c>
      <c r="O181" s="856">
        <f t="shared" si="102"/>
        <v>25.251730414127906</v>
      </c>
      <c r="P181" s="856">
        <f t="shared" si="102"/>
        <v>27.708429414010396</v>
      </c>
      <c r="Q181" s="856">
        <f t="shared" si="102"/>
        <v>32.841193947971277</v>
      </c>
      <c r="R181" s="856">
        <f t="shared" si="102"/>
        <v>36.520298087949257</v>
      </c>
      <c r="S181" s="856">
        <f t="shared" si="102"/>
        <v>42.143790903741603</v>
      </c>
      <c r="T181" s="856">
        <f t="shared" si="102"/>
        <v>45.912206478056177</v>
      </c>
      <c r="U181" s="856">
        <f t="shared" si="102"/>
        <v>49.373246917953168</v>
      </c>
      <c r="V181" s="856">
        <f t="shared" si="102"/>
        <v>54.994367107619354</v>
      </c>
      <c r="W181" s="856">
        <f t="shared" si="102"/>
        <v>53.118768070611559</v>
      </c>
      <c r="X181" s="856">
        <f t="shared" si="102"/>
        <v>55.130380084144711</v>
      </c>
      <c r="Y181" s="856">
        <f t="shared" si="102"/>
        <v>57.187389460653549</v>
      </c>
      <c r="Z181" s="856">
        <f t="shared" si="102"/>
        <v>59.371065773443249</v>
      </c>
      <c r="AA181" s="856">
        <f t="shared" si="102"/>
        <v>63.156540455182267</v>
      </c>
      <c r="AB181" s="856">
        <f t="shared" si="102"/>
        <v>64.797075970009729</v>
      </c>
      <c r="AC181" s="856">
        <f t="shared" si="102"/>
        <v>65.636857106304973</v>
      </c>
      <c r="AD181" s="856">
        <f t="shared" si="102"/>
        <v>66.162464114160613</v>
      </c>
      <c r="AE181" s="856">
        <f t="shared" si="102"/>
        <v>66.490922544471275</v>
      </c>
      <c r="AF181" s="856">
        <f t="shared" si="102"/>
        <v>68.016722575362351</v>
      </c>
      <c r="AG181" s="856">
        <f t="shared" si="102"/>
        <v>67.979346712218259</v>
      </c>
      <c r="AH181" s="856">
        <f t="shared" si="102"/>
        <v>67.822556332786192</v>
      </c>
      <c r="AI181" s="856">
        <f t="shared" si="102"/>
        <v>67.461480565076698</v>
      </c>
      <c r="AJ181" s="856">
        <f t="shared" si="102"/>
        <v>67.167481961770591</v>
      </c>
      <c r="AK181" s="856">
        <f t="shared" si="102"/>
        <v>67.832742605559289</v>
      </c>
      <c r="AL181" s="856">
        <f t="shared" si="102"/>
        <v>66.561962743554886</v>
      </c>
      <c r="AM181" s="856">
        <f t="shared" si="102"/>
        <v>64.957749942689816</v>
      </c>
      <c r="AN181" s="856">
        <f t="shared" si="102"/>
        <v>63.34942903317669</v>
      </c>
      <c r="AO181" s="856">
        <f t="shared" si="102"/>
        <v>61.324823246657701</v>
      </c>
      <c r="AP181" s="856">
        <f t="shared" si="102"/>
        <v>58.968513253571146</v>
      </c>
      <c r="AQ181" s="856">
        <f t="shared" si="102"/>
        <v>53.990771650879481</v>
      </c>
      <c r="AR181" s="856">
        <f t="shared" si="102"/>
        <v>48.66803133479349</v>
      </c>
      <c r="AS181" s="856">
        <f t="shared" si="102"/>
        <v>45.799103995731272</v>
      </c>
      <c r="AT181" s="856">
        <f t="shared" si="102"/>
        <v>42.944722991051776</v>
      </c>
      <c r="AU181" s="856">
        <f t="shared" si="102"/>
        <v>40.150514262012095</v>
      </c>
      <c r="AV181" s="856">
        <f t="shared" si="102"/>
        <v>37.573458791150216</v>
      </c>
      <c r="AW181" s="856">
        <f t="shared" si="102"/>
        <v>34.988781503039888</v>
      </c>
      <c r="AX181" s="856">
        <f t="shared" si="102"/>
        <v>32.459990426240878</v>
      </c>
      <c r="AY181" s="856">
        <f t="shared" si="102"/>
        <v>30.340210569413347</v>
      </c>
      <c r="AZ181" s="856">
        <f t="shared" si="102"/>
        <v>28.01574605986022</v>
      </c>
      <c r="BA181" s="856">
        <f t="shared" si="102"/>
        <v>26.006481524406524</v>
      </c>
      <c r="BB181" s="856">
        <f t="shared" si="102"/>
        <v>23.943237855602341</v>
      </c>
      <c r="BC181" s="856">
        <f t="shared" si="102"/>
        <v>21.987731963204922</v>
      </c>
      <c r="BD181" s="856">
        <f t="shared" si="102"/>
        <v>20.42554455954485</v>
      </c>
      <c r="BE181" s="856">
        <f t="shared" si="102"/>
        <v>18.587583512354719</v>
      </c>
      <c r="BF181" s="856">
        <f t="shared" si="102"/>
        <v>16.953311498848784</v>
      </c>
      <c r="BG181" s="856">
        <f t="shared" si="102"/>
        <v>15.555628721958531</v>
      </c>
      <c r="BH181" s="856">
        <f t="shared" si="102"/>
        <v>13.735467564631319</v>
      </c>
      <c r="BI181" s="856">
        <f t="shared" si="102"/>
        <v>12.094439460531927</v>
      </c>
      <c r="BJ181" s="856">
        <f t="shared" si="102"/>
        <v>10.481803897406454</v>
      </c>
      <c r="BK181" s="856">
        <f t="shared" si="102"/>
        <v>8.8015047502130983</v>
      </c>
      <c r="BL181" s="856">
        <f t="shared" si="102"/>
        <v>7.1332968946623136</v>
      </c>
      <c r="BM181" s="856">
        <f t="shared" si="102"/>
        <v>5.5853847328290946</v>
      </c>
      <c r="BN181" s="856">
        <f t="shared" si="102"/>
        <v>3.8292717251360457</v>
      </c>
      <c r="BO181" s="856">
        <f t="shared" si="102"/>
        <v>2.2153573134779929</v>
      </c>
      <c r="BP181" s="856">
        <f t="shared" si="102"/>
        <v>0</v>
      </c>
      <c r="BQ181" s="856">
        <f t="shared" si="102"/>
        <v>0</v>
      </c>
      <c r="BR181" s="856">
        <f t="shared" si="102"/>
        <v>0</v>
      </c>
      <c r="BS181" s="856">
        <f t="shared" si="102"/>
        <v>0</v>
      </c>
      <c r="BT181" s="856">
        <f t="shared" ref="BT181:CI181" si="103">BT179-BT178</f>
        <v>0</v>
      </c>
      <c r="BU181" s="856">
        <f t="shared" si="103"/>
        <v>0</v>
      </c>
      <c r="BV181" s="856">
        <f t="shared" si="103"/>
        <v>0</v>
      </c>
      <c r="BW181" s="856">
        <f t="shared" si="103"/>
        <v>0</v>
      </c>
      <c r="BX181" s="856">
        <f t="shared" si="103"/>
        <v>0</v>
      </c>
      <c r="BY181" s="856">
        <f t="shared" si="103"/>
        <v>0</v>
      </c>
      <c r="BZ181" s="856">
        <f t="shared" si="103"/>
        <v>0</v>
      </c>
      <c r="CA181" s="856">
        <f t="shared" si="103"/>
        <v>0</v>
      </c>
      <c r="CB181" s="856">
        <f t="shared" si="103"/>
        <v>0</v>
      </c>
      <c r="CC181" s="856">
        <f t="shared" si="103"/>
        <v>0</v>
      </c>
      <c r="CD181" s="856">
        <f t="shared" si="103"/>
        <v>0</v>
      </c>
      <c r="CE181" s="856">
        <f t="shared" si="103"/>
        <v>0</v>
      </c>
      <c r="CF181" s="856">
        <f t="shared" si="103"/>
        <v>0</v>
      </c>
      <c r="CG181" s="856">
        <f t="shared" si="103"/>
        <v>0</v>
      </c>
      <c r="CH181" s="856">
        <f t="shared" si="103"/>
        <v>0</v>
      </c>
      <c r="CI181" s="857">
        <f t="shared" si="103"/>
        <v>0</v>
      </c>
    </row>
    <row r="182" spans="2:87" x14ac:dyDescent="0.25">
      <c r="B182" s="694"/>
      <c r="C182" s="694"/>
      <c r="D182" s="57"/>
      <c r="E182" s="694"/>
      <c r="F182" s="858"/>
      <c r="G182" s="859"/>
      <c r="H182" s="859"/>
      <c r="I182" s="859"/>
      <c r="J182" s="859"/>
      <c r="K182" s="859"/>
      <c r="L182" s="859"/>
      <c r="M182" s="859"/>
      <c r="N182" s="859"/>
      <c r="O182" s="859"/>
      <c r="P182" s="859"/>
      <c r="Q182" s="859"/>
      <c r="R182" s="859"/>
      <c r="S182" s="859"/>
      <c r="T182" s="859"/>
      <c r="U182" s="859"/>
      <c r="V182" s="859"/>
      <c r="W182" s="859"/>
      <c r="X182" s="859"/>
      <c r="Y182" s="859"/>
      <c r="Z182" s="859"/>
      <c r="AA182" s="859"/>
      <c r="AB182" s="859"/>
      <c r="AC182" s="859"/>
      <c r="AD182" s="859"/>
      <c r="AE182" s="859"/>
      <c r="AF182" s="859"/>
      <c r="AG182" s="859"/>
      <c r="AH182" s="859"/>
      <c r="AI182" s="859"/>
      <c r="AJ182" s="859"/>
      <c r="AK182" s="859"/>
      <c r="AL182" s="859"/>
      <c r="AM182" s="859"/>
      <c r="AN182" s="859"/>
      <c r="AO182" s="859"/>
      <c r="AP182" s="859"/>
      <c r="AQ182" s="859"/>
      <c r="AR182" s="859"/>
      <c r="AS182" s="859"/>
      <c r="AT182" s="859"/>
      <c r="AU182" s="859"/>
      <c r="AV182" s="859"/>
      <c r="AW182" s="859"/>
      <c r="AX182" s="859"/>
      <c r="AY182" s="859"/>
      <c r="AZ182" s="859"/>
      <c r="BA182" s="859"/>
      <c r="BB182" s="859"/>
      <c r="BC182" s="859"/>
      <c r="BD182" s="859"/>
      <c r="BE182" s="859"/>
      <c r="BF182" s="859"/>
      <c r="BG182" s="859"/>
      <c r="BH182" s="859"/>
      <c r="BI182" s="859"/>
      <c r="BJ182" s="859"/>
      <c r="BK182" s="859"/>
      <c r="BL182" s="859"/>
      <c r="BM182" s="859"/>
      <c r="BN182" s="859"/>
      <c r="BO182" s="859"/>
      <c r="BP182" s="859"/>
      <c r="BQ182" s="859"/>
      <c r="BR182" s="859"/>
      <c r="BS182" s="859"/>
      <c r="BT182" s="859"/>
      <c r="BU182" s="859"/>
      <c r="BV182" s="859"/>
      <c r="BW182" s="859"/>
      <c r="BX182" s="859"/>
      <c r="BY182" s="859"/>
      <c r="BZ182" s="859"/>
      <c r="CA182" s="859"/>
      <c r="CB182" s="859"/>
      <c r="CC182" s="859"/>
      <c r="CD182" s="859"/>
      <c r="CE182" s="859"/>
      <c r="CF182" s="859"/>
      <c r="CG182" s="859"/>
      <c r="CH182" s="859"/>
      <c r="CI182" s="859"/>
    </row>
    <row r="183" spans="2:87" ht="35.1" customHeight="1" thickBot="1" x14ac:dyDescent="0.3">
      <c r="I183" s="1362"/>
      <c r="J183" s="1362"/>
      <c r="K183" s="1362"/>
      <c r="L183" s="1362"/>
      <c r="M183" s="1362"/>
      <c r="N183" s="1362"/>
      <c r="O183" s="1362"/>
      <c r="P183" s="1362"/>
      <c r="Q183" s="1362"/>
      <c r="R183" s="1362"/>
      <c r="S183" s="1362"/>
      <c r="T183" s="1362"/>
      <c r="U183" s="1362"/>
      <c r="V183" s="1362"/>
      <c r="W183" s="1362"/>
      <c r="X183" s="1362"/>
      <c r="Y183" s="1362"/>
      <c r="Z183" s="1362"/>
      <c r="AA183" s="1362"/>
      <c r="AB183" s="1362"/>
      <c r="AC183" s="1362"/>
      <c r="AD183" s="1362"/>
      <c r="AE183" s="1362"/>
      <c r="AF183" s="1362"/>
      <c r="AG183" s="1362"/>
      <c r="AH183" s="1362"/>
      <c r="AI183" s="1362"/>
      <c r="AJ183" s="1362"/>
      <c r="AK183" s="1362"/>
      <c r="AL183" s="1362"/>
      <c r="AM183" s="1362"/>
      <c r="AN183" s="1362"/>
      <c r="AO183" s="1362"/>
      <c r="AP183" s="1362"/>
      <c r="AQ183" s="1362"/>
      <c r="AR183" s="1362"/>
      <c r="AS183" s="1362"/>
      <c r="AT183" s="1362"/>
      <c r="AU183" s="1362"/>
      <c r="AV183" s="1362"/>
      <c r="AW183" s="1362"/>
      <c r="AX183" s="1362"/>
      <c r="AY183" s="1362"/>
      <c r="AZ183" s="1362"/>
      <c r="BA183" s="1362"/>
      <c r="BB183" s="1362"/>
      <c r="BC183" s="1362"/>
      <c r="BD183" s="1362"/>
      <c r="BE183" s="1362"/>
      <c r="BF183" s="1362"/>
      <c r="BG183" s="1362"/>
      <c r="BH183" s="1362"/>
      <c r="BI183" s="1362"/>
      <c r="BJ183" s="1362"/>
      <c r="BK183" s="1362"/>
      <c r="BL183" s="1362"/>
      <c r="BM183" s="1362"/>
      <c r="BN183" s="1362"/>
      <c r="BO183" s="1362"/>
    </row>
    <row r="184" spans="2:87" x14ac:dyDescent="0.25">
      <c r="B184" s="1356" t="s">
        <v>57</v>
      </c>
      <c r="C184" s="1367"/>
      <c r="D184" s="1356" t="s">
        <v>2</v>
      </c>
      <c r="E184" s="1368"/>
    </row>
    <row r="185" spans="2:87" ht="14.4" thickBot="1" x14ac:dyDescent="0.3">
      <c r="B185" s="1359" t="s">
        <v>354</v>
      </c>
      <c r="C185" s="1360" t="str">
        <f ca="1">MID(CELL("filename",A182),FIND("]",CELL("filename",A182))+1,255)</f>
        <v>BWXBRS</v>
      </c>
      <c r="D185" s="1361" t="s">
        <v>111</v>
      </c>
      <c r="E185" s="1360"/>
    </row>
    <row r="186" spans="2:87" x14ac:dyDescent="0.25">
      <c r="B186" s="1366"/>
    </row>
    <row r="187" spans="2:87" x14ac:dyDescent="0.25">
      <c r="B187" s="1366"/>
    </row>
    <row r="188" spans="2:87" x14ac:dyDescent="0.25">
      <c r="B188" s="1366"/>
    </row>
    <row r="189" spans="2:87" x14ac:dyDescent="0.25">
      <c r="B189" s="1366"/>
    </row>
    <row r="190" spans="2:87" x14ac:dyDescent="0.25">
      <c r="B190" s="1366"/>
    </row>
    <row r="191" spans="2:87" x14ac:dyDescent="0.25">
      <c r="B191" s="1366"/>
      <c r="C191" s="1353" t="s">
        <v>15</v>
      </c>
    </row>
    <row r="192" spans="2:87" x14ac:dyDescent="0.25">
      <c r="B192" s="1366"/>
      <c r="C192" s="1353" t="s">
        <v>355</v>
      </c>
    </row>
    <row r="193" spans="1:89" x14ac:dyDescent="0.25">
      <c r="B193" s="1366"/>
    </row>
    <row r="194" spans="1:89" x14ac:dyDescent="0.25">
      <c r="B194" s="1366"/>
    </row>
    <row r="195" spans="1:89" x14ac:dyDescent="0.25">
      <c r="B195" s="1366"/>
    </row>
    <row r="196" spans="1:89" x14ac:dyDescent="0.25">
      <c r="B196" s="1366"/>
    </row>
    <row r="197" spans="1:89" x14ac:dyDescent="0.25">
      <c r="B197" s="1366"/>
    </row>
    <row r="198" spans="1:89" x14ac:dyDescent="0.25">
      <c r="B198" s="1366"/>
    </row>
    <row r="199" spans="1:89" x14ac:dyDescent="0.25">
      <c r="B199" s="1366"/>
    </row>
    <row r="200" spans="1:89" x14ac:dyDescent="0.25">
      <c r="B200" s="1366"/>
    </row>
    <row r="201" spans="1:89" x14ac:dyDescent="0.25">
      <c r="B201" s="1366"/>
    </row>
    <row r="202" spans="1:89" ht="14.4" thickBot="1" x14ac:dyDescent="0.3">
      <c r="CJ202" s="559"/>
    </row>
    <row r="203" spans="1:89" ht="14.4" thickBot="1" x14ac:dyDescent="0.3">
      <c r="B203" s="860" t="s">
        <v>351</v>
      </c>
      <c r="C203" s="1378" t="s">
        <v>115</v>
      </c>
      <c r="D203" s="559"/>
      <c r="E203" s="559"/>
      <c r="F203" s="559"/>
      <c r="G203" s="559"/>
      <c r="H203" s="559"/>
      <c r="I203" s="559"/>
      <c r="J203" s="559"/>
      <c r="K203" s="559"/>
      <c r="L203" s="559"/>
      <c r="M203" s="559"/>
      <c r="N203" s="559"/>
      <c r="O203" s="559"/>
      <c r="P203" s="559"/>
      <c r="Q203" s="559"/>
      <c r="R203" s="559"/>
      <c r="S203" s="559"/>
      <c r="T203" s="559"/>
      <c r="U203" s="559"/>
      <c r="V203" s="559"/>
      <c r="W203" s="559"/>
      <c r="X203" s="559"/>
      <c r="Y203" s="559"/>
      <c r="Z203" s="559"/>
      <c r="AA203" s="559"/>
      <c r="AB203" s="559"/>
      <c r="AC203" s="559"/>
      <c r="AD203" s="559"/>
      <c r="AE203" s="559"/>
      <c r="AF203" s="559"/>
      <c r="AG203" s="559"/>
      <c r="AH203" s="559"/>
      <c r="AI203" s="559"/>
      <c r="AJ203" s="559"/>
      <c r="AK203" s="559"/>
      <c r="AL203" s="559"/>
      <c r="AM203" s="559"/>
      <c r="AN203" s="559"/>
      <c r="AO203" s="559"/>
      <c r="AP203" s="559"/>
      <c r="AQ203" s="559"/>
      <c r="AR203" s="559"/>
      <c r="AS203" s="559"/>
      <c r="AT203" s="559"/>
      <c r="AU203" s="559"/>
      <c r="AV203" s="559"/>
      <c r="AW203" s="559"/>
      <c r="AX203" s="559"/>
      <c r="AY203" s="559"/>
      <c r="AZ203" s="559"/>
      <c r="BA203" s="559"/>
      <c r="BB203" s="559"/>
      <c r="BC203" s="559"/>
      <c r="BD203" s="559"/>
      <c r="BE203" s="559"/>
      <c r="BF203" s="559"/>
      <c r="BG203" s="559"/>
      <c r="BH203" s="559"/>
      <c r="BI203" s="559"/>
      <c r="BJ203" s="559"/>
      <c r="BK203" s="559"/>
      <c r="BL203" s="559"/>
      <c r="BM203" s="559"/>
      <c r="BN203" s="559"/>
      <c r="BO203" s="559"/>
      <c r="BP203" s="559"/>
      <c r="BQ203" s="559"/>
      <c r="BR203" s="559"/>
      <c r="BS203" s="559"/>
      <c r="BT203" s="559"/>
      <c r="BU203" s="559"/>
      <c r="BV203" s="559"/>
      <c r="BW203" s="559"/>
      <c r="BX203" s="559"/>
      <c r="BY203" s="559"/>
      <c r="BZ203" s="559"/>
      <c r="CA203" s="559"/>
      <c r="CB203" s="559"/>
      <c r="CC203" s="559"/>
      <c r="CD203" s="559"/>
      <c r="CE203" s="559"/>
      <c r="CF203" s="559"/>
      <c r="CG203" s="559"/>
      <c r="CH203" s="559"/>
      <c r="CI203" s="559"/>
    </row>
    <row r="204" spans="1:89" s="1362" customFormat="1" ht="14.4" thickBot="1" x14ac:dyDescent="0.3">
      <c r="A204" s="1353"/>
      <c r="B204" s="861" t="s">
        <v>356</v>
      </c>
      <c r="C204" s="862" t="s">
        <v>116</v>
      </c>
      <c r="D204" s="862" t="s">
        <v>64</v>
      </c>
      <c r="E204" s="862" t="s">
        <v>117</v>
      </c>
      <c r="F204" s="863" t="s">
        <v>118</v>
      </c>
      <c r="G204" s="861" t="s">
        <v>119</v>
      </c>
      <c r="H204" s="861" t="s">
        <v>120</v>
      </c>
      <c r="I204" s="861" t="s">
        <v>121</v>
      </c>
      <c r="J204" s="861" t="s">
        <v>122</v>
      </c>
      <c r="K204" s="861" t="s">
        <v>123</v>
      </c>
      <c r="L204" s="861" t="s">
        <v>124</v>
      </c>
      <c r="M204" s="862" t="s">
        <v>125</v>
      </c>
      <c r="N204" s="862" t="s">
        <v>126</v>
      </c>
      <c r="O204" s="862" t="s">
        <v>127</v>
      </c>
      <c r="P204" s="862" t="s">
        <v>128</v>
      </c>
      <c r="Q204" s="862" t="s">
        <v>129</v>
      </c>
      <c r="R204" s="862" t="s">
        <v>130</v>
      </c>
      <c r="S204" s="862" t="s">
        <v>157</v>
      </c>
      <c r="T204" s="862" t="s">
        <v>158</v>
      </c>
      <c r="U204" s="862" t="s">
        <v>159</v>
      </c>
      <c r="V204" s="862" t="s">
        <v>160</v>
      </c>
      <c r="W204" s="862" t="s">
        <v>131</v>
      </c>
      <c r="X204" s="862" t="s">
        <v>161</v>
      </c>
      <c r="Y204" s="862" t="s">
        <v>162</v>
      </c>
      <c r="Z204" s="862" t="s">
        <v>163</v>
      </c>
      <c r="AA204" s="862" t="s">
        <v>164</v>
      </c>
      <c r="AB204" s="862" t="s">
        <v>132</v>
      </c>
      <c r="AC204" s="862" t="s">
        <v>165</v>
      </c>
      <c r="AD204" s="862" t="s">
        <v>166</v>
      </c>
      <c r="AE204" s="862" t="s">
        <v>167</v>
      </c>
      <c r="AF204" s="862" t="s">
        <v>168</v>
      </c>
      <c r="AG204" s="862" t="s">
        <v>133</v>
      </c>
      <c r="AH204" s="862" t="s">
        <v>169</v>
      </c>
      <c r="AI204" s="862" t="s">
        <v>170</v>
      </c>
      <c r="AJ204" s="862" t="s">
        <v>171</v>
      </c>
      <c r="AK204" s="862" t="s">
        <v>172</v>
      </c>
      <c r="AL204" s="862" t="s">
        <v>134</v>
      </c>
      <c r="AM204" s="862" t="s">
        <v>173</v>
      </c>
      <c r="AN204" s="862" t="s">
        <v>174</v>
      </c>
      <c r="AO204" s="862" t="s">
        <v>175</v>
      </c>
      <c r="AP204" s="862" t="s">
        <v>176</v>
      </c>
      <c r="AQ204" s="862" t="s">
        <v>135</v>
      </c>
      <c r="AR204" s="862" t="s">
        <v>177</v>
      </c>
      <c r="AS204" s="862" t="s">
        <v>178</v>
      </c>
      <c r="AT204" s="862" t="s">
        <v>179</v>
      </c>
      <c r="AU204" s="862" t="s">
        <v>180</v>
      </c>
      <c r="AV204" s="862" t="s">
        <v>136</v>
      </c>
      <c r="AW204" s="862" t="s">
        <v>181</v>
      </c>
      <c r="AX204" s="862" t="s">
        <v>182</v>
      </c>
      <c r="AY204" s="862" t="s">
        <v>183</v>
      </c>
      <c r="AZ204" s="862" t="s">
        <v>184</v>
      </c>
      <c r="BA204" s="862" t="s">
        <v>137</v>
      </c>
      <c r="BB204" s="862" t="s">
        <v>185</v>
      </c>
      <c r="BC204" s="862" t="s">
        <v>186</v>
      </c>
      <c r="BD204" s="862" t="s">
        <v>187</v>
      </c>
      <c r="BE204" s="862" t="s">
        <v>188</v>
      </c>
      <c r="BF204" s="862" t="s">
        <v>138</v>
      </c>
      <c r="BG204" s="862" t="s">
        <v>189</v>
      </c>
      <c r="BH204" s="862" t="s">
        <v>190</v>
      </c>
      <c r="BI204" s="862" t="s">
        <v>191</v>
      </c>
      <c r="BJ204" s="862" t="s">
        <v>192</v>
      </c>
      <c r="BK204" s="862" t="s">
        <v>139</v>
      </c>
      <c r="BL204" s="862" t="s">
        <v>193</v>
      </c>
      <c r="BM204" s="862" t="s">
        <v>194</v>
      </c>
      <c r="BN204" s="862" t="s">
        <v>195</v>
      </c>
      <c r="BO204" s="862" t="s">
        <v>196</v>
      </c>
      <c r="BP204" s="862" t="s">
        <v>140</v>
      </c>
      <c r="BQ204" s="862" t="s">
        <v>197</v>
      </c>
      <c r="BR204" s="862" t="s">
        <v>198</v>
      </c>
      <c r="BS204" s="862" t="s">
        <v>199</v>
      </c>
      <c r="BT204" s="862" t="s">
        <v>200</v>
      </c>
      <c r="BU204" s="862" t="s">
        <v>141</v>
      </c>
      <c r="BV204" s="862" t="s">
        <v>201</v>
      </c>
      <c r="BW204" s="862" t="s">
        <v>202</v>
      </c>
      <c r="BX204" s="862" t="s">
        <v>203</v>
      </c>
      <c r="BY204" s="862" t="s">
        <v>204</v>
      </c>
      <c r="BZ204" s="862" t="s">
        <v>142</v>
      </c>
      <c r="CA204" s="862" t="s">
        <v>205</v>
      </c>
      <c r="CB204" s="862" t="s">
        <v>206</v>
      </c>
      <c r="CC204" s="862" t="s">
        <v>207</v>
      </c>
      <c r="CD204" s="862" t="s">
        <v>208</v>
      </c>
      <c r="CE204" s="862" t="s">
        <v>143</v>
      </c>
      <c r="CF204" s="862" t="s">
        <v>209</v>
      </c>
      <c r="CG204" s="862" t="s">
        <v>210</v>
      </c>
      <c r="CH204" s="862" t="s">
        <v>211</v>
      </c>
      <c r="CI204" s="863" t="s">
        <v>212</v>
      </c>
      <c r="CK204" s="1363"/>
    </row>
    <row r="205" spans="1:89" s="1362" customFormat="1" x14ac:dyDescent="0.25">
      <c r="A205" s="1353"/>
      <c r="B205" s="864" t="s">
        <v>357</v>
      </c>
      <c r="C205" s="865" t="s">
        <v>358</v>
      </c>
      <c r="D205" s="866" t="s">
        <v>79</v>
      </c>
      <c r="E205" s="867" t="s">
        <v>146</v>
      </c>
      <c r="F205" s="868">
        <v>2</v>
      </c>
      <c r="G205" s="568"/>
      <c r="H205" s="568"/>
      <c r="I205" s="568"/>
      <c r="J205" s="568"/>
      <c r="K205" s="568"/>
      <c r="L205" s="568"/>
      <c r="M205" s="569"/>
      <c r="N205" s="569"/>
      <c r="O205" s="569"/>
      <c r="P205" s="569"/>
      <c r="Q205" s="569"/>
      <c r="R205" s="569"/>
      <c r="S205" s="569"/>
      <c r="T205" s="569"/>
      <c r="U205" s="569"/>
      <c r="V205" s="569"/>
      <c r="W205" s="569"/>
      <c r="X205" s="569"/>
      <c r="Y205" s="569"/>
      <c r="Z205" s="569"/>
      <c r="AA205" s="569"/>
      <c r="AB205" s="569"/>
      <c r="AC205" s="569"/>
      <c r="AD205" s="569"/>
      <c r="AE205" s="569"/>
      <c r="AF205" s="569"/>
      <c r="AG205" s="569"/>
      <c r="AH205" s="569"/>
      <c r="AI205" s="569"/>
      <c r="AJ205" s="569"/>
      <c r="AK205" s="569"/>
      <c r="AL205" s="569"/>
      <c r="AM205" s="569"/>
      <c r="AN205" s="569"/>
      <c r="AO205" s="569"/>
      <c r="AP205" s="569"/>
      <c r="AQ205" s="569"/>
      <c r="AR205" s="569"/>
      <c r="AS205" s="569"/>
      <c r="AT205" s="569"/>
      <c r="AU205" s="569"/>
      <c r="AV205" s="569"/>
      <c r="AW205" s="569"/>
      <c r="AX205" s="569"/>
      <c r="AY205" s="569"/>
      <c r="AZ205" s="569"/>
      <c r="BA205" s="569"/>
      <c r="BB205" s="569"/>
      <c r="BC205" s="569"/>
      <c r="BD205" s="569"/>
      <c r="BE205" s="569"/>
      <c r="BF205" s="569"/>
      <c r="BG205" s="569"/>
      <c r="BH205" s="569"/>
      <c r="BI205" s="569"/>
      <c r="BJ205" s="569"/>
      <c r="BK205" s="569"/>
      <c r="BL205" s="569"/>
      <c r="BM205" s="569"/>
      <c r="BN205" s="569"/>
      <c r="BO205" s="569"/>
      <c r="BP205" s="569"/>
      <c r="BQ205" s="569"/>
      <c r="BR205" s="569"/>
      <c r="BS205" s="569"/>
      <c r="BT205" s="569"/>
      <c r="BU205" s="569"/>
      <c r="BV205" s="569"/>
      <c r="BW205" s="569"/>
      <c r="BX205" s="569"/>
      <c r="BY205" s="569"/>
      <c r="BZ205" s="569"/>
      <c r="CA205" s="569"/>
      <c r="CB205" s="569"/>
      <c r="CC205" s="569"/>
      <c r="CD205" s="569"/>
      <c r="CE205" s="569"/>
      <c r="CF205" s="569"/>
      <c r="CG205" s="569"/>
      <c r="CH205" s="569"/>
      <c r="CI205" s="570"/>
      <c r="CK205" s="1363"/>
    </row>
    <row r="206" spans="1:89" s="1362" customFormat="1" x14ac:dyDescent="0.25">
      <c r="A206" s="1353"/>
      <c r="B206" s="869" t="s">
        <v>359</v>
      </c>
      <c r="C206" s="870" t="s">
        <v>590</v>
      </c>
      <c r="D206" s="871" t="s">
        <v>79</v>
      </c>
      <c r="E206" s="872" t="s">
        <v>146</v>
      </c>
      <c r="F206" s="873">
        <v>2</v>
      </c>
      <c r="G206" s="1058"/>
      <c r="H206" s="1058"/>
      <c r="I206" s="1058"/>
      <c r="J206" s="1058"/>
      <c r="K206" s="1058"/>
      <c r="L206" s="1058"/>
      <c r="M206" s="1059"/>
      <c r="N206" s="1059"/>
      <c r="O206" s="1059"/>
      <c r="P206" s="1059"/>
      <c r="Q206" s="1059"/>
      <c r="R206" s="1059"/>
      <c r="S206" s="1059"/>
      <c r="T206" s="1059"/>
      <c r="U206" s="1059"/>
      <c r="V206" s="1059"/>
      <c r="W206" s="1059"/>
      <c r="X206" s="1059"/>
      <c r="Y206" s="1059"/>
      <c r="Z206" s="1059"/>
      <c r="AA206" s="1059"/>
      <c r="AB206" s="1059"/>
      <c r="AC206" s="1059"/>
      <c r="AD206" s="1059"/>
      <c r="AE206" s="1059"/>
      <c r="AF206" s="1059"/>
      <c r="AG206" s="1059"/>
      <c r="AH206" s="1059"/>
      <c r="AI206" s="1059"/>
      <c r="AJ206" s="1059"/>
      <c r="AK206" s="1059"/>
      <c r="AL206" s="1059"/>
      <c r="AM206" s="1059"/>
      <c r="AN206" s="1059"/>
      <c r="AO206" s="1059"/>
      <c r="AP206" s="1059"/>
      <c r="AQ206" s="1059"/>
      <c r="AR206" s="1059"/>
      <c r="AS206" s="1059"/>
      <c r="AT206" s="1059"/>
      <c r="AU206" s="1059"/>
      <c r="AV206" s="1059"/>
      <c r="AW206" s="1059"/>
      <c r="AX206" s="1059"/>
      <c r="AY206" s="1059"/>
      <c r="AZ206" s="1059"/>
      <c r="BA206" s="1059"/>
      <c r="BB206" s="1059"/>
      <c r="BC206" s="1059"/>
      <c r="BD206" s="1059"/>
      <c r="BE206" s="1059"/>
      <c r="BF206" s="1059"/>
      <c r="BG206" s="1059"/>
      <c r="BH206" s="1059"/>
      <c r="BI206" s="1059"/>
      <c r="BJ206" s="1059"/>
      <c r="BK206" s="1059"/>
      <c r="BL206" s="1059"/>
      <c r="BM206" s="1059"/>
      <c r="BN206" s="1059"/>
      <c r="BO206" s="1059"/>
      <c r="BP206" s="1059"/>
      <c r="BQ206" s="1059"/>
      <c r="BR206" s="1059"/>
      <c r="BS206" s="1059"/>
      <c r="BT206" s="1059"/>
      <c r="BU206" s="1059"/>
      <c r="BV206" s="1059"/>
      <c r="BW206" s="1059"/>
      <c r="BX206" s="1059"/>
      <c r="BY206" s="1059"/>
      <c r="BZ206" s="1059"/>
      <c r="CA206" s="1059"/>
      <c r="CB206" s="1059"/>
      <c r="CC206" s="1059"/>
      <c r="CD206" s="1059"/>
      <c r="CE206" s="1059"/>
      <c r="CF206" s="1059"/>
      <c r="CG206" s="1059"/>
      <c r="CH206" s="1059"/>
      <c r="CI206" s="1060"/>
      <c r="CK206" s="1363"/>
    </row>
    <row r="207" spans="1:89" s="1362" customFormat="1" x14ac:dyDescent="0.25">
      <c r="A207" s="1353"/>
      <c r="B207" s="869" t="s">
        <v>361</v>
      </c>
      <c r="C207" s="870" t="s">
        <v>362</v>
      </c>
      <c r="D207" s="871" t="s">
        <v>79</v>
      </c>
      <c r="E207" s="872" t="s">
        <v>146</v>
      </c>
      <c r="F207" s="873">
        <v>2</v>
      </c>
      <c r="G207" s="576"/>
      <c r="H207" s="576"/>
      <c r="I207" s="576"/>
      <c r="J207" s="576"/>
      <c r="K207" s="576"/>
      <c r="L207" s="576"/>
      <c r="M207" s="577"/>
      <c r="N207" s="577"/>
      <c r="O207" s="577"/>
      <c r="P207" s="577"/>
      <c r="Q207" s="577"/>
      <c r="R207" s="577"/>
      <c r="S207" s="577"/>
      <c r="T207" s="577"/>
      <c r="U207" s="577"/>
      <c r="V207" s="577"/>
      <c r="W207" s="577"/>
      <c r="X207" s="577"/>
      <c r="Y207" s="577"/>
      <c r="Z207" s="577"/>
      <c r="AA207" s="577"/>
      <c r="AB207" s="577"/>
      <c r="AC207" s="577"/>
      <c r="AD207" s="577"/>
      <c r="AE207" s="577"/>
      <c r="AF207" s="577"/>
      <c r="AG207" s="577"/>
      <c r="AH207" s="577"/>
      <c r="AI207" s="577"/>
      <c r="AJ207" s="577"/>
      <c r="AK207" s="577"/>
      <c r="AL207" s="577"/>
      <c r="AM207" s="577"/>
      <c r="AN207" s="577"/>
      <c r="AO207" s="577"/>
      <c r="AP207" s="577"/>
      <c r="AQ207" s="577"/>
      <c r="AR207" s="577"/>
      <c r="AS207" s="577"/>
      <c r="AT207" s="577"/>
      <c r="AU207" s="577"/>
      <c r="AV207" s="577"/>
      <c r="AW207" s="577"/>
      <c r="AX207" s="577"/>
      <c r="AY207" s="577"/>
      <c r="AZ207" s="577"/>
      <c r="BA207" s="577"/>
      <c r="BB207" s="577"/>
      <c r="BC207" s="577"/>
      <c r="BD207" s="577"/>
      <c r="BE207" s="577"/>
      <c r="BF207" s="577"/>
      <c r="BG207" s="577"/>
      <c r="BH207" s="577"/>
      <c r="BI207" s="577"/>
      <c r="BJ207" s="577"/>
      <c r="BK207" s="577"/>
      <c r="BL207" s="577"/>
      <c r="BM207" s="577"/>
      <c r="BN207" s="577"/>
      <c r="BO207" s="577"/>
      <c r="BP207" s="577"/>
      <c r="BQ207" s="577"/>
      <c r="BR207" s="577"/>
      <c r="BS207" s="577"/>
      <c r="BT207" s="577"/>
      <c r="BU207" s="577"/>
      <c r="BV207" s="577"/>
      <c r="BW207" s="577"/>
      <c r="BX207" s="577"/>
      <c r="BY207" s="577"/>
      <c r="BZ207" s="577"/>
      <c r="CA207" s="577"/>
      <c r="CB207" s="577"/>
      <c r="CC207" s="577"/>
      <c r="CD207" s="577"/>
      <c r="CE207" s="577"/>
      <c r="CF207" s="577"/>
      <c r="CG207" s="577"/>
      <c r="CH207" s="577"/>
      <c r="CI207" s="578"/>
      <c r="CK207" s="1363"/>
    </row>
    <row r="208" spans="1:89" s="1362" customFormat="1" x14ac:dyDescent="0.25">
      <c r="A208" s="1353"/>
      <c r="B208" s="869" t="s">
        <v>363</v>
      </c>
      <c r="C208" s="870" t="s">
        <v>364</v>
      </c>
      <c r="D208" s="871" t="s">
        <v>79</v>
      </c>
      <c r="E208" s="872" t="s">
        <v>146</v>
      </c>
      <c r="F208" s="873">
        <v>2</v>
      </c>
      <c r="G208" s="576"/>
      <c r="H208" s="576"/>
      <c r="I208" s="576"/>
      <c r="J208" s="576"/>
      <c r="K208" s="576"/>
      <c r="L208" s="576"/>
      <c r="M208" s="577"/>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c r="AS208" s="577"/>
      <c r="AT208" s="577"/>
      <c r="AU208" s="577"/>
      <c r="AV208" s="577"/>
      <c r="AW208" s="577"/>
      <c r="AX208" s="577"/>
      <c r="AY208" s="577"/>
      <c r="AZ208" s="577"/>
      <c r="BA208" s="577"/>
      <c r="BB208" s="577"/>
      <c r="BC208" s="577"/>
      <c r="BD208" s="577"/>
      <c r="BE208" s="577"/>
      <c r="BF208" s="577"/>
      <c r="BG208" s="577"/>
      <c r="BH208" s="577"/>
      <c r="BI208" s="577"/>
      <c r="BJ208" s="577"/>
      <c r="BK208" s="577"/>
      <c r="BL208" s="577"/>
      <c r="BM208" s="577"/>
      <c r="BN208" s="577"/>
      <c r="BO208" s="577"/>
      <c r="BP208" s="577"/>
      <c r="BQ208" s="577"/>
      <c r="BR208" s="577"/>
      <c r="BS208" s="577"/>
      <c r="BT208" s="577"/>
      <c r="BU208" s="577"/>
      <c r="BV208" s="577"/>
      <c r="BW208" s="577"/>
      <c r="BX208" s="577"/>
      <c r="BY208" s="577"/>
      <c r="BZ208" s="577"/>
      <c r="CA208" s="577"/>
      <c r="CB208" s="577"/>
      <c r="CC208" s="577"/>
      <c r="CD208" s="577"/>
      <c r="CE208" s="577"/>
      <c r="CF208" s="577"/>
      <c r="CG208" s="577"/>
      <c r="CH208" s="577"/>
      <c r="CI208" s="578"/>
      <c r="CK208" s="1363"/>
    </row>
    <row r="209" spans="1:89" s="1362" customFormat="1" x14ac:dyDescent="0.25">
      <c r="A209" s="1353"/>
      <c r="B209" s="874" t="s">
        <v>365</v>
      </c>
      <c r="C209" s="870" t="s">
        <v>366</v>
      </c>
      <c r="D209" s="871" t="s">
        <v>79</v>
      </c>
      <c r="E209" s="872" t="s">
        <v>146</v>
      </c>
      <c r="F209" s="873">
        <v>2</v>
      </c>
      <c r="G209" s="576"/>
      <c r="H209" s="576"/>
      <c r="I209" s="576"/>
      <c r="J209" s="576"/>
      <c r="K209" s="576"/>
      <c r="L209" s="576"/>
      <c r="M209" s="577"/>
      <c r="N209" s="577"/>
      <c r="O209" s="577"/>
      <c r="P209" s="577"/>
      <c r="Q209" s="577"/>
      <c r="R209" s="577"/>
      <c r="S209" s="577"/>
      <c r="T209" s="577"/>
      <c r="U209" s="577"/>
      <c r="V209" s="577"/>
      <c r="W209" s="577"/>
      <c r="X209" s="577"/>
      <c r="Y209" s="577"/>
      <c r="Z209" s="577"/>
      <c r="AA209" s="577"/>
      <c r="AB209" s="577"/>
      <c r="AC209" s="577"/>
      <c r="AD209" s="577"/>
      <c r="AE209" s="577"/>
      <c r="AF209" s="577"/>
      <c r="AG209" s="577"/>
      <c r="AH209" s="577"/>
      <c r="AI209" s="577"/>
      <c r="AJ209" s="577"/>
      <c r="AK209" s="577"/>
      <c r="AL209" s="577"/>
      <c r="AM209" s="577"/>
      <c r="AN209" s="577"/>
      <c r="AO209" s="577"/>
      <c r="AP209" s="577"/>
      <c r="AQ209" s="577"/>
      <c r="AR209" s="577"/>
      <c r="AS209" s="577"/>
      <c r="AT209" s="577"/>
      <c r="AU209" s="577"/>
      <c r="AV209" s="577"/>
      <c r="AW209" s="577"/>
      <c r="AX209" s="577"/>
      <c r="AY209" s="577"/>
      <c r="AZ209" s="577"/>
      <c r="BA209" s="577"/>
      <c r="BB209" s="577"/>
      <c r="BC209" s="577"/>
      <c r="BD209" s="577"/>
      <c r="BE209" s="577"/>
      <c r="BF209" s="577"/>
      <c r="BG209" s="577"/>
      <c r="BH209" s="577"/>
      <c r="BI209" s="577"/>
      <c r="BJ209" s="577"/>
      <c r="BK209" s="577"/>
      <c r="BL209" s="577"/>
      <c r="BM209" s="577"/>
      <c r="BN209" s="577"/>
      <c r="BO209" s="577"/>
      <c r="BP209" s="577"/>
      <c r="BQ209" s="577"/>
      <c r="BR209" s="577"/>
      <c r="BS209" s="577"/>
      <c r="BT209" s="577"/>
      <c r="BU209" s="577"/>
      <c r="BV209" s="577"/>
      <c r="BW209" s="577"/>
      <c r="BX209" s="577"/>
      <c r="BY209" s="577"/>
      <c r="BZ209" s="577"/>
      <c r="CA209" s="577"/>
      <c r="CB209" s="577"/>
      <c r="CC209" s="577"/>
      <c r="CD209" s="577"/>
      <c r="CE209" s="577"/>
      <c r="CF209" s="577"/>
      <c r="CG209" s="577"/>
      <c r="CH209" s="577"/>
      <c r="CI209" s="578"/>
      <c r="CK209" s="1363"/>
    </row>
    <row r="210" spans="1:89" s="1362" customFormat="1" x14ac:dyDescent="0.25">
      <c r="A210" s="1353"/>
      <c r="B210" s="874" t="s">
        <v>367</v>
      </c>
      <c r="C210" s="870" t="s">
        <v>368</v>
      </c>
      <c r="D210" s="871" t="s">
        <v>79</v>
      </c>
      <c r="E210" s="872" t="s">
        <v>146</v>
      </c>
      <c r="F210" s="873">
        <v>2</v>
      </c>
      <c r="G210" s="576"/>
      <c r="H210" s="576"/>
      <c r="I210" s="576"/>
      <c r="J210" s="576"/>
      <c r="K210" s="576"/>
      <c r="L210" s="576"/>
      <c r="M210" s="577"/>
      <c r="N210" s="577"/>
      <c r="O210" s="577"/>
      <c r="P210" s="577"/>
      <c r="Q210" s="577"/>
      <c r="R210" s="577"/>
      <c r="S210" s="577"/>
      <c r="T210" s="577"/>
      <c r="U210" s="577"/>
      <c r="V210" s="577"/>
      <c r="W210" s="577"/>
      <c r="X210" s="577"/>
      <c r="Y210" s="577"/>
      <c r="Z210" s="577"/>
      <c r="AA210" s="577"/>
      <c r="AB210" s="577"/>
      <c r="AC210" s="577"/>
      <c r="AD210" s="577"/>
      <c r="AE210" s="577"/>
      <c r="AF210" s="577"/>
      <c r="AG210" s="577"/>
      <c r="AH210" s="577"/>
      <c r="AI210" s="577"/>
      <c r="AJ210" s="577"/>
      <c r="AK210" s="577"/>
      <c r="AL210" s="577"/>
      <c r="AM210" s="577"/>
      <c r="AN210" s="577"/>
      <c r="AO210" s="577"/>
      <c r="AP210" s="577"/>
      <c r="AQ210" s="577"/>
      <c r="AR210" s="577"/>
      <c r="AS210" s="577"/>
      <c r="AT210" s="577"/>
      <c r="AU210" s="577"/>
      <c r="AV210" s="577"/>
      <c r="AW210" s="577"/>
      <c r="AX210" s="577"/>
      <c r="AY210" s="577"/>
      <c r="AZ210" s="577"/>
      <c r="BA210" s="577"/>
      <c r="BB210" s="577"/>
      <c r="BC210" s="577"/>
      <c r="BD210" s="577"/>
      <c r="BE210" s="577"/>
      <c r="BF210" s="577"/>
      <c r="BG210" s="577"/>
      <c r="BH210" s="577"/>
      <c r="BI210" s="577"/>
      <c r="BJ210" s="577"/>
      <c r="BK210" s="577"/>
      <c r="BL210" s="577"/>
      <c r="BM210" s="577"/>
      <c r="BN210" s="577"/>
      <c r="BO210" s="577"/>
      <c r="BP210" s="577"/>
      <c r="BQ210" s="577"/>
      <c r="BR210" s="577"/>
      <c r="BS210" s="577"/>
      <c r="BT210" s="577"/>
      <c r="BU210" s="577"/>
      <c r="BV210" s="577"/>
      <c r="BW210" s="577"/>
      <c r="BX210" s="577"/>
      <c r="BY210" s="577"/>
      <c r="BZ210" s="577"/>
      <c r="CA210" s="577"/>
      <c r="CB210" s="577"/>
      <c r="CC210" s="577"/>
      <c r="CD210" s="577"/>
      <c r="CE210" s="577"/>
      <c r="CF210" s="577"/>
      <c r="CG210" s="577"/>
      <c r="CH210" s="577"/>
      <c r="CI210" s="578"/>
      <c r="CK210" s="1363"/>
    </row>
    <row r="211" spans="1:89" s="1362" customFormat="1" x14ac:dyDescent="0.25">
      <c r="A211" s="1353"/>
      <c r="B211" s="874" t="s">
        <v>369</v>
      </c>
      <c r="C211" s="870" t="s">
        <v>370</v>
      </c>
      <c r="D211" s="871" t="s">
        <v>79</v>
      </c>
      <c r="E211" s="872" t="s">
        <v>146</v>
      </c>
      <c r="F211" s="873">
        <v>2</v>
      </c>
      <c r="G211" s="576"/>
      <c r="H211" s="576"/>
      <c r="I211" s="576"/>
      <c r="J211" s="576"/>
      <c r="K211" s="576"/>
      <c r="L211" s="576"/>
      <c r="M211" s="580"/>
      <c r="N211" s="580"/>
      <c r="O211" s="580"/>
      <c r="P211" s="580"/>
      <c r="Q211" s="580"/>
      <c r="R211" s="580"/>
      <c r="S211" s="580"/>
      <c r="T211" s="580"/>
      <c r="U211" s="580"/>
      <c r="V211" s="580"/>
      <c r="W211" s="580"/>
      <c r="X211" s="580"/>
      <c r="Y211" s="580"/>
      <c r="Z211" s="580"/>
      <c r="AA211" s="580"/>
      <c r="AB211" s="580"/>
      <c r="AC211" s="580"/>
      <c r="AD211" s="580"/>
      <c r="AE211" s="580"/>
      <c r="AF211" s="580"/>
      <c r="AG211" s="580"/>
      <c r="AH211" s="580"/>
      <c r="AI211" s="580"/>
      <c r="AJ211" s="580"/>
      <c r="AK211" s="580"/>
      <c r="AL211" s="580"/>
      <c r="AM211" s="580"/>
      <c r="AN211" s="580"/>
      <c r="AO211" s="580"/>
      <c r="AP211" s="580"/>
      <c r="AQ211" s="580"/>
      <c r="AR211" s="580"/>
      <c r="AS211" s="580"/>
      <c r="AT211" s="580"/>
      <c r="AU211" s="580"/>
      <c r="AV211" s="580"/>
      <c r="AW211" s="580"/>
      <c r="AX211" s="580"/>
      <c r="AY211" s="580"/>
      <c r="AZ211" s="580"/>
      <c r="BA211" s="580"/>
      <c r="BB211" s="580"/>
      <c r="BC211" s="580"/>
      <c r="BD211" s="580"/>
      <c r="BE211" s="580"/>
      <c r="BF211" s="580"/>
      <c r="BG211" s="580"/>
      <c r="BH211" s="580"/>
      <c r="BI211" s="580"/>
      <c r="BJ211" s="580"/>
      <c r="BK211" s="580"/>
      <c r="BL211" s="580"/>
      <c r="BM211" s="580"/>
      <c r="BN211" s="580"/>
      <c r="BO211" s="580"/>
      <c r="BP211" s="580"/>
      <c r="BQ211" s="580"/>
      <c r="BR211" s="580"/>
      <c r="BS211" s="580"/>
      <c r="BT211" s="580"/>
      <c r="BU211" s="580"/>
      <c r="BV211" s="580"/>
      <c r="BW211" s="580"/>
      <c r="BX211" s="580"/>
      <c r="BY211" s="580"/>
      <c r="BZ211" s="580"/>
      <c r="CA211" s="580"/>
      <c r="CB211" s="580"/>
      <c r="CC211" s="580"/>
      <c r="CD211" s="580"/>
      <c r="CE211" s="580"/>
      <c r="CF211" s="580"/>
      <c r="CG211" s="580"/>
      <c r="CH211" s="580"/>
      <c r="CI211" s="581"/>
      <c r="CK211" s="1363"/>
    </row>
    <row r="212" spans="1:89" s="1362" customFormat="1" x14ac:dyDescent="0.25">
      <c r="A212" s="1353"/>
      <c r="B212" s="874" t="s">
        <v>371</v>
      </c>
      <c r="C212" s="875" t="s">
        <v>372</v>
      </c>
      <c r="D212" s="871" t="s">
        <v>373</v>
      </c>
      <c r="E212" s="872" t="s">
        <v>146</v>
      </c>
      <c r="F212" s="873">
        <v>2</v>
      </c>
      <c r="G212" s="583"/>
      <c r="H212" s="583"/>
      <c r="I212" s="583">
        <f t="shared" ref="I212:BS212" si="104">I211+I213</f>
        <v>0</v>
      </c>
      <c r="J212" s="583">
        <f t="shared" si="104"/>
        <v>0</v>
      </c>
      <c r="K212" s="583">
        <f t="shared" si="104"/>
        <v>0</v>
      </c>
      <c r="L212" s="583">
        <f t="shared" si="104"/>
        <v>0</v>
      </c>
      <c r="M212" s="588">
        <f t="shared" si="104"/>
        <v>0</v>
      </c>
      <c r="N212" s="588">
        <f t="shared" si="104"/>
        <v>0</v>
      </c>
      <c r="O212" s="588">
        <f t="shared" si="104"/>
        <v>0</v>
      </c>
      <c r="P212" s="588">
        <f t="shared" si="104"/>
        <v>0</v>
      </c>
      <c r="Q212" s="588">
        <f t="shared" si="104"/>
        <v>0</v>
      </c>
      <c r="R212" s="588">
        <f t="shared" si="104"/>
        <v>0</v>
      </c>
      <c r="S212" s="588">
        <f t="shared" si="104"/>
        <v>0</v>
      </c>
      <c r="T212" s="588">
        <f t="shared" si="104"/>
        <v>0</v>
      </c>
      <c r="U212" s="588">
        <f t="shared" si="104"/>
        <v>0</v>
      </c>
      <c r="V212" s="588">
        <f t="shared" si="104"/>
        <v>0</v>
      </c>
      <c r="W212" s="588">
        <f t="shared" si="104"/>
        <v>0</v>
      </c>
      <c r="X212" s="588">
        <f t="shared" si="104"/>
        <v>0</v>
      </c>
      <c r="Y212" s="588">
        <f t="shared" si="104"/>
        <v>0</v>
      </c>
      <c r="Z212" s="588">
        <f t="shared" si="104"/>
        <v>0</v>
      </c>
      <c r="AA212" s="588">
        <f t="shared" si="104"/>
        <v>0</v>
      </c>
      <c r="AB212" s="588">
        <f t="shared" si="104"/>
        <v>0</v>
      </c>
      <c r="AC212" s="588">
        <f t="shared" si="104"/>
        <v>0</v>
      </c>
      <c r="AD212" s="588">
        <f t="shared" si="104"/>
        <v>0</v>
      </c>
      <c r="AE212" s="588">
        <f t="shared" si="104"/>
        <v>0</v>
      </c>
      <c r="AF212" s="588">
        <f t="shared" si="104"/>
        <v>0</v>
      </c>
      <c r="AG212" s="588">
        <f t="shared" si="104"/>
        <v>0</v>
      </c>
      <c r="AH212" s="588">
        <f t="shared" si="104"/>
        <v>0</v>
      </c>
      <c r="AI212" s="588">
        <f t="shared" si="104"/>
        <v>0</v>
      </c>
      <c r="AJ212" s="588">
        <f t="shared" si="104"/>
        <v>0</v>
      </c>
      <c r="AK212" s="588">
        <f t="shared" si="104"/>
        <v>0</v>
      </c>
      <c r="AL212" s="588">
        <f t="shared" si="104"/>
        <v>0</v>
      </c>
      <c r="AM212" s="588">
        <f t="shared" si="104"/>
        <v>0</v>
      </c>
      <c r="AN212" s="588">
        <f t="shared" si="104"/>
        <v>0</v>
      </c>
      <c r="AO212" s="588">
        <f t="shared" si="104"/>
        <v>0</v>
      </c>
      <c r="AP212" s="588">
        <f t="shared" si="104"/>
        <v>0</v>
      </c>
      <c r="AQ212" s="588">
        <f t="shared" si="104"/>
        <v>0</v>
      </c>
      <c r="AR212" s="588">
        <f t="shared" si="104"/>
        <v>0</v>
      </c>
      <c r="AS212" s="588">
        <f t="shared" si="104"/>
        <v>0</v>
      </c>
      <c r="AT212" s="588">
        <f t="shared" si="104"/>
        <v>0</v>
      </c>
      <c r="AU212" s="588">
        <f t="shared" si="104"/>
        <v>0</v>
      </c>
      <c r="AV212" s="588">
        <f t="shared" si="104"/>
        <v>0</v>
      </c>
      <c r="AW212" s="588">
        <f t="shared" si="104"/>
        <v>0</v>
      </c>
      <c r="AX212" s="588">
        <f t="shared" si="104"/>
        <v>0</v>
      </c>
      <c r="AY212" s="588">
        <f t="shared" si="104"/>
        <v>0</v>
      </c>
      <c r="AZ212" s="588">
        <f t="shared" si="104"/>
        <v>0</v>
      </c>
      <c r="BA212" s="588">
        <f t="shared" si="104"/>
        <v>0</v>
      </c>
      <c r="BB212" s="588">
        <f t="shared" si="104"/>
        <v>0</v>
      </c>
      <c r="BC212" s="588">
        <f t="shared" si="104"/>
        <v>0</v>
      </c>
      <c r="BD212" s="588">
        <f t="shared" si="104"/>
        <v>0</v>
      </c>
      <c r="BE212" s="588">
        <f t="shared" si="104"/>
        <v>0</v>
      </c>
      <c r="BF212" s="588">
        <f t="shared" si="104"/>
        <v>0</v>
      </c>
      <c r="BG212" s="588">
        <f t="shared" si="104"/>
        <v>0</v>
      </c>
      <c r="BH212" s="588">
        <f t="shared" si="104"/>
        <v>0</v>
      </c>
      <c r="BI212" s="588">
        <f t="shared" si="104"/>
        <v>0</v>
      </c>
      <c r="BJ212" s="588">
        <f t="shared" si="104"/>
        <v>0</v>
      </c>
      <c r="BK212" s="588">
        <f t="shared" si="104"/>
        <v>0</v>
      </c>
      <c r="BL212" s="588">
        <f t="shared" si="104"/>
        <v>0</v>
      </c>
      <c r="BM212" s="588">
        <f t="shared" si="104"/>
        <v>0</v>
      </c>
      <c r="BN212" s="588">
        <f t="shared" si="104"/>
        <v>0</v>
      </c>
      <c r="BO212" s="588">
        <f t="shared" si="104"/>
        <v>0</v>
      </c>
      <c r="BP212" s="588">
        <f t="shared" si="104"/>
        <v>0</v>
      </c>
      <c r="BQ212" s="588">
        <f t="shared" si="104"/>
        <v>0</v>
      </c>
      <c r="BR212" s="588">
        <f t="shared" si="104"/>
        <v>0</v>
      </c>
      <c r="BS212" s="588">
        <f t="shared" si="104"/>
        <v>0</v>
      </c>
      <c r="BT212" s="588">
        <f t="shared" ref="BT212:CI212" si="105">BT211+BT213</f>
        <v>0</v>
      </c>
      <c r="BU212" s="588">
        <f t="shared" si="105"/>
        <v>0</v>
      </c>
      <c r="BV212" s="588">
        <f t="shared" si="105"/>
        <v>0</v>
      </c>
      <c r="BW212" s="588">
        <f t="shared" si="105"/>
        <v>0</v>
      </c>
      <c r="BX212" s="588">
        <f t="shared" si="105"/>
        <v>0</v>
      </c>
      <c r="BY212" s="588">
        <f t="shared" si="105"/>
        <v>0</v>
      </c>
      <c r="BZ212" s="588">
        <f t="shared" si="105"/>
        <v>0</v>
      </c>
      <c r="CA212" s="588">
        <f t="shared" si="105"/>
        <v>0</v>
      </c>
      <c r="CB212" s="588">
        <f t="shared" si="105"/>
        <v>0</v>
      </c>
      <c r="CC212" s="588">
        <f t="shared" si="105"/>
        <v>0</v>
      </c>
      <c r="CD212" s="588">
        <f t="shared" si="105"/>
        <v>0</v>
      </c>
      <c r="CE212" s="588">
        <f t="shared" si="105"/>
        <v>0</v>
      </c>
      <c r="CF212" s="588">
        <f t="shared" si="105"/>
        <v>0</v>
      </c>
      <c r="CG212" s="588">
        <f t="shared" si="105"/>
        <v>0</v>
      </c>
      <c r="CH212" s="588">
        <f t="shared" si="105"/>
        <v>0</v>
      </c>
      <c r="CI212" s="584">
        <f t="shared" si="105"/>
        <v>0</v>
      </c>
      <c r="CK212" s="1363"/>
    </row>
    <row r="213" spans="1:89" s="1362" customFormat="1" x14ac:dyDescent="0.25">
      <c r="A213" s="1353"/>
      <c r="B213" s="876" t="s">
        <v>374</v>
      </c>
      <c r="C213" s="877" t="s">
        <v>375</v>
      </c>
      <c r="D213" s="877" t="s">
        <v>376</v>
      </c>
      <c r="E213" s="878" t="s">
        <v>146</v>
      </c>
      <c r="F213" s="873">
        <v>2</v>
      </c>
      <c r="G213" s="583"/>
      <c r="H213" s="583"/>
      <c r="I213" s="583">
        <f t="shared" ref="I213:BS213" si="106">SUM(I214:I219)</f>
        <v>0</v>
      </c>
      <c r="J213" s="583">
        <f t="shared" si="106"/>
        <v>0</v>
      </c>
      <c r="K213" s="583">
        <f t="shared" si="106"/>
        <v>0</v>
      </c>
      <c r="L213" s="583">
        <f t="shared" si="106"/>
        <v>0</v>
      </c>
      <c r="M213" s="588">
        <f t="shared" si="106"/>
        <v>0</v>
      </c>
      <c r="N213" s="588">
        <f t="shared" si="106"/>
        <v>0</v>
      </c>
      <c r="O213" s="588">
        <f t="shared" si="106"/>
        <v>0</v>
      </c>
      <c r="P213" s="588">
        <f t="shared" si="106"/>
        <v>0</v>
      </c>
      <c r="Q213" s="588">
        <f t="shared" si="106"/>
        <v>0</v>
      </c>
      <c r="R213" s="588">
        <f t="shared" si="106"/>
        <v>0</v>
      </c>
      <c r="S213" s="588">
        <f t="shared" si="106"/>
        <v>0</v>
      </c>
      <c r="T213" s="588">
        <f t="shared" si="106"/>
        <v>0</v>
      </c>
      <c r="U213" s="588">
        <f t="shared" si="106"/>
        <v>0</v>
      </c>
      <c r="V213" s="588">
        <f t="shared" si="106"/>
        <v>0</v>
      </c>
      <c r="W213" s="588">
        <f t="shared" si="106"/>
        <v>0</v>
      </c>
      <c r="X213" s="588">
        <f t="shared" si="106"/>
        <v>0</v>
      </c>
      <c r="Y213" s="588">
        <f t="shared" si="106"/>
        <v>0</v>
      </c>
      <c r="Z213" s="588">
        <f t="shared" si="106"/>
        <v>0</v>
      </c>
      <c r="AA213" s="588">
        <f t="shared" si="106"/>
        <v>0</v>
      </c>
      <c r="AB213" s="588">
        <f t="shared" si="106"/>
        <v>0</v>
      </c>
      <c r="AC213" s="588">
        <f t="shared" si="106"/>
        <v>0</v>
      </c>
      <c r="AD213" s="588">
        <f t="shared" si="106"/>
        <v>0</v>
      </c>
      <c r="AE213" s="588">
        <f t="shared" si="106"/>
        <v>0</v>
      </c>
      <c r="AF213" s="588">
        <f t="shared" si="106"/>
        <v>0</v>
      </c>
      <c r="AG213" s="588">
        <f t="shared" si="106"/>
        <v>0</v>
      </c>
      <c r="AH213" s="588">
        <f t="shared" si="106"/>
        <v>0</v>
      </c>
      <c r="AI213" s="588">
        <f t="shared" si="106"/>
        <v>0</v>
      </c>
      <c r="AJ213" s="588">
        <f t="shared" si="106"/>
        <v>0</v>
      </c>
      <c r="AK213" s="588">
        <f t="shared" si="106"/>
        <v>0</v>
      </c>
      <c r="AL213" s="588">
        <f t="shared" si="106"/>
        <v>0</v>
      </c>
      <c r="AM213" s="588">
        <f t="shared" si="106"/>
        <v>0</v>
      </c>
      <c r="AN213" s="588">
        <f t="shared" si="106"/>
        <v>0</v>
      </c>
      <c r="AO213" s="588">
        <f t="shared" si="106"/>
        <v>0</v>
      </c>
      <c r="AP213" s="588">
        <f t="shared" si="106"/>
        <v>0</v>
      </c>
      <c r="AQ213" s="588">
        <f t="shared" si="106"/>
        <v>0</v>
      </c>
      <c r="AR213" s="588">
        <f t="shared" si="106"/>
        <v>0</v>
      </c>
      <c r="AS213" s="588">
        <f t="shared" si="106"/>
        <v>0</v>
      </c>
      <c r="AT213" s="588">
        <f t="shared" si="106"/>
        <v>0</v>
      </c>
      <c r="AU213" s="588">
        <f t="shared" si="106"/>
        <v>0</v>
      </c>
      <c r="AV213" s="588">
        <f t="shared" si="106"/>
        <v>0</v>
      </c>
      <c r="AW213" s="588">
        <f t="shared" si="106"/>
        <v>0</v>
      </c>
      <c r="AX213" s="588">
        <f t="shared" si="106"/>
        <v>0</v>
      </c>
      <c r="AY213" s="588">
        <f t="shared" si="106"/>
        <v>0</v>
      </c>
      <c r="AZ213" s="588">
        <f t="shared" si="106"/>
        <v>0</v>
      </c>
      <c r="BA213" s="588">
        <f t="shared" si="106"/>
        <v>0</v>
      </c>
      <c r="BB213" s="588">
        <f t="shared" si="106"/>
        <v>0</v>
      </c>
      <c r="BC213" s="588">
        <f t="shared" si="106"/>
        <v>0</v>
      </c>
      <c r="BD213" s="588">
        <f t="shared" si="106"/>
        <v>0</v>
      </c>
      <c r="BE213" s="588">
        <f t="shared" si="106"/>
        <v>0</v>
      </c>
      <c r="BF213" s="588">
        <f t="shared" si="106"/>
        <v>0</v>
      </c>
      <c r="BG213" s="588">
        <f t="shared" si="106"/>
        <v>0</v>
      </c>
      <c r="BH213" s="588">
        <f t="shared" si="106"/>
        <v>0</v>
      </c>
      <c r="BI213" s="588">
        <f t="shared" si="106"/>
        <v>0</v>
      </c>
      <c r="BJ213" s="588">
        <f t="shared" si="106"/>
        <v>0</v>
      </c>
      <c r="BK213" s="588">
        <f t="shared" si="106"/>
        <v>0</v>
      </c>
      <c r="BL213" s="588">
        <f t="shared" si="106"/>
        <v>0</v>
      </c>
      <c r="BM213" s="588">
        <f t="shared" si="106"/>
        <v>0</v>
      </c>
      <c r="BN213" s="588">
        <f t="shared" si="106"/>
        <v>0</v>
      </c>
      <c r="BO213" s="588">
        <f t="shared" si="106"/>
        <v>0</v>
      </c>
      <c r="BP213" s="588">
        <f t="shared" si="106"/>
        <v>0</v>
      </c>
      <c r="BQ213" s="588">
        <f t="shared" si="106"/>
        <v>0</v>
      </c>
      <c r="BR213" s="588">
        <f t="shared" si="106"/>
        <v>0</v>
      </c>
      <c r="BS213" s="588">
        <f t="shared" si="106"/>
        <v>0</v>
      </c>
      <c r="BT213" s="588">
        <f t="shared" ref="BT213:CI213" si="107">SUM(BT214:BT219)</f>
        <v>0</v>
      </c>
      <c r="BU213" s="588">
        <f t="shared" si="107"/>
        <v>0</v>
      </c>
      <c r="BV213" s="588">
        <f t="shared" si="107"/>
        <v>0</v>
      </c>
      <c r="BW213" s="588">
        <f t="shared" si="107"/>
        <v>0</v>
      </c>
      <c r="BX213" s="588">
        <f t="shared" si="107"/>
        <v>0</v>
      </c>
      <c r="BY213" s="588">
        <f t="shared" si="107"/>
        <v>0</v>
      </c>
      <c r="BZ213" s="588">
        <f t="shared" si="107"/>
        <v>0</v>
      </c>
      <c r="CA213" s="588">
        <f t="shared" si="107"/>
        <v>0</v>
      </c>
      <c r="CB213" s="588">
        <f t="shared" si="107"/>
        <v>0</v>
      </c>
      <c r="CC213" s="588">
        <f t="shared" si="107"/>
        <v>0</v>
      </c>
      <c r="CD213" s="588">
        <f t="shared" si="107"/>
        <v>0</v>
      </c>
      <c r="CE213" s="588">
        <f t="shared" si="107"/>
        <v>0</v>
      </c>
      <c r="CF213" s="588">
        <f t="shared" si="107"/>
        <v>0</v>
      </c>
      <c r="CG213" s="588">
        <f t="shared" si="107"/>
        <v>0</v>
      </c>
      <c r="CH213" s="588">
        <f t="shared" si="107"/>
        <v>0</v>
      </c>
      <c r="CI213" s="584">
        <f t="shared" si="107"/>
        <v>0</v>
      </c>
      <c r="CK213" s="1363"/>
    </row>
    <row r="214" spans="1:89" s="1362" customFormat="1" x14ac:dyDescent="0.25">
      <c r="A214" s="1353"/>
      <c r="B214" s="874" t="s">
        <v>377</v>
      </c>
      <c r="C214" s="875" t="s">
        <v>378</v>
      </c>
      <c r="D214" s="871" t="s">
        <v>79</v>
      </c>
      <c r="E214" s="872" t="s">
        <v>146</v>
      </c>
      <c r="F214" s="873">
        <v>2</v>
      </c>
      <c r="G214" s="576"/>
      <c r="H214" s="576"/>
      <c r="I214" s="576"/>
      <c r="J214" s="576"/>
      <c r="K214" s="576"/>
      <c r="L214" s="576"/>
      <c r="M214" s="580"/>
      <c r="N214" s="580"/>
      <c r="O214" s="580"/>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c r="AN214" s="580"/>
      <c r="AO214" s="580"/>
      <c r="AP214" s="580"/>
      <c r="AQ214" s="580"/>
      <c r="AR214" s="580"/>
      <c r="AS214" s="580"/>
      <c r="AT214" s="580"/>
      <c r="AU214" s="580"/>
      <c r="AV214" s="580"/>
      <c r="AW214" s="580"/>
      <c r="AX214" s="580"/>
      <c r="AY214" s="580"/>
      <c r="AZ214" s="580"/>
      <c r="BA214" s="580"/>
      <c r="BB214" s="580"/>
      <c r="BC214" s="580"/>
      <c r="BD214" s="580"/>
      <c r="BE214" s="580"/>
      <c r="BF214" s="580"/>
      <c r="BG214" s="580"/>
      <c r="BH214" s="580"/>
      <c r="BI214" s="580"/>
      <c r="BJ214" s="580"/>
      <c r="BK214" s="580"/>
      <c r="BL214" s="580"/>
      <c r="BM214" s="580"/>
      <c r="BN214" s="580"/>
      <c r="BO214" s="580"/>
      <c r="BP214" s="580"/>
      <c r="BQ214" s="580"/>
      <c r="BR214" s="580"/>
      <c r="BS214" s="580"/>
      <c r="BT214" s="580"/>
      <c r="BU214" s="580"/>
      <c r="BV214" s="580"/>
      <c r="BW214" s="580"/>
      <c r="BX214" s="580"/>
      <c r="BY214" s="580"/>
      <c r="BZ214" s="580"/>
      <c r="CA214" s="580"/>
      <c r="CB214" s="580"/>
      <c r="CC214" s="580"/>
      <c r="CD214" s="580"/>
      <c r="CE214" s="580"/>
      <c r="CF214" s="580"/>
      <c r="CG214" s="580"/>
      <c r="CH214" s="580"/>
      <c r="CI214" s="581"/>
      <c r="CK214" s="1363"/>
    </row>
    <row r="215" spans="1:89" s="1362" customFormat="1" ht="27.6" x14ac:dyDescent="0.25">
      <c r="A215" s="1353"/>
      <c r="B215" s="874" t="s">
        <v>379</v>
      </c>
      <c r="C215" s="875" t="s">
        <v>380</v>
      </c>
      <c r="D215" s="871" t="s">
        <v>79</v>
      </c>
      <c r="E215" s="872" t="s">
        <v>146</v>
      </c>
      <c r="F215" s="873">
        <v>2</v>
      </c>
      <c r="G215" s="576"/>
      <c r="H215" s="576"/>
      <c r="I215" s="576"/>
      <c r="J215" s="576"/>
      <c r="K215" s="576"/>
      <c r="L215" s="576"/>
      <c r="M215" s="580"/>
      <c r="N215" s="580"/>
      <c r="O215" s="580"/>
      <c r="P215" s="580"/>
      <c r="Q215" s="580"/>
      <c r="R215" s="580"/>
      <c r="S215" s="580"/>
      <c r="T215" s="580"/>
      <c r="U215" s="580"/>
      <c r="V215" s="580"/>
      <c r="W215" s="580"/>
      <c r="X215" s="580"/>
      <c r="Y215" s="580"/>
      <c r="Z215" s="580"/>
      <c r="AA215" s="580"/>
      <c r="AB215" s="580"/>
      <c r="AC215" s="580"/>
      <c r="AD215" s="580"/>
      <c r="AE215" s="580"/>
      <c r="AF215" s="580"/>
      <c r="AG215" s="580"/>
      <c r="AH215" s="580"/>
      <c r="AI215" s="580"/>
      <c r="AJ215" s="580"/>
      <c r="AK215" s="580"/>
      <c r="AL215" s="580"/>
      <c r="AM215" s="580"/>
      <c r="AN215" s="580"/>
      <c r="AO215" s="580"/>
      <c r="AP215" s="580"/>
      <c r="AQ215" s="580"/>
      <c r="AR215" s="580"/>
      <c r="AS215" s="580"/>
      <c r="AT215" s="580"/>
      <c r="AU215" s="580"/>
      <c r="AV215" s="580"/>
      <c r="AW215" s="580"/>
      <c r="AX215" s="580"/>
      <c r="AY215" s="580"/>
      <c r="AZ215" s="580"/>
      <c r="BA215" s="580"/>
      <c r="BB215" s="580"/>
      <c r="BC215" s="580"/>
      <c r="BD215" s="580"/>
      <c r="BE215" s="580"/>
      <c r="BF215" s="580"/>
      <c r="BG215" s="580"/>
      <c r="BH215" s="580"/>
      <c r="BI215" s="580"/>
      <c r="BJ215" s="580"/>
      <c r="BK215" s="580"/>
      <c r="BL215" s="580"/>
      <c r="BM215" s="580"/>
      <c r="BN215" s="580"/>
      <c r="BO215" s="580"/>
      <c r="BP215" s="580"/>
      <c r="BQ215" s="580"/>
      <c r="BR215" s="580"/>
      <c r="BS215" s="580"/>
      <c r="BT215" s="580"/>
      <c r="BU215" s="580"/>
      <c r="BV215" s="580"/>
      <c r="BW215" s="580"/>
      <c r="BX215" s="580"/>
      <c r="BY215" s="580"/>
      <c r="BZ215" s="580"/>
      <c r="CA215" s="580"/>
      <c r="CB215" s="580"/>
      <c r="CC215" s="580"/>
      <c r="CD215" s="580"/>
      <c r="CE215" s="580"/>
      <c r="CF215" s="580"/>
      <c r="CG215" s="580"/>
      <c r="CH215" s="580"/>
      <c r="CI215" s="581"/>
      <c r="CK215" s="1363"/>
    </row>
    <row r="216" spans="1:89" s="1362" customFormat="1" ht="41.4" x14ac:dyDescent="0.25">
      <c r="A216" s="1353"/>
      <c r="B216" s="874" t="s">
        <v>381</v>
      </c>
      <c r="C216" s="875" t="s">
        <v>689</v>
      </c>
      <c r="D216" s="871" t="s">
        <v>79</v>
      </c>
      <c r="E216" s="872" t="s">
        <v>146</v>
      </c>
      <c r="F216" s="873">
        <v>2</v>
      </c>
      <c r="G216" s="576"/>
      <c r="H216" s="576"/>
      <c r="I216" s="576"/>
      <c r="J216" s="576"/>
      <c r="K216" s="576"/>
      <c r="L216" s="576"/>
      <c r="M216" s="580"/>
      <c r="N216" s="580"/>
      <c r="O216" s="580"/>
      <c r="P216" s="580"/>
      <c r="Q216" s="580"/>
      <c r="R216" s="580"/>
      <c r="S216" s="580"/>
      <c r="T216" s="580"/>
      <c r="U216" s="580"/>
      <c r="V216" s="580"/>
      <c r="W216" s="580"/>
      <c r="X216" s="580"/>
      <c r="Y216" s="580"/>
      <c r="Z216" s="580"/>
      <c r="AA216" s="580"/>
      <c r="AB216" s="580"/>
      <c r="AC216" s="580"/>
      <c r="AD216" s="580"/>
      <c r="AE216" s="580"/>
      <c r="AF216" s="580"/>
      <c r="AG216" s="580"/>
      <c r="AH216" s="580"/>
      <c r="AI216" s="580"/>
      <c r="AJ216" s="580"/>
      <c r="AK216" s="580"/>
      <c r="AL216" s="580"/>
      <c r="AM216" s="580"/>
      <c r="AN216" s="580"/>
      <c r="AO216" s="580"/>
      <c r="AP216" s="580"/>
      <c r="AQ216" s="580"/>
      <c r="AR216" s="580"/>
      <c r="AS216" s="580"/>
      <c r="AT216" s="580"/>
      <c r="AU216" s="580"/>
      <c r="AV216" s="580"/>
      <c r="AW216" s="580"/>
      <c r="AX216" s="580"/>
      <c r="AY216" s="580"/>
      <c r="AZ216" s="580"/>
      <c r="BA216" s="580"/>
      <c r="BB216" s="580"/>
      <c r="BC216" s="580"/>
      <c r="BD216" s="580"/>
      <c r="BE216" s="580"/>
      <c r="BF216" s="580"/>
      <c r="BG216" s="580"/>
      <c r="BH216" s="580"/>
      <c r="BI216" s="580"/>
      <c r="BJ216" s="580"/>
      <c r="BK216" s="580"/>
      <c r="BL216" s="580"/>
      <c r="BM216" s="580"/>
      <c r="BN216" s="580"/>
      <c r="BO216" s="580"/>
      <c r="BP216" s="580"/>
      <c r="BQ216" s="580"/>
      <c r="BR216" s="580"/>
      <c r="BS216" s="580"/>
      <c r="BT216" s="580"/>
      <c r="BU216" s="580"/>
      <c r="BV216" s="580"/>
      <c r="BW216" s="580"/>
      <c r="BX216" s="580"/>
      <c r="BY216" s="580"/>
      <c r="BZ216" s="580"/>
      <c r="CA216" s="580"/>
      <c r="CB216" s="580"/>
      <c r="CC216" s="580"/>
      <c r="CD216" s="580"/>
      <c r="CE216" s="580"/>
      <c r="CF216" s="580"/>
      <c r="CG216" s="580"/>
      <c r="CH216" s="580"/>
      <c r="CI216" s="581"/>
      <c r="CK216" s="1363"/>
    </row>
    <row r="217" spans="1:89" s="1362" customFormat="1" ht="27.6" x14ac:dyDescent="0.25">
      <c r="A217" s="1353"/>
      <c r="B217" s="874" t="s">
        <v>383</v>
      </c>
      <c r="C217" s="875" t="s">
        <v>384</v>
      </c>
      <c r="D217" s="871" t="s">
        <v>79</v>
      </c>
      <c r="E217" s="872" t="s">
        <v>146</v>
      </c>
      <c r="F217" s="873">
        <v>2</v>
      </c>
      <c r="G217" s="576"/>
      <c r="H217" s="576"/>
      <c r="I217" s="576"/>
      <c r="J217" s="576"/>
      <c r="K217" s="576"/>
      <c r="L217" s="576"/>
      <c r="M217" s="580"/>
      <c r="N217" s="580"/>
      <c r="O217" s="580"/>
      <c r="P217" s="580"/>
      <c r="Q217" s="580"/>
      <c r="R217" s="580"/>
      <c r="S217" s="580"/>
      <c r="T217" s="580"/>
      <c r="U217" s="580"/>
      <c r="V217" s="580"/>
      <c r="W217" s="580"/>
      <c r="X217" s="580"/>
      <c r="Y217" s="580"/>
      <c r="Z217" s="580"/>
      <c r="AA217" s="580"/>
      <c r="AB217" s="580"/>
      <c r="AC217" s="580"/>
      <c r="AD217" s="580"/>
      <c r="AE217" s="580"/>
      <c r="AF217" s="580"/>
      <c r="AG217" s="580"/>
      <c r="AH217" s="580"/>
      <c r="AI217" s="580"/>
      <c r="AJ217" s="580"/>
      <c r="AK217" s="580"/>
      <c r="AL217" s="580"/>
      <c r="AM217" s="580"/>
      <c r="AN217" s="580"/>
      <c r="AO217" s="580"/>
      <c r="AP217" s="580"/>
      <c r="AQ217" s="580"/>
      <c r="AR217" s="580"/>
      <c r="AS217" s="580"/>
      <c r="AT217" s="580"/>
      <c r="AU217" s="580"/>
      <c r="AV217" s="580"/>
      <c r="AW217" s="580"/>
      <c r="AX217" s="580"/>
      <c r="AY217" s="580"/>
      <c r="AZ217" s="580"/>
      <c r="BA217" s="580"/>
      <c r="BB217" s="580"/>
      <c r="BC217" s="580"/>
      <c r="BD217" s="580"/>
      <c r="BE217" s="580"/>
      <c r="BF217" s="580"/>
      <c r="BG217" s="580"/>
      <c r="BH217" s="580"/>
      <c r="BI217" s="580"/>
      <c r="BJ217" s="580"/>
      <c r="BK217" s="580"/>
      <c r="BL217" s="580"/>
      <c r="BM217" s="580"/>
      <c r="BN217" s="580"/>
      <c r="BO217" s="580"/>
      <c r="BP217" s="580"/>
      <c r="BQ217" s="580"/>
      <c r="BR217" s="580"/>
      <c r="BS217" s="580"/>
      <c r="BT217" s="580"/>
      <c r="BU217" s="580"/>
      <c r="BV217" s="580"/>
      <c r="BW217" s="580"/>
      <c r="BX217" s="580"/>
      <c r="BY217" s="580"/>
      <c r="BZ217" s="580"/>
      <c r="CA217" s="580"/>
      <c r="CB217" s="580"/>
      <c r="CC217" s="580"/>
      <c r="CD217" s="580"/>
      <c r="CE217" s="580"/>
      <c r="CF217" s="580"/>
      <c r="CG217" s="580"/>
      <c r="CH217" s="580"/>
      <c r="CI217" s="581"/>
      <c r="CK217" s="1363"/>
    </row>
    <row r="218" spans="1:89" s="1362" customFormat="1" x14ac:dyDescent="0.25">
      <c r="A218" s="1353"/>
      <c r="B218" s="874" t="s">
        <v>385</v>
      </c>
      <c r="C218" s="875" t="s">
        <v>386</v>
      </c>
      <c r="D218" s="871" t="s">
        <v>387</v>
      </c>
      <c r="E218" s="872" t="s">
        <v>146</v>
      </c>
      <c r="F218" s="873">
        <v>2</v>
      </c>
      <c r="G218" s="576"/>
      <c r="H218" s="576"/>
      <c r="I218" s="576">
        <v>0</v>
      </c>
      <c r="J218" s="576">
        <v>0</v>
      </c>
      <c r="K218" s="576">
        <v>0</v>
      </c>
      <c r="L218" s="576">
        <v>0</v>
      </c>
      <c r="M218" s="589">
        <v>0</v>
      </c>
      <c r="N218" s="589">
        <v>0</v>
      </c>
      <c r="O218" s="589">
        <v>0</v>
      </c>
      <c r="P218" s="589">
        <v>0</v>
      </c>
      <c r="Q218" s="589">
        <v>0</v>
      </c>
      <c r="R218" s="589">
        <v>0</v>
      </c>
      <c r="S218" s="589">
        <v>0</v>
      </c>
      <c r="T218" s="589">
        <v>0</v>
      </c>
      <c r="U218" s="589">
        <v>0</v>
      </c>
      <c r="V218" s="589">
        <v>0</v>
      </c>
      <c r="W218" s="589">
        <v>0</v>
      </c>
      <c r="X218" s="589">
        <v>0</v>
      </c>
      <c r="Y218" s="589">
        <v>0</v>
      </c>
      <c r="Z218" s="589">
        <v>0</v>
      </c>
      <c r="AA218" s="589">
        <v>0</v>
      </c>
      <c r="AB218" s="589">
        <v>0</v>
      </c>
      <c r="AC218" s="589">
        <v>0</v>
      </c>
      <c r="AD218" s="589">
        <v>0</v>
      </c>
      <c r="AE218" s="589">
        <v>0</v>
      </c>
      <c r="AF218" s="589">
        <v>0</v>
      </c>
      <c r="AG218" s="589">
        <v>0</v>
      </c>
      <c r="AH218" s="589">
        <v>0</v>
      </c>
      <c r="AI218" s="589">
        <v>0</v>
      </c>
      <c r="AJ218" s="589">
        <v>0</v>
      </c>
      <c r="AK218" s="589">
        <v>0</v>
      </c>
      <c r="AL218" s="589">
        <v>0</v>
      </c>
      <c r="AM218" s="589">
        <v>0</v>
      </c>
      <c r="AN218" s="589">
        <v>0</v>
      </c>
      <c r="AO218" s="589">
        <v>0</v>
      </c>
      <c r="AP218" s="589">
        <v>0</v>
      </c>
      <c r="AQ218" s="589">
        <v>0</v>
      </c>
      <c r="AR218" s="589">
        <v>0</v>
      </c>
      <c r="AS218" s="589">
        <v>0</v>
      </c>
      <c r="AT218" s="589">
        <v>0</v>
      </c>
      <c r="AU218" s="589">
        <v>0</v>
      </c>
      <c r="AV218" s="589">
        <v>0</v>
      </c>
      <c r="AW218" s="589">
        <v>0</v>
      </c>
      <c r="AX218" s="589">
        <v>0</v>
      </c>
      <c r="AY218" s="589">
        <v>0</v>
      </c>
      <c r="AZ218" s="589">
        <v>0</v>
      </c>
      <c r="BA218" s="589">
        <v>0</v>
      </c>
      <c r="BB218" s="589">
        <v>0</v>
      </c>
      <c r="BC218" s="589">
        <v>0</v>
      </c>
      <c r="BD218" s="589">
        <v>0</v>
      </c>
      <c r="BE218" s="589">
        <v>0</v>
      </c>
      <c r="BF218" s="589">
        <v>0</v>
      </c>
      <c r="BG218" s="589">
        <v>0</v>
      </c>
      <c r="BH218" s="589">
        <v>0</v>
      </c>
      <c r="BI218" s="589">
        <v>0</v>
      </c>
      <c r="BJ218" s="589">
        <v>0</v>
      </c>
      <c r="BK218" s="589">
        <v>0</v>
      </c>
      <c r="BL218" s="589">
        <v>0</v>
      </c>
      <c r="BM218" s="589">
        <v>0</v>
      </c>
      <c r="BN218" s="589">
        <v>0</v>
      </c>
      <c r="BO218" s="589">
        <v>0</v>
      </c>
      <c r="BP218" s="589">
        <v>0</v>
      </c>
      <c r="BQ218" s="589">
        <v>0</v>
      </c>
      <c r="BR218" s="589">
        <v>0</v>
      </c>
      <c r="BS218" s="589">
        <v>0</v>
      </c>
      <c r="BT218" s="589">
        <v>0</v>
      </c>
      <c r="BU218" s="589">
        <v>0</v>
      </c>
      <c r="BV218" s="589">
        <v>0</v>
      </c>
      <c r="BW218" s="589">
        <v>0</v>
      </c>
      <c r="BX218" s="589">
        <v>0</v>
      </c>
      <c r="BY218" s="589">
        <v>0</v>
      </c>
      <c r="BZ218" s="589">
        <v>0</v>
      </c>
      <c r="CA218" s="589">
        <v>0</v>
      </c>
      <c r="CB218" s="589">
        <v>0</v>
      </c>
      <c r="CC218" s="589">
        <v>0</v>
      </c>
      <c r="CD218" s="589">
        <v>0</v>
      </c>
      <c r="CE218" s="589">
        <v>0</v>
      </c>
      <c r="CF218" s="589">
        <v>0</v>
      </c>
      <c r="CG218" s="589">
        <v>0</v>
      </c>
      <c r="CH218" s="589">
        <v>0</v>
      </c>
      <c r="CI218" s="590">
        <v>0</v>
      </c>
      <c r="CK218" s="1363"/>
    </row>
    <row r="219" spans="1:89" s="1362" customFormat="1" x14ac:dyDescent="0.25">
      <c r="A219" s="1353"/>
      <c r="B219" s="874" t="s">
        <v>388</v>
      </c>
      <c r="C219" s="875" t="s">
        <v>690</v>
      </c>
      <c r="D219" s="871" t="s">
        <v>79</v>
      </c>
      <c r="E219" s="872" t="s">
        <v>146</v>
      </c>
      <c r="F219" s="873">
        <v>2</v>
      </c>
      <c r="G219" s="576"/>
      <c r="H219" s="576"/>
      <c r="I219" s="576"/>
      <c r="J219" s="576"/>
      <c r="K219" s="576"/>
      <c r="L219" s="576"/>
      <c r="M219" s="580"/>
      <c r="N219" s="580"/>
      <c r="O219" s="580"/>
      <c r="P219" s="580"/>
      <c r="Q219" s="580"/>
      <c r="R219" s="580"/>
      <c r="S219" s="580"/>
      <c r="T219" s="580"/>
      <c r="U219" s="580"/>
      <c r="V219" s="580"/>
      <c r="W219" s="580"/>
      <c r="X219" s="580"/>
      <c r="Y219" s="580"/>
      <c r="Z219" s="580"/>
      <c r="AA219" s="580"/>
      <c r="AB219" s="580"/>
      <c r="AC219" s="580"/>
      <c r="AD219" s="580"/>
      <c r="AE219" s="580"/>
      <c r="AF219" s="580"/>
      <c r="AG219" s="580"/>
      <c r="AH219" s="580"/>
      <c r="AI219" s="580"/>
      <c r="AJ219" s="580"/>
      <c r="AK219" s="580"/>
      <c r="AL219" s="580"/>
      <c r="AM219" s="580"/>
      <c r="AN219" s="580"/>
      <c r="AO219" s="580"/>
      <c r="AP219" s="580"/>
      <c r="AQ219" s="580"/>
      <c r="AR219" s="580"/>
      <c r="AS219" s="580"/>
      <c r="AT219" s="580"/>
      <c r="AU219" s="580"/>
      <c r="AV219" s="580"/>
      <c r="AW219" s="580"/>
      <c r="AX219" s="580"/>
      <c r="AY219" s="580"/>
      <c r="AZ219" s="580"/>
      <c r="BA219" s="580"/>
      <c r="BB219" s="580"/>
      <c r="BC219" s="580"/>
      <c r="BD219" s="580"/>
      <c r="BE219" s="580"/>
      <c r="BF219" s="580"/>
      <c r="BG219" s="580"/>
      <c r="BH219" s="580"/>
      <c r="BI219" s="580"/>
      <c r="BJ219" s="580"/>
      <c r="BK219" s="580"/>
      <c r="BL219" s="580"/>
      <c r="BM219" s="580"/>
      <c r="BN219" s="580"/>
      <c r="BO219" s="580"/>
      <c r="BP219" s="580"/>
      <c r="BQ219" s="580"/>
      <c r="BR219" s="580"/>
      <c r="BS219" s="580"/>
      <c r="BT219" s="580"/>
      <c r="BU219" s="580"/>
      <c r="BV219" s="580"/>
      <c r="BW219" s="580"/>
      <c r="BX219" s="580"/>
      <c r="BY219" s="580"/>
      <c r="BZ219" s="580"/>
      <c r="CA219" s="580"/>
      <c r="CB219" s="580"/>
      <c r="CC219" s="580"/>
      <c r="CD219" s="580"/>
      <c r="CE219" s="580"/>
      <c r="CF219" s="580"/>
      <c r="CG219" s="580"/>
      <c r="CH219" s="580"/>
      <c r="CI219" s="581"/>
      <c r="CK219" s="1363"/>
    </row>
    <row r="220" spans="1:89" s="1362" customFormat="1" ht="27.6" x14ac:dyDescent="0.25">
      <c r="A220" s="1353"/>
      <c r="B220" s="874" t="s">
        <v>390</v>
      </c>
      <c r="C220" s="875" t="s">
        <v>603</v>
      </c>
      <c r="D220" s="871" t="s">
        <v>79</v>
      </c>
      <c r="E220" s="872" t="s">
        <v>146</v>
      </c>
      <c r="F220" s="873">
        <v>2</v>
      </c>
      <c r="G220" s="576"/>
      <c r="H220" s="576"/>
      <c r="I220" s="576"/>
      <c r="J220" s="576"/>
      <c r="K220" s="576"/>
      <c r="L220" s="576"/>
      <c r="M220" s="580"/>
      <c r="N220" s="580"/>
      <c r="O220" s="580"/>
      <c r="P220" s="580"/>
      <c r="Q220" s="580"/>
      <c r="R220" s="580"/>
      <c r="S220" s="580"/>
      <c r="T220" s="580"/>
      <c r="U220" s="580"/>
      <c r="V220" s="580"/>
      <c r="W220" s="580"/>
      <c r="X220" s="580"/>
      <c r="Y220" s="580"/>
      <c r="Z220" s="580"/>
      <c r="AA220" s="580"/>
      <c r="AB220" s="580"/>
      <c r="AC220" s="580"/>
      <c r="AD220" s="580"/>
      <c r="AE220" s="580"/>
      <c r="AF220" s="580"/>
      <c r="AG220" s="580"/>
      <c r="AH220" s="580"/>
      <c r="AI220" s="580"/>
      <c r="AJ220" s="580"/>
      <c r="AK220" s="580"/>
      <c r="AL220" s="580"/>
      <c r="AM220" s="580"/>
      <c r="AN220" s="580"/>
      <c r="AO220" s="580"/>
      <c r="AP220" s="580"/>
      <c r="AQ220" s="580"/>
      <c r="AR220" s="580"/>
      <c r="AS220" s="580"/>
      <c r="AT220" s="580"/>
      <c r="AU220" s="580"/>
      <c r="AV220" s="580"/>
      <c r="AW220" s="580"/>
      <c r="AX220" s="580"/>
      <c r="AY220" s="580"/>
      <c r="AZ220" s="580"/>
      <c r="BA220" s="580"/>
      <c r="BB220" s="580"/>
      <c r="BC220" s="580"/>
      <c r="BD220" s="580"/>
      <c r="BE220" s="580"/>
      <c r="BF220" s="580"/>
      <c r="BG220" s="580"/>
      <c r="BH220" s="580"/>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1"/>
      <c r="CK220" s="1363"/>
    </row>
    <row r="221" spans="1:89" s="1362" customFormat="1" x14ac:dyDescent="0.25">
      <c r="A221" s="1353"/>
      <c r="B221" s="874" t="s">
        <v>392</v>
      </c>
      <c r="C221" s="875" t="s">
        <v>393</v>
      </c>
      <c r="D221" s="871" t="s">
        <v>79</v>
      </c>
      <c r="E221" s="872" t="s">
        <v>146</v>
      </c>
      <c r="F221" s="873">
        <v>2</v>
      </c>
      <c r="G221" s="576"/>
      <c r="H221" s="576"/>
      <c r="I221" s="576"/>
      <c r="J221" s="576"/>
      <c r="K221" s="576"/>
      <c r="L221" s="576"/>
      <c r="M221" s="580"/>
      <c r="N221" s="580"/>
      <c r="O221" s="580"/>
      <c r="P221" s="580"/>
      <c r="Q221" s="580"/>
      <c r="R221" s="580"/>
      <c r="S221" s="580"/>
      <c r="T221" s="580"/>
      <c r="U221" s="580"/>
      <c r="V221" s="580"/>
      <c r="W221" s="580"/>
      <c r="X221" s="580"/>
      <c r="Y221" s="580"/>
      <c r="Z221" s="580"/>
      <c r="AA221" s="580"/>
      <c r="AB221" s="580"/>
      <c r="AC221" s="580"/>
      <c r="AD221" s="580"/>
      <c r="AE221" s="580"/>
      <c r="AF221" s="580"/>
      <c r="AG221" s="580"/>
      <c r="AH221" s="580"/>
      <c r="AI221" s="580"/>
      <c r="AJ221" s="580"/>
      <c r="AK221" s="580"/>
      <c r="AL221" s="580"/>
      <c r="AM221" s="580"/>
      <c r="AN221" s="580"/>
      <c r="AO221" s="580"/>
      <c r="AP221" s="580"/>
      <c r="AQ221" s="580"/>
      <c r="AR221" s="580"/>
      <c r="AS221" s="580"/>
      <c r="AT221" s="580"/>
      <c r="AU221" s="580"/>
      <c r="AV221" s="580"/>
      <c r="AW221" s="580"/>
      <c r="AX221" s="580"/>
      <c r="AY221" s="580"/>
      <c r="AZ221" s="580"/>
      <c r="BA221" s="580"/>
      <c r="BB221" s="580"/>
      <c r="BC221" s="580"/>
      <c r="BD221" s="580"/>
      <c r="BE221" s="580"/>
      <c r="BF221" s="580"/>
      <c r="BG221" s="580"/>
      <c r="BH221" s="580"/>
      <c r="BI221" s="580"/>
      <c r="BJ221" s="580"/>
      <c r="BK221" s="580"/>
      <c r="BL221" s="580"/>
      <c r="BM221" s="580"/>
      <c r="BN221" s="580"/>
      <c r="BO221" s="580"/>
      <c r="BP221" s="580"/>
      <c r="BQ221" s="580"/>
      <c r="BR221" s="580"/>
      <c r="BS221" s="580"/>
      <c r="BT221" s="580"/>
      <c r="BU221" s="580"/>
      <c r="BV221" s="580"/>
      <c r="BW221" s="580"/>
      <c r="BX221" s="580"/>
      <c r="BY221" s="580"/>
      <c r="BZ221" s="580"/>
      <c r="CA221" s="580"/>
      <c r="CB221" s="580"/>
      <c r="CC221" s="580"/>
      <c r="CD221" s="580"/>
      <c r="CE221" s="580"/>
      <c r="CF221" s="580"/>
      <c r="CG221" s="580"/>
      <c r="CH221" s="580"/>
      <c r="CI221" s="581"/>
      <c r="CK221" s="1363"/>
    </row>
    <row r="222" spans="1:89" s="1362" customFormat="1" x14ac:dyDescent="0.25">
      <c r="A222" s="1353"/>
      <c r="B222" s="876" t="s">
        <v>394</v>
      </c>
      <c r="C222" s="877" t="s">
        <v>297</v>
      </c>
      <c r="D222" s="877" t="s">
        <v>395</v>
      </c>
      <c r="E222" s="878" t="s">
        <v>146</v>
      </c>
      <c r="F222" s="873">
        <v>2</v>
      </c>
      <c r="G222" s="583"/>
      <c r="H222" s="583"/>
      <c r="I222" s="583">
        <f t="shared" ref="I222:BS222" si="108">(I211+I213)-(I220+I221)</f>
        <v>0</v>
      </c>
      <c r="J222" s="583">
        <f t="shared" si="108"/>
        <v>0</v>
      </c>
      <c r="K222" s="583">
        <f t="shared" si="108"/>
        <v>0</v>
      </c>
      <c r="L222" s="583">
        <f t="shared" si="108"/>
        <v>0</v>
      </c>
      <c r="M222" s="588">
        <f t="shared" si="108"/>
        <v>0</v>
      </c>
      <c r="N222" s="588">
        <f t="shared" si="108"/>
        <v>0</v>
      </c>
      <c r="O222" s="588">
        <f t="shared" si="108"/>
        <v>0</v>
      </c>
      <c r="P222" s="588">
        <f t="shared" si="108"/>
        <v>0</v>
      </c>
      <c r="Q222" s="588">
        <f t="shared" si="108"/>
        <v>0</v>
      </c>
      <c r="R222" s="588">
        <f t="shared" si="108"/>
        <v>0</v>
      </c>
      <c r="S222" s="588">
        <f t="shared" si="108"/>
        <v>0</v>
      </c>
      <c r="T222" s="588">
        <f t="shared" si="108"/>
        <v>0</v>
      </c>
      <c r="U222" s="588">
        <f t="shared" si="108"/>
        <v>0</v>
      </c>
      <c r="V222" s="588">
        <f t="shared" si="108"/>
        <v>0</v>
      </c>
      <c r="W222" s="588">
        <f t="shared" si="108"/>
        <v>0</v>
      </c>
      <c r="X222" s="588">
        <f t="shared" si="108"/>
        <v>0</v>
      </c>
      <c r="Y222" s="588">
        <f t="shared" si="108"/>
        <v>0</v>
      </c>
      <c r="Z222" s="588">
        <f t="shared" si="108"/>
        <v>0</v>
      </c>
      <c r="AA222" s="588">
        <f t="shared" si="108"/>
        <v>0</v>
      </c>
      <c r="AB222" s="588">
        <f t="shared" si="108"/>
        <v>0</v>
      </c>
      <c r="AC222" s="588">
        <f t="shared" si="108"/>
        <v>0</v>
      </c>
      <c r="AD222" s="588">
        <f t="shared" si="108"/>
        <v>0</v>
      </c>
      <c r="AE222" s="588">
        <f t="shared" si="108"/>
        <v>0</v>
      </c>
      <c r="AF222" s="588">
        <f t="shared" si="108"/>
        <v>0</v>
      </c>
      <c r="AG222" s="588">
        <f t="shared" si="108"/>
        <v>0</v>
      </c>
      <c r="AH222" s="588">
        <f t="shared" si="108"/>
        <v>0</v>
      </c>
      <c r="AI222" s="588">
        <f t="shared" si="108"/>
        <v>0</v>
      </c>
      <c r="AJ222" s="588">
        <f t="shared" si="108"/>
        <v>0</v>
      </c>
      <c r="AK222" s="588">
        <f t="shared" si="108"/>
        <v>0</v>
      </c>
      <c r="AL222" s="588">
        <f t="shared" si="108"/>
        <v>0</v>
      </c>
      <c r="AM222" s="588">
        <f t="shared" si="108"/>
        <v>0</v>
      </c>
      <c r="AN222" s="588">
        <f t="shared" si="108"/>
        <v>0</v>
      </c>
      <c r="AO222" s="588">
        <f t="shared" si="108"/>
        <v>0</v>
      </c>
      <c r="AP222" s="588">
        <f t="shared" si="108"/>
        <v>0</v>
      </c>
      <c r="AQ222" s="588">
        <f t="shared" si="108"/>
        <v>0</v>
      </c>
      <c r="AR222" s="588">
        <f t="shared" si="108"/>
        <v>0</v>
      </c>
      <c r="AS222" s="588">
        <f t="shared" si="108"/>
        <v>0</v>
      </c>
      <c r="AT222" s="588">
        <f t="shared" si="108"/>
        <v>0</v>
      </c>
      <c r="AU222" s="588">
        <f t="shared" si="108"/>
        <v>0</v>
      </c>
      <c r="AV222" s="588">
        <f t="shared" si="108"/>
        <v>0</v>
      </c>
      <c r="AW222" s="588">
        <f t="shared" si="108"/>
        <v>0</v>
      </c>
      <c r="AX222" s="588">
        <f t="shared" si="108"/>
        <v>0</v>
      </c>
      <c r="AY222" s="588">
        <f t="shared" si="108"/>
        <v>0</v>
      </c>
      <c r="AZ222" s="588">
        <f t="shared" si="108"/>
        <v>0</v>
      </c>
      <c r="BA222" s="588">
        <f t="shared" si="108"/>
        <v>0</v>
      </c>
      <c r="BB222" s="588">
        <f t="shared" si="108"/>
        <v>0</v>
      </c>
      <c r="BC222" s="588">
        <f t="shared" si="108"/>
        <v>0</v>
      </c>
      <c r="BD222" s="588">
        <f t="shared" si="108"/>
        <v>0</v>
      </c>
      <c r="BE222" s="588">
        <f t="shared" si="108"/>
        <v>0</v>
      </c>
      <c r="BF222" s="588">
        <f t="shared" si="108"/>
        <v>0</v>
      </c>
      <c r="BG222" s="588">
        <f t="shared" si="108"/>
        <v>0</v>
      </c>
      <c r="BH222" s="588">
        <f t="shared" si="108"/>
        <v>0</v>
      </c>
      <c r="BI222" s="588">
        <f t="shared" si="108"/>
        <v>0</v>
      </c>
      <c r="BJ222" s="588">
        <f t="shared" si="108"/>
        <v>0</v>
      </c>
      <c r="BK222" s="588">
        <f t="shared" si="108"/>
        <v>0</v>
      </c>
      <c r="BL222" s="588">
        <f t="shared" si="108"/>
        <v>0</v>
      </c>
      <c r="BM222" s="588">
        <f t="shared" si="108"/>
        <v>0</v>
      </c>
      <c r="BN222" s="588">
        <f t="shared" si="108"/>
        <v>0</v>
      </c>
      <c r="BO222" s="588">
        <f t="shared" si="108"/>
        <v>0</v>
      </c>
      <c r="BP222" s="588">
        <f t="shared" si="108"/>
        <v>0</v>
      </c>
      <c r="BQ222" s="588">
        <f t="shared" si="108"/>
        <v>0</v>
      </c>
      <c r="BR222" s="588">
        <f t="shared" si="108"/>
        <v>0</v>
      </c>
      <c r="BS222" s="588">
        <f t="shared" si="108"/>
        <v>0</v>
      </c>
      <c r="BT222" s="588">
        <f t="shared" ref="BT222:CI222" si="109">(BT211+BT213)-(BT220+BT221)</f>
        <v>0</v>
      </c>
      <c r="BU222" s="588">
        <f t="shared" si="109"/>
        <v>0</v>
      </c>
      <c r="BV222" s="588">
        <f t="shared" si="109"/>
        <v>0</v>
      </c>
      <c r="BW222" s="588">
        <f t="shared" si="109"/>
        <v>0</v>
      </c>
      <c r="BX222" s="588">
        <f t="shared" si="109"/>
        <v>0</v>
      </c>
      <c r="BY222" s="588">
        <f t="shared" si="109"/>
        <v>0</v>
      </c>
      <c r="BZ222" s="588">
        <f t="shared" si="109"/>
        <v>0</v>
      </c>
      <c r="CA222" s="588">
        <f t="shared" si="109"/>
        <v>0</v>
      </c>
      <c r="CB222" s="588">
        <f t="shared" si="109"/>
        <v>0</v>
      </c>
      <c r="CC222" s="588">
        <f t="shared" si="109"/>
        <v>0</v>
      </c>
      <c r="CD222" s="588">
        <f t="shared" si="109"/>
        <v>0</v>
      </c>
      <c r="CE222" s="588">
        <f t="shared" si="109"/>
        <v>0</v>
      </c>
      <c r="CF222" s="588">
        <f t="shared" si="109"/>
        <v>0</v>
      </c>
      <c r="CG222" s="588">
        <f t="shared" si="109"/>
        <v>0</v>
      </c>
      <c r="CH222" s="588">
        <f t="shared" si="109"/>
        <v>0</v>
      </c>
      <c r="CI222" s="584">
        <f t="shared" si="109"/>
        <v>0</v>
      </c>
      <c r="CK222" s="1363"/>
    </row>
    <row r="223" spans="1:89" s="1362" customFormat="1" ht="14.4" thickBot="1" x14ac:dyDescent="0.3">
      <c r="A223" s="1353"/>
      <c r="B223" s="879" t="s">
        <v>396</v>
      </c>
      <c r="C223" s="880" t="s">
        <v>300</v>
      </c>
      <c r="D223" s="880" t="s">
        <v>397</v>
      </c>
      <c r="E223" s="881" t="s">
        <v>146</v>
      </c>
      <c r="F223" s="882">
        <v>2</v>
      </c>
      <c r="G223" s="595"/>
      <c r="H223" s="595"/>
      <c r="I223" s="595">
        <f t="shared" ref="I223:BS223" si="110">I222+SUM(I207:I210)</f>
        <v>0</v>
      </c>
      <c r="J223" s="595">
        <f t="shared" si="110"/>
        <v>0</v>
      </c>
      <c r="K223" s="595">
        <f t="shared" si="110"/>
        <v>0</v>
      </c>
      <c r="L223" s="595">
        <f t="shared" si="110"/>
        <v>0</v>
      </c>
      <c r="M223" s="595">
        <f t="shared" si="110"/>
        <v>0</v>
      </c>
      <c r="N223" s="595">
        <f t="shared" si="110"/>
        <v>0</v>
      </c>
      <c r="O223" s="595">
        <f t="shared" si="110"/>
        <v>0</v>
      </c>
      <c r="P223" s="595">
        <f t="shared" si="110"/>
        <v>0</v>
      </c>
      <c r="Q223" s="595">
        <f t="shared" si="110"/>
        <v>0</v>
      </c>
      <c r="R223" s="595">
        <f t="shared" si="110"/>
        <v>0</v>
      </c>
      <c r="S223" s="595">
        <f t="shared" si="110"/>
        <v>0</v>
      </c>
      <c r="T223" s="595">
        <f t="shared" si="110"/>
        <v>0</v>
      </c>
      <c r="U223" s="595">
        <f t="shared" si="110"/>
        <v>0</v>
      </c>
      <c r="V223" s="595">
        <f t="shared" si="110"/>
        <v>0</v>
      </c>
      <c r="W223" s="595">
        <f t="shared" si="110"/>
        <v>0</v>
      </c>
      <c r="X223" s="595">
        <f t="shared" si="110"/>
        <v>0</v>
      </c>
      <c r="Y223" s="595">
        <f t="shared" si="110"/>
        <v>0</v>
      </c>
      <c r="Z223" s="595">
        <f t="shared" si="110"/>
        <v>0</v>
      </c>
      <c r="AA223" s="595">
        <f t="shared" si="110"/>
        <v>0</v>
      </c>
      <c r="AB223" s="595">
        <f t="shared" si="110"/>
        <v>0</v>
      </c>
      <c r="AC223" s="595">
        <f t="shared" si="110"/>
        <v>0</v>
      </c>
      <c r="AD223" s="595">
        <f t="shared" si="110"/>
        <v>0</v>
      </c>
      <c r="AE223" s="595">
        <f t="shared" si="110"/>
        <v>0</v>
      </c>
      <c r="AF223" s="595">
        <f t="shared" si="110"/>
        <v>0</v>
      </c>
      <c r="AG223" s="595">
        <f t="shared" si="110"/>
        <v>0</v>
      </c>
      <c r="AH223" s="595">
        <f t="shared" si="110"/>
        <v>0</v>
      </c>
      <c r="AI223" s="595">
        <f t="shared" si="110"/>
        <v>0</v>
      </c>
      <c r="AJ223" s="595">
        <f t="shared" si="110"/>
        <v>0</v>
      </c>
      <c r="AK223" s="595">
        <f t="shared" si="110"/>
        <v>0</v>
      </c>
      <c r="AL223" s="595">
        <f t="shared" si="110"/>
        <v>0</v>
      </c>
      <c r="AM223" s="595">
        <f t="shared" si="110"/>
        <v>0</v>
      </c>
      <c r="AN223" s="595">
        <f t="shared" si="110"/>
        <v>0</v>
      </c>
      <c r="AO223" s="595">
        <f t="shared" si="110"/>
        <v>0</v>
      </c>
      <c r="AP223" s="595">
        <f t="shared" si="110"/>
        <v>0</v>
      </c>
      <c r="AQ223" s="595">
        <f t="shared" si="110"/>
        <v>0</v>
      </c>
      <c r="AR223" s="595">
        <f t="shared" si="110"/>
        <v>0</v>
      </c>
      <c r="AS223" s="595">
        <f t="shared" si="110"/>
        <v>0</v>
      </c>
      <c r="AT223" s="595">
        <f t="shared" si="110"/>
        <v>0</v>
      </c>
      <c r="AU223" s="595">
        <f t="shared" si="110"/>
        <v>0</v>
      </c>
      <c r="AV223" s="595">
        <f t="shared" si="110"/>
        <v>0</v>
      </c>
      <c r="AW223" s="595">
        <f t="shared" si="110"/>
        <v>0</v>
      </c>
      <c r="AX223" s="595">
        <f t="shared" si="110"/>
        <v>0</v>
      </c>
      <c r="AY223" s="595">
        <f t="shared" si="110"/>
        <v>0</v>
      </c>
      <c r="AZ223" s="595">
        <f t="shared" si="110"/>
        <v>0</v>
      </c>
      <c r="BA223" s="595">
        <f t="shared" si="110"/>
        <v>0</v>
      </c>
      <c r="BB223" s="595">
        <f t="shared" si="110"/>
        <v>0</v>
      </c>
      <c r="BC223" s="595">
        <f t="shared" si="110"/>
        <v>0</v>
      </c>
      <c r="BD223" s="595">
        <f t="shared" si="110"/>
        <v>0</v>
      </c>
      <c r="BE223" s="595">
        <f t="shared" si="110"/>
        <v>0</v>
      </c>
      <c r="BF223" s="595">
        <f t="shared" si="110"/>
        <v>0</v>
      </c>
      <c r="BG223" s="595">
        <f t="shared" si="110"/>
        <v>0</v>
      </c>
      <c r="BH223" s="595">
        <f t="shared" si="110"/>
        <v>0</v>
      </c>
      <c r="BI223" s="595">
        <f t="shared" si="110"/>
        <v>0</v>
      </c>
      <c r="BJ223" s="595">
        <f t="shared" si="110"/>
        <v>0</v>
      </c>
      <c r="BK223" s="595">
        <f t="shared" si="110"/>
        <v>0</v>
      </c>
      <c r="BL223" s="595">
        <f t="shared" si="110"/>
        <v>0</v>
      </c>
      <c r="BM223" s="595">
        <f t="shared" si="110"/>
        <v>0</v>
      </c>
      <c r="BN223" s="595">
        <f t="shared" si="110"/>
        <v>0</v>
      </c>
      <c r="BO223" s="595">
        <f t="shared" si="110"/>
        <v>0</v>
      </c>
      <c r="BP223" s="595">
        <f t="shared" si="110"/>
        <v>0</v>
      </c>
      <c r="BQ223" s="595">
        <f t="shared" si="110"/>
        <v>0</v>
      </c>
      <c r="BR223" s="595">
        <f t="shared" si="110"/>
        <v>0</v>
      </c>
      <c r="BS223" s="595">
        <f t="shared" si="110"/>
        <v>0</v>
      </c>
      <c r="BT223" s="595">
        <f t="shared" ref="BT223:CI223" si="111">BT222+SUM(BT207:BT210)</f>
        <v>0</v>
      </c>
      <c r="BU223" s="595">
        <f t="shared" si="111"/>
        <v>0</v>
      </c>
      <c r="BV223" s="595">
        <f t="shared" si="111"/>
        <v>0</v>
      </c>
      <c r="BW223" s="595">
        <f t="shared" si="111"/>
        <v>0</v>
      </c>
      <c r="BX223" s="595">
        <f t="shared" si="111"/>
        <v>0</v>
      </c>
      <c r="BY223" s="595">
        <f t="shared" si="111"/>
        <v>0</v>
      </c>
      <c r="BZ223" s="595">
        <f t="shared" si="111"/>
        <v>0</v>
      </c>
      <c r="CA223" s="595">
        <f t="shared" si="111"/>
        <v>0</v>
      </c>
      <c r="CB223" s="595">
        <f t="shared" si="111"/>
        <v>0</v>
      </c>
      <c r="CC223" s="595">
        <f t="shared" si="111"/>
        <v>0</v>
      </c>
      <c r="CD223" s="595">
        <f t="shared" si="111"/>
        <v>0</v>
      </c>
      <c r="CE223" s="595">
        <f t="shared" si="111"/>
        <v>0</v>
      </c>
      <c r="CF223" s="595">
        <f t="shared" si="111"/>
        <v>0</v>
      </c>
      <c r="CG223" s="595">
        <f t="shared" si="111"/>
        <v>0</v>
      </c>
      <c r="CH223" s="595">
        <f t="shared" si="111"/>
        <v>0</v>
      </c>
      <c r="CI223" s="595">
        <f t="shared" si="111"/>
        <v>0</v>
      </c>
      <c r="CK223" s="1363"/>
    </row>
    <row r="224" spans="1:89" s="1362" customFormat="1" x14ac:dyDescent="0.25">
      <c r="A224" s="1353"/>
      <c r="B224" s="883" t="s">
        <v>398</v>
      </c>
      <c r="C224" s="884" t="s">
        <v>399</v>
      </c>
      <c r="D224" s="889" t="s">
        <v>691</v>
      </c>
      <c r="E224" s="885" t="s">
        <v>146</v>
      </c>
      <c r="F224" s="886">
        <v>2</v>
      </c>
      <c r="G224" s="568"/>
      <c r="H224" s="568"/>
      <c r="I224" s="568"/>
      <c r="J224" s="568"/>
      <c r="K224" s="568"/>
      <c r="L224" s="568"/>
      <c r="M224" s="569"/>
      <c r="N224" s="569"/>
      <c r="O224" s="569"/>
      <c r="P224" s="569"/>
      <c r="Q224" s="569"/>
      <c r="R224" s="569"/>
      <c r="S224" s="569"/>
      <c r="T224" s="569"/>
      <c r="U224" s="569"/>
      <c r="V224" s="569"/>
      <c r="W224" s="569"/>
      <c r="X224" s="569"/>
      <c r="Y224" s="569"/>
      <c r="Z224" s="569"/>
      <c r="AA224" s="569"/>
      <c r="AB224" s="569"/>
      <c r="AC224" s="569"/>
      <c r="AD224" s="569"/>
      <c r="AE224" s="569"/>
      <c r="AF224" s="569"/>
      <c r="AG224" s="569"/>
      <c r="AH224" s="569"/>
      <c r="AI224" s="569"/>
      <c r="AJ224" s="569"/>
      <c r="AK224" s="569"/>
      <c r="AL224" s="569"/>
      <c r="AM224" s="569"/>
      <c r="AN224" s="569"/>
      <c r="AO224" s="569"/>
      <c r="AP224" s="569"/>
      <c r="AQ224" s="569"/>
      <c r="AR224" s="569"/>
      <c r="AS224" s="569"/>
      <c r="AT224" s="569"/>
      <c r="AU224" s="569"/>
      <c r="AV224" s="569"/>
      <c r="AW224" s="569"/>
      <c r="AX224" s="569"/>
      <c r="AY224" s="569"/>
      <c r="AZ224" s="569"/>
      <c r="BA224" s="569"/>
      <c r="BB224" s="569"/>
      <c r="BC224" s="569"/>
      <c r="BD224" s="569"/>
      <c r="BE224" s="569"/>
      <c r="BF224" s="569"/>
      <c r="BG224" s="569"/>
      <c r="BH224" s="569"/>
      <c r="BI224" s="569"/>
      <c r="BJ224" s="569"/>
      <c r="BK224" s="569"/>
      <c r="BL224" s="569"/>
      <c r="BM224" s="569"/>
      <c r="BN224" s="569"/>
      <c r="BO224" s="569"/>
      <c r="BP224" s="569"/>
      <c r="BQ224" s="569"/>
      <c r="BR224" s="569"/>
      <c r="BS224" s="569"/>
      <c r="BT224" s="569"/>
      <c r="BU224" s="569"/>
      <c r="BV224" s="569"/>
      <c r="BW224" s="569"/>
      <c r="BX224" s="569"/>
      <c r="BY224" s="569"/>
      <c r="BZ224" s="569"/>
      <c r="CA224" s="569"/>
      <c r="CB224" s="569"/>
      <c r="CC224" s="569"/>
      <c r="CD224" s="569"/>
      <c r="CE224" s="569"/>
      <c r="CF224" s="569"/>
      <c r="CG224" s="569"/>
      <c r="CH224" s="569"/>
      <c r="CI224" s="570"/>
      <c r="CK224" s="1363"/>
    </row>
    <row r="225" spans="1:89" s="1362" customFormat="1" x14ac:dyDescent="0.25">
      <c r="A225" s="1353"/>
      <c r="B225" s="887" t="s">
        <v>400</v>
      </c>
      <c r="C225" s="888" t="s">
        <v>614</v>
      </c>
      <c r="D225" s="889" t="s">
        <v>79</v>
      </c>
      <c r="E225" s="890" t="s">
        <v>146</v>
      </c>
      <c r="F225" s="891">
        <v>2</v>
      </c>
      <c r="G225" s="1058"/>
      <c r="H225" s="1058"/>
      <c r="I225" s="1058"/>
      <c r="J225" s="1058"/>
      <c r="K225" s="1058"/>
      <c r="L225" s="1058"/>
      <c r="M225" s="1059"/>
      <c r="N225" s="1059"/>
      <c r="O225" s="1059"/>
      <c r="P225" s="1059"/>
      <c r="Q225" s="1059"/>
      <c r="R225" s="1059"/>
      <c r="S225" s="1059"/>
      <c r="T225" s="1059"/>
      <c r="U225" s="1059"/>
      <c r="V225" s="1059"/>
      <c r="W225" s="1059"/>
      <c r="X225" s="1059"/>
      <c r="Y225" s="1059"/>
      <c r="Z225" s="1059"/>
      <c r="AA225" s="1059"/>
      <c r="AB225" s="1059"/>
      <c r="AC225" s="1059"/>
      <c r="AD225" s="1059"/>
      <c r="AE225" s="1059"/>
      <c r="AF225" s="1059"/>
      <c r="AG225" s="1059"/>
      <c r="AH225" s="1059"/>
      <c r="AI225" s="1059"/>
      <c r="AJ225" s="1059"/>
      <c r="AK225" s="1059"/>
      <c r="AL225" s="1059"/>
      <c r="AM225" s="1059"/>
      <c r="AN225" s="1059"/>
      <c r="AO225" s="1059"/>
      <c r="AP225" s="1059"/>
      <c r="AQ225" s="1059"/>
      <c r="AR225" s="1059"/>
      <c r="AS225" s="1059"/>
      <c r="AT225" s="1059"/>
      <c r="AU225" s="1059"/>
      <c r="AV225" s="1059"/>
      <c r="AW225" s="1059"/>
      <c r="AX225" s="1059"/>
      <c r="AY225" s="1059"/>
      <c r="AZ225" s="1059"/>
      <c r="BA225" s="1059"/>
      <c r="BB225" s="1059"/>
      <c r="BC225" s="1059"/>
      <c r="BD225" s="1059"/>
      <c r="BE225" s="1059"/>
      <c r="BF225" s="1059"/>
      <c r="BG225" s="1059"/>
      <c r="BH225" s="1059"/>
      <c r="BI225" s="1059"/>
      <c r="BJ225" s="1059"/>
      <c r="BK225" s="1059"/>
      <c r="BL225" s="1059"/>
      <c r="BM225" s="1059"/>
      <c r="BN225" s="1059"/>
      <c r="BO225" s="1059"/>
      <c r="BP225" s="1059"/>
      <c r="BQ225" s="1059"/>
      <c r="BR225" s="1059"/>
      <c r="BS225" s="1059"/>
      <c r="BT225" s="1059"/>
      <c r="BU225" s="1059"/>
      <c r="BV225" s="1059"/>
      <c r="BW225" s="1059"/>
      <c r="BX225" s="1059"/>
      <c r="BY225" s="1059"/>
      <c r="BZ225" s="1059"/>
      <c r="CA225" s="1059"/>
      <c r="CB225" s="1059"/>
      <c r="CC225" s="1059"/>
      <c r="CD225" s="1059"/>
      <c r="CE225" s="1059"/>
      <c r="CF225" s="1059"/>
      <c r="CG225" s="1059"/>
      <c r="CH225" s="1059"/>
      <c r="CI225" s="1060"/>
      <c r="CK225" s="1363"/>
    </row>
    <row r="226" spans="1:89" s="1362" customFormat="1" x14ac:dyDescent="0.25">
      <c r="A226" s="1353"/>
      <c r="B226" s="887" t="s">
        <v>402</v>
      </c>
      <c r="C226" s="888" t="s">
        <v>403</v>
      </c>
      <c r="D226" s="889" t="s">
        <v>691</v>
      </c>
      <c r="E226" s="890" t="s">
        <v>146</v>
      </c>
      <c r="F226" s="891">
        <v>2</v>
      </c>
      <c r="G226" s="576"/>
      <c r="H226" s="576"/>
      <c r="I226" s="576"/>
      <c r="J226" s="576"/>
      <c r="K226" s="576"/>
      <c r="L226" s="576"/>
      <c r="M226" s="580"/>
      <c r="N226" s="580"/>
      <c r="O226" s="580"/>
      <c r="P226" s="580"/>
      <c r="Q226" s="580"/>
      <c r="R226" s="580"/>
      <c r="S226" s="580"/>
      <c r="T226" s="580"/>
      <c r="U226" s="580"/>
      <c r="V226" s="580"/>
      <c r="W226" s="580"/>
      <c r="X226" s="580"/>
      <c r="Y226" s="580"/>
      <c r="Z226" s="580"/>
      <c r="AA226" s="580"/>
      <c r="AB226" s="580"/>
      <c r="AC226" s="580"/>
      <c r="AD226" s="580"/>
      <c r="AE226" s="580"/>
      <c r="AF226" s="580"/>
      <c r="AG226" s="580"/>
      <c r="AH226" s="580"/>
      <c r="AI226" s="580"/>
      <c r="AJ226" s="580"/>
      <c r="AK226" s="580"/>
      <c r="AL226" s="580"/>
      <c r="AM226" s="580"/>
      <c r="AN226" s="580"/>
      <c r="AO226" s="580"/>
      <c r="AP226" s="580"/>
      <c r="AQ226" s="580"/>
      <c r="AR226" s="580"/>
      <c r="AS226" s="580"/>
      <c r="AT226" s="580"/>
      <c r="AU226" s="580"/>
      <c r="AV226" s="580"/>
      <c r="AW226" s="580"/>
      <c r="AX226" s="580"/>
      <c r="AY226" s="580"/>
      <c r="AZ226" s="580"/>
      <c r="BA226" s="580"/>
      <c r="BB226" s="580"/>
      <c r="BC226" s="580"/>
      <c r="BD226" s="580"/>
      <c r="BE226" s="580"/>
      <c r="BF226" s="580"/>
      <c r="BG226" s="580"/>
      <c r="BH226" s="580"/>
      <c r="BI226" s="580"/>
      <c r="BJ226" s="580"/>
      <c r="BK226" s="580"/>
      <c r="BL226" s="580"/>
      <c r="BM226" s="580"/>
      <c r="BN226" s="580"/>
      <c r="BO226" s="580"/>
      <c r="BP226" s="580"/>
      <c r="BQ226" s="580"/>
      <c r="BR226" s="580"/>
      <c r="BS226" s="580"/>
      <c r="BT226" s="580"/>
      <c r="BU226" s="580"/>
      <c r="BV226" s="580"/>
      <c r="BW226" s="580"/>
      <c r="BX226" s="580"/>
      <c r="BY226" s="580"/>
      <c r="BZ226" s="580"/>
      <c r="CA226" s="580"/>
      <c r="CB226" s="580"/>
      <c r="CC226" s="580"/>
      <c r="CD226" s="580"/>
      <c r="CE226" s="580"/>
      <c r="CF226" s="580"/>
      <c r="CG226" s="580"/>
      <c r="CH226" s="580"/>
      <c r="CI226" s="581"/>
      <c r="CK226" s="1363"/>
    </row>
    <row r="227" spans="1:89" s="1362" customFormat="1" x14ac:dyDescent="0.25">
      <c r="A227" s="1353"/>
      <c r="B227" s="887" t="s">
        <v>404</v>
      </c>
      <c r="C227" s="888" t="s">
        <v>405</v>
      </c>
      <c r="D227" s="889" t="s">
        <v>691</v>
      </c>
      <c r="E227" s="890" t="s">
        <v>146</v>
      </c>
      <c r="F227" s="891">
        <v>2</v>
      </c>
      <c r="G227" s="576"/>
      <c r="H227" s="576"/>
      <c r="I227" s="576"/>
      <c r="J227" s="576"/>
      <c r="K227" s="576"/>
      <c r="L227" s="576"/>
      <c r="M227" s="580"/>
      <c r="N227" s="580"/>
      <c r="O227" s="580"/>
      <c r="P227" s="580"/>
      <c r="Q227" s="580"/>
      <c r="R227" s="580"/>
      <c r="S227" s="580"/>
      <c r="T227" s="580"/>
      <c r="U227" s="580"/>
      <c r="V227" s="580"/>
      <c r="W227" s="580"/>
      <c r="X227" s="580"/>
      <c r="Y227" s="580"/>
      <c r="Z227" s="580"/>
      <c r="AA227" s="580"/>
      <c r="AB227" s="580"/>
      <c r="AC227" s="580"/>
      <c r="AD227" s="580"/>
      <c r="AE227" s="580"/>
      <c r="AF227" s="580"/>
      <c r="AG227" s="580"/>
      <c r="AH227" s="580"/>
      <c r="AI227" s="580"/>
      <c r="AJ227" s="580"/>
      <c r="AK227" s="580"/>
      <c r="AL227" s="580"/>
      <c r="AM227" s="580"/>
      <c r="AN227" s="580"/>
      <c r="AO227" s="580"/>
      <c r="AP227" s="580"/>
      <c r="AQ227" s="580"/>
      <c r="AR227" s="580"/>
      <c r="AS227" s="580"/>
      <c r="AT227" s="580"/>
      <c r="AU227" s="580"/>
      <c r="AV227" s="580"/>
      <c r="AW227" s="580"/>
      <c r="AX227" s="580"/>
      <c r="AY227" s="580"/>
      <c r="AZ227" s="580"/>
      <c r="BA227" s="580"/>
      <c r="BB227" s="580"/>
      <c r="BC227" s="580"/>
      <c r="BD227" s="580"/>
      <c r="BE227" s="580"/>
      <c r="BF227" s="580"/>
      <c r="BG227" s="580"/>
      <c r="BH227" s="580"/>
      <c r="BI227" s="580"/>
      <c r="BJ227" s="580"/>
      <c r="BK227" s="580"/>
      <c r="BL227" s="580"/>
      <c r="BM227" s="580"/>
      <c r="BN227" s="580"/>
      <c r="BO227" s="580"/>
      <c r="BP227" s="580"/>
      <c r="BQ227" s="580"/>
      <c r="BR227" s="580"/>
      <c r="BS227" s="580"/>
      <c r="BT227" s="580"/>
      <c r="BU227" s="580"/>
      <c r="BV227" s="580"/>
      <c r="BW227" s="580"/>
      <c r="BX227" s="580"/>
      <c r="BY227" s="580"/>
      <c r="BZ227" s="580"/>
      <c r="CA227" s="580"/>
      <c r="CB227" s="580"/>
      <c r="CC227" s="580"/>
      <c r="CD227" s="580"/>
      <c r="CE227" s="580"/>
      <c r="CF227" s="580"/>
      <c r="CG227" s="580"/>
      <c r="CH227" s="580"/>
      <c r="CI227" s="581"/>
      <c r="CK227" s="1363"/>
    </row>
    <row r="228" spans="1:89" s="1364" customFormat="1" x14ac:dyDescent="0.25">
      <c r="A228" s="1353"/>
      <c r="B228" s="887" t="s">
        <v>406</v>
      </c>
      <c r="C228" s="888" t="s">
        <v>407</v>
      </c>
      <c r="D228" s="889" t="s">
        <v>691</v>
      </c>
      <c r="E228" s="890" t="s">
        <v>146</v>
      </c>
      <c r="F228" s="891">
        <v>2</v>
      </c>
      <c r="G228" s="576"/>
      <c r="H228" s="576"/>
      <c r="I228" s="576"/>
      <c r="J228" s="576"/>
      <c r="K228" s="576"/>
      <c r="L228" s="576"/>
      <c r="M228" s="580"/>
      <c r="N228" s="580"/>
      <c r="O228" s="580"/>
      <c r="P228" s="580"/>
      <c r="Q228" s="580"/>
      <c r="R228" s="580"/>
      <c r="S228" s="580"/>
      <c r="T228" s="580"/>
      <c r="U228" s="580"/>
      <c r="V228" s="580"/>
      <c r="W228" s="580"/>
      <c r="X228" s="580"/>
      <c r="Y228" s="580"/>
      <c r="Z228" s="580"/>
      <c r="AA228" s="580"/>
      <c r="AB228" s="580"/>
      <c r="AC228" s="580"/>
      <c r="AD228" s="580"/>
      <c r="AE228" s="580"/>
      <c r="AF228" s="580"/>
      <c r="AG228" s="580"/>
      <c r="AH228" s="580"/>
      <c r="AI228" s="580"/>
      <c r="AJ228" s="580"/>
      <c r="AK228" s="580"/>
      <c r="AL228" s="580"/>
      <c r="AM228" s="580"/>
      <c r="AN228" s="580"/>
      <c r="AO228" s="580"/>
      <c r="AP228" s="580"/>
      <c r="AQ228" s="580"/>
      <c r="AR228" s="580"/>
      <c r="AS228" s="580"/>
      <c r="AT228" s="580"/>
      <c r="AU228" s="580"/>
      <c r="AV228" s="580"/>
      <c r="AW228" s="580"/>
      <c r="AX228" s="580"/>
      <c r="AY228" s="580"/>
      <c r="AZ228" s="580"/>
      <c r="BA228" s="580"/>
      <c r="BB228" s="580"/>
      <c r="BC228" s="580"/>
      <c r="BD228" s="580"/>
      <c r="BE228" s="580"/>
      <c r="BF228" s="580"/>
      <c r="BG228" s="580"/>
      <c r="BH228" s="580"/>
      <c r="BI228" s="580"/>
      <c r="BJ228" s="580"/>
      <c r="BK228" s="580"/>
      <c r="BL228" s="580"/>
      <c r="BM228" s="580"/>
      <c r="BN228" s="580"/>
      <c r="BO228" s="580"/>
      <c r="BP228" s="580"/>
      <c r="BQ228" s="580"/>
      <c r="BR228" s="580"/>
      <c r="BS228" s="580"/>
      <c r="BT228" s="580"/>
      <c r="BU228" s="580"/>
      <c r="BV228" s="580"/>
      <c r="BW228" s="580"/>
      <c r="BX228" s="580"/>
      <c r="BY228" s="580"/>
      <c r="BZ228" s="580"/>
      <c r="CA228" s="580"/>
      <c r="CB228" s="580"/>
      <c r="CC228" s="580"/>
      <c r="CD228" s="580"/>
      <c r="CE228" s="580"/>
      <c r="CF228" s="580"/>
      <c r="CG228" s="580"/>
      <c r="CH228" s="580"/>
      <c r="CI228" s="581"/>
      <c r="CK228" s="1365"/>
    </row>
    <row r="229" spans="1:89" s="1362" customFormat="1" x14ac:dyDescent="0.25">
      <c r="A229" s="1353"/>
      <c r="B229" s="887" t="s">
        <v>408</v>
      </c>
      <c r="C229" s="888" t="s">
        <v>409</v>
      </c>
      <c r="D229" s="889" t="s">
        <v>79</v>
      </c>
      <c r="E229" s="890" t="s">
        <v>285</v>
      </c>
      <c r="F229" s="891">
        <v>1</v>
      </c>
      <c r="G229" s="604"/>
      <c r="H229" s="604"/>
      <c r="I229" s="604"/>
      <c r="J229" s="604"/>
      <c r="K229" s="604"/>
      <c r="L229" s="604"/>
      <c r="M229" s="605"/>
      <c r="N229" s="605"/>
      <c r="O229" s="605"/>
      <c r="P229" s="605"/>
      <c r="Q229" s="605"/>
      <c r="R229" s="605"/>
      <c r="S229" s="605"/>
      <c r="T229" s="605"/>
      <c r="U229" s="605"/>
      <c r="V229" s="605"/>
      <c r="W229" s="605"/>
      <c r="X229" s="605"/>
      <c r="Y229" s="605"/>
      <c r="Z229" s="605"/>
      <c r="AA229" s="605"/>
      <c r="AB229" s="605"/>
      <c r="AC229" s="605"/>
      <c r="AD229" s="605"/>
      <c r="AE229" s="605"/>
      <c r="AF229" s="605"/>
      <c r="AG229" s="605"/>
      <c r="AH229" s="605"/>
      <c r="AI229" s="605"/>
      <c r="AJ229" s="605"/>
      <c r="AK229" s="605"/>
      <c r="AL229" s="605"/>
      <c r="AM229" s="605"/>
      <c r="AN229" s="605"/>
      <c r="AO229" s="605"/>
      <c r="AP229" s="605"/>
      <c r="AQ229" s="605"/>
      <c r="AR229" s="605"/>
      <c r="AS229" s="605"/>
      <c r="AT229" s="605"/>
      <c r="AU229" s="605"/>
      <c r="AV229" s="605"/>
      <c r="AW229" s="605"/>
      <c r="AX229" s="605"/>
      <c r="AY229" s="605"/>
      <c r="AZ229" s="605"/>
      <c r="BA229" s="605"/>
      <c r="BB229" s="605"/>
      <c r="BC229" s="605"/>
      <c r="BD229" s="605"/>
      <c r="BE229" s="605"/>
      <c r="BF229" s="605"/>
      <c r="BG229" s="605"/>
      <c r="BH229" s="605"/>
      <c r="BI229" s="605"/>
      <c r="BJ229" s="605"/>
      <c r="BK229" s="605"/>
      <c r="BL229" s="605"/>
      <c r="BM229" s="605"/>
      <c r="BN229" s="605"/>
      <c r="BO229" s="605"/>
      <c r="BP229" s="605"/>
      <c r="BQ229" s="605"/>
      <c r="BR229" s="605"/>
      <c r="BS229" s="605"/>
      <c r="BT229" s="605"/>
      <c r="BU229" s="605"/>
      <c r="BV229" s="605"/>
      <c r="BW229" s="605"/>
      <c r="BX229" s="605"/>
      <c r="BY229" s="605"/>
      <c r="BZ229" s="605"/>
      <c r="CA229" s="605"/>
      <c r="CB229" s="605"/>
      <c r="CC229" s="605"/>
      <c r="CD229" s="605"/>
      <c r="CE229" s="605"/>
      <c r="CF229" s="605"/>
      <c r="CG229" s="605"/>
      <c r="CH229" s="605"/>
      <c r="CI229" s="606"/>
      <c r="CK229" s="1363"/>
    </row>
    <row r="230" spans="1:89" s="1362" customFormat="1" ht="27.6" x14ac:dyDescent="0.25">
      <c r="A230" s="1353"/>
      <c r="B230" s="887" t="s">
        <v>410</v>
      </c>
      <c r="C230" s="888" t="s">
        <v>411</v>
      </c>
      <c r="D230" s="889" t="s">
        <v>412</v>
      </c>
      <c r="E230" s="890" t="s">
        <v>146</v>
      </c>
      <c r="F230" s="891">
        <v>2</v>
      </c>
      <c r="G230" s="607"/>
      <c r="H230" s="607"/>
      <c r="I230" s="607">
        <f t="shared" ref="I230:BS230" si="112">I229*(SUM(I224:I228)-SUM(I236:I239))</f>
        <v>0</v>
      </c>
      <c r="J230" s="607">
        <f t="shared" si="112"/>
        <v>0</v>
      </c>
      <c r="K230" s="607">
        <f t="shared" si="112"/>
        <v>0</v>
      </c>
      <c r="L230" s="607">
        <f t="shared" si="112"/>
        <v>0</v>
      </c>
      <c r="M230" s="607">
        <f t="shared" si="112"/>
        <v>0</v>
      </c>
      <c r="N230" s="607">
        <f t="shared" si="112"/>
        <v>0</v>
      </c>
      <c r="O230" s="607">
        <f t="shared" si="112"/>
        <v>0</v>
      </c>
      <c r="P230" s="607">
        <f t="shared" si="112"/>
        <v>0</v>
      </c>
      <c r="Q230" s="607">
        <f t="shared" si="112"/>
        <v>0</v>
      </c>
      <c r="R230" s="607">
        <f t="shared" si="112"/>
        <v>0</v>
      </c>
      <c r="S230" s="607">
        <f t="shared" si="112"/>
        <v>0</v>
      </c>
      <c r="T230" s="607">
        <f t="shared" si="112"/>
        <v>0</v>
      </c>
      <c r="U230" s="607">
        <f t="shared" si="112"/>
        <v>0</v>
      </c>
      <c r="V230" s="607">
        <f t="shared" si="112"/>
        <v>0</v>
      </c>
      <c r="W230" s="607">
        <f t="shared" si="112"/>
        <v>0</v>
      </c>
      <c r="X230" s="607">
        <f t="shared" si="112"/>
        <v>0</v>
      </c>
      <c r="Y230" s="607">
        <f t="shared" si="112"/>
        <v>0</v>
      </c>
      <c r="Z230" s="607">
        <f t="shared" si="112"/>
        <v>0</v>
      </c>
      <c r="AA230" s="607">
        <f t="shared" si="112"/>
        <v>0</v>
      </c>
      <c r="AB230" s="607">
        <f t="shared" si="112"/>
        <v>0</v>
      </c>
      <c r="AC230" s="607">
        <f t="shared" si="112"/>
        <v>0</v>
      </c>
      <c r="AD230" s="607">
        <f t="shared" si="112"/>
        <v>0</v>
      </c>
      <c r="AE230" s="607">
        <f t="shared" si="112"/>
        <v>0</v>
      </c>
      <c r="AF230" s="607">
        <f t="shared" si="112"/>
        <v>0</v>
      </c>
      <c r="AG230" s="607">
        <f t="shared" si="112"/>
        <v>0</v>
      </c>
      <c r="AH230" s="607">
        <f t="shared" si="112"/>
        <v>0</v>
      </c>
      <c r="AI230" s="607">
        <f t="shared" si="112"/>
        <v>0</v>
      </c>
      <c r="AJ230" s="607">
        <f t="shared" si="112"/>
        <v>0</v>
      </c>
      <c r="AK230" s="607">
        <f t="shared" si="112"/>
        <v>0</v>
      </c>
      <c r="AL230" s="607">
        <f t="shared" si="112"/>
        <v>0</v>
      </c>
      <c r="AM230" s="607">
        <f t="shared" si="112"/>
        <v>0</v>
      </c>
      <c r="AN230" s="607">
        <f t="shared" si="112"/>
        <v>0</v>
      </c>
      <c r="AO230" s="607">
        <f t="shared" si="112"/>
        <v>0</v>
      </c>
      <c r="AP230" s="607">
        <f t="shared" si="112"/>
        <v>0</v>
      </c>
      <c r="AQ230" s="607">
        <f t="shared" si="112"/>
        <v>0</v>
      </c>
      <c r="AR230" s="607">
        <f t="shared" si="112"/>
        <v>0</v>
      </c>
      <c r="AS230" s="607">
        <f t="shared" si="112"/>
        <v>0</v>
      </c>
      <c r="AT230" s="607">
        <f t="shared" si="112"/>
        <v>0</v>
      </c>
      <c r="AU230" s="607">
        <f t="shared" si="112"/>
        <v>0</v>
      </c>
      <c r="AV230" s="607">
        <f t="shared" si="112"/>
        <v>0</v>
      </c>
      <c r="AW230" s="607">
        <f t="shared" si="112"/>
        <v>0</v>
      </c>
      <c r="AX230" s="607">
        <f t="shared" si="112"/>
        <v>0</v>
      </c>
      <c r="AY230" s="607">
        <f t="shared" si="112"/>
        <v>0</v>
      </c>
      <c r="AZ230" s="607">
        <f t="shared" si="112"/>
        <v>0</v>
      </c>
      <c r="BA230" s="607">
        <f t="shared" si="112"/>
        <v>0</v>
      </c>
      <c r="BB230" s="607">
        <f t="shared" si="112"/>
        <v>0</v>
      </c>
      <c r="BC230" s="607">
        <f t="shared" si="112"/>
        <v>0</v>
      </c>
      <c r="BD230" s="607">
        <f t="shared" si="112"/>
        <v>0</v>
      </c>
      <c r="BE230" s="607">
        <f t="shared" si="112"/>
        <v>0</v>
      </c>
      <c r="BF230" s="607">
        <f t="shared" si="112"/>
        <v>0</v>
      </c>
      <c r="BG230" s="607">
        <f t="shared" si="112"/>
        <v>0</v>
      </c>
      <c r="BH230" s="607">
        <f t="shared" si="112"/>
        <v>0</v>
      </c>
      <c r="BI230" s="607">
        <f t="shared" si="112"/>
        <v>0</v>
      </c>
      <c r="BJ230" s="607">
        <f t="shared" si="112"/>
        <v>0</v>
      </c>
      <c r="BK230" s="607">
        <f t="shared" si="112"/>
        <v>0</v>
      </c>
      <c r="BL230" s="607">
        <f t="shared" si="112"/>
        <v>0</v>
      </c>
      <c r="BM230" s="607">
        <f t="shared" si="112"/>
        <v>0</v>
      </c>
      <c r="BN230" s="607">
        <f t="shared" si="112"/>
        <v>0</v>
      </c>
      <c r="BO230" s="607">
        <f t="shared" si="112"/>
        <v>0</v>
      </c>
      <c r="BP230" s="607">
        <f t="shared" si="112"/>
        <v>0</v>
      </c>
      <c r="BQ230" s="607">
        <f t="shared" si="112"/>
        <v>0</v>
      </c>
      <c r="BR230" s="607">
        <f t="shared" si="112"/>
        <v>0</v>
      </c>
      <c r="BS230" s="607">
        <f t="shared" si="112"/>
        <v>0</v>
      </c>
      <c r="BT230" s="607">
        <f t="shared" ref="BT230:CI230" si="113">BT229*(SUM(BT224:BT228)-SUM(BT236:BT239))</f>
        <v>0</v>
      </c>
      <c r="BU230" s="607">
        <f t="shared" si="113"/>
        <v>0</v>
      </c>
      <c r="BV230" s="607">
        <f t="shared" si="113"/>
        <v>0</v>
      </c>
      <c r="BW230" s="607">
        <f t="shared" si="113"/>
        <v>0</v>
      </c>
      <c r="BX230" s="607">
        <f t="shared" si="113"/>
        <v>0</v>
      </c>
      <c r="BY230" s="607">
        <f t="shared" si="113"/>
        <v>0</v>
      </c>
      <c r="BZ230" s="607">
        <f t="shared" si="113"/>
        <v>0</v>
      </c>
      <c r="CA230" s="607">
        <f t="shared" si="113"/>
        <v>0</v>
      </c>
      <c r="CB230" s="607">
        <f t="shared" si="113"/>
        <v>0</v>
      </c>
      <c r="CC230" s="607">
        <f t="shared" si="113"/>
        <v>0</v>
      </c>
      <c r="CD230" s="607">
        <f t="shared" si="113"/>
        <v>0</v>
      </c>
      <c r="CE230" s="607">
        <f t="shared" si="113"/>
        <v>0</v>
      </c>
      <c r="CF230" s="607">
        <f t="shared" si="113"/>
        <v>0</v>
      </c>
      <c r="CG230" s="607">
        <f t="shared" si="113"/>
        <v>0</v>
      </c>
      <c r="CH230" s="607">
        <f t="shared" si="113"/>
        <v>0</v>
      </c>
      <c r="CI230" s="607">
        <f t="shared" si="113"/>
        <v>0</v>
      </c>
      <c r="CK230" s="1363"/>
    </row>
    <row r="231" spans="1:89" s="1362" customFormat="1" ht="27.6" x14ac:dyDescent="0.25">
      <c r="A231" s="1353"/>
      <c r="B231" s="887" t="s">
        <v>413</v>
      </c>
      <c r="C231" s="892" t="s">
        <v>215</v>
      </c>
      <c r="D231" s="893" t="s">
        <v>414</v>
      </c>
      <c r="E231" s="894" t="s">
        <v>149</v>
      </c>
      <c r="F231" s="895">
        <v>1</v>
      </c>
      <c r="G231" s="613"/>
      <c r="H231" s="613"/>
      <c r="I231" s="613" t="e">
        <f t="shared" ref="I231:BS232" si="114">(((I227-I238))*1000000)/((I260)*1000)</f>
        <v>#DIV/0!</v>
      </c>
      <c r="J231" s="613" t="e">
        <f t="shared" si="114"/>
        <v>#DIV/0!</v>
      </c>
      <c r="K231" s="613" t="e">
        <f t="shared" si="114"/>
        <v>#DIV/0!</v>
      </c>
      <c r="L231" s="613" t="e">
        <f t="shared" si="114"/>
        <v>#DIV/0!</v>
      </c>
      <c r="M231" s="614" t="e">
        <f t="shared" si="114"/>
        <v>#DIV/0!</v>
      </c>
      <c r="N231" s="614" t="e">
        <f t="shared" si="114"/>
        <v>#DIV/0!</v>
      </c>
      <c r="O231" s="614" t="e">
        <f t="shared" si="114"/>
        <v>#DIV/0!</v>
      </c>
      <c r="P231" s="614" t="e">
        <f t="shared" si="114"/>
        <v>#DIV/0!</v>
      </c>
      <c r="Q231" s="614" t="e">
        <f t="shared" si="114"/>
        <v>#DIV/0!</v>
      </c>
      <c r="R231" s="614" t="e">
        <f t="shared" si="114"/>
        <v>#DIV/0!</v>
      </c>
      <c r="S231" s="614" t="e">
        <f t="shared" si="114"/>
        <v>#DIV/0!</v>
      </c>
      <c r="T231" s="614" t="e">
        <f t="shared" si="114"/>
        <v>#DIV/0!</v>
      </c>
      <c r="U231" s="614" t="e">
        <f t="shared" si="114"/>
        <v>#DIV/0!</v>
      </c>
      <c r="V231" s="614" t="e">
        <f t="shared" si="114"/>
        <v>#DIV/0!</v>
      </c>
      <c r="W231" s="614" t="e">
        <f t="shared" si="114"/>
        <v>#DIV/0!</v>
      </c>
      <c r="X231" s="614" t="e">
        <f t="shared" si="114"/>
        <v>#DIV/0!</v>
      </c>
      <c r="Y231" s="614" t="e">
        <f t="shared" si="114"/>
        <v>#DIV/0!</v>
      </c>
      <c r="Z231" s="614" t="e">
        <f t="shared" si="114"/>
        <v>#DIV/0!</v>
      </c>
      <c r="AA231" s="614" t="e">
        <f t="shared" si="114"/>
        <v>#DIV/0!</v>
      </c>
      <c r="AB231" s="614" t="e">
        <f t="shared" si="114"/>
        <v>#DIV/0!</v>
      </c>
      <c r="AC231" s="614" t="e">
        <f t="shared" si="114"/>
        <v>#DIV/0!</v>
      </c>
      <c r="AD231" s="614" t="e">
        <f t="shared" si="114"/>
        <v>#DIV/0!</v>
      </c>
      <c r="AE231" s="614" t="e">
        <f t="shared" si="114"/>
        <v>#DIV/0!</v>
      </c>
      <c r="AF231" s="614" t="e">
        <f t="shared" si="114"/>
        <v>#DIV/0!</v>
      </c>
      <c r="AG231" s="614" t="e">
        <f t="shared" si="114"/>
        <v>#DIV/0!</v>
      </c>
      <c r="AH231" s="614" t="e">
        <f t="shared" si="114"/>
        <v>#DIV/0!</v>
      </c>
      <c r="AI231" s="614" t="e">
        <f t="shared" si="114"/>
        <v>#DIV/0!</v>
      </c>
      <c r="AJ231" s="614" t="e">
        <f t="shared" si="114"/>
        <v>#DIV/0!</v>
      </c>
      <c r="AK231" s="614" t="e">
        <f t="shared" si="114"/>
        <v>#DIV/0!</v>
      </c>
      <c r="AL231" s="614" t="e">
        <f t="shared" si="114"/>
        <v>#DIV/0!</v>
      </c>
      <c r="AM231" s="614" t="e">
        <f t="shared" si="114"/>
        <v>#DIV/0!</v>
      </c>
      <c r="AN231" s="614" t="e">
        <f t="shared" si="114"/>
        <v>#DIV/0!</v>
      </c>
      <c r="AO231" s="614" t="e">
        <f t="shared" si="114"/>
        <v>#DIV/0!</v>
      </c>
      <c r="AP231" s="614" t="e">
        <f t="shared" si="114"/>
        <v>#DIV/0!</v>
      </c>
      <c r="AQ231" s="614" t="e">
        <f t="shared" si="114"/>
        <v>#DIV/0!</v>
      </c>
      <c r="AR231" s="614" t="e">
        <f t="shared" si="114"/>
        <v>#DIV/0!</v>
      </c>
      <c r="AS231" s="614" t="e">
        <f t="shared" si="114"/>
        <v>#DIV/0!</v>
      </c>
      <c r="AT231" s="614" t="e">
        <f t="shared" si="114"/>
        <v>#DIV/0!</v>
      </c>
      <c r="AU231" s="614" t="e">
        <f t="shared" si="114"/>
        <v>#DIV/0!</v>
      </c>
      <c r="AV231" s="614" t="e">
        <f t="shared" si="114"/>
        <v>#DIV/0!</v>
      </c>
      <c r="AW231" s="614" t="e">
        <f t="shared" si="114"/>
        <v>#DIV/0!</v>
      </c>
      <c r="AX231" s="614" t="e">
        <f t="shared" si="114"/>
        <v>#DIV/0!</v>
      </c>
      <c r="AY231" s="614" t="e">
        <f t="shared" si="114"/>
        <v>#DIV/0!</v>
      </c>
      <c r="AZ231" s="614" t="e">
        <f t="shared" si="114"/>
        <v>#DIV/0!</v>
      </c>
      <c r="BA231" s="614" t="e">
        <f t="shared" si="114"/>
        <v>#DIV/0!</v>
      </c>
      <c r="BB231" s="614" t="e">
        <f t="shared" si="114"/>
        <v>#DIV/0!</v>
      </c>
      <c r="BC231" s="614" t="e">
        <f t="shared" si="114"/>
        <v>#DIV/0!</v>
      </c>
      <c r="BD231" s="614" t="e">
        <f t="shared" si="114"/>
        <v>#DIV/0!</v>
      </c>
      <c r="BE231" s="614" t="e">
        <f t="shared" si="114"/>
        <v>#DIV/0!</v>
      </c>
      <c r="BF231" s="614" t="e">
        <f t="shared" si="114"/>
        <v>#DIV/0!</v>
      </c>
      <c r="BG231" s="614" t="e">
        <f t="shared" si="114"/>
        <v>#DIV/0!</v>
      </c>
      <c r="BH231" s="614" t="e">
        <f t="shared" si="114"/>
        <v>#DIV/0!</v>
      </c>
      <c r="BI231" s="614" t="e">
        <f t="shared" si="114"/>
        <v>#DIV/0!</v>
      </c>
      <c r="BJ231" s="614" t="e">
        <f t="shared" si="114"/>
        <v>#DIV/0!</v>
      </c>
      <c r="BK231" s="614" t="e">
        <f t="shared" si="114"/>
        <v>#DIV/0!</v>
      </c>
      <c r="BL231" s="614" t="e">
        <f t="shared" si="114"/>
        <v>#DIV/0!</v>
      </c>
      <c r="BM231" s="614" t="e">
        <f t="shared" si="114"/>
        <v>#DIV/0!</v>
      </c>
      <c r="BN231" s="614" t="e">
        <f t="shared" si="114"/>
        <v>#DIV/0!</v>
      </c>
      <c r="BO231" s="614" t="e">
        <f t="shared" si="114"/>
        <v>#DIV/0!</v>
      </c>
      <c r="BP231" s="614" t="e">
        <f t="shared" si="114"/>
        <v>#DIV/0!</v>
      </c>
      <c r="BQ231" s="614" t="e">
        <f t="shared" si="114"/>
        <v>#DIV/0!</v>
      </c>
      <c r="BR231" s="614" t="e">
        <f t="shared" si="114"/>
        <v>#DIV/0!</v>
      </c>
      <c r="BS231" s="614" t="e">
        <f t="shared" si="114"/>
        <v>#DIV/0!</v>
      </c>
      <c r="BT231" s="614" t="e">
        <f t="shared" ref="BT231:CI232" si="115">(((BT227-BT238))*1000000)/((BT260)*1000)</f>
        <v>#DIV/0!</v>
      </c>
      <c r="BU231" s="614" t="e">
        <f t="shared" si="115"/>
        <v>#DIV/0!</v>
      </c>
      <c r="BV231" s="614" t="e">
        <f t="shared" si="115"/>
        <v>#DIV/0!</v>
      </c>
      <c r="BW231" s="614" t="e">
        <f t="shared" si="115"/>
        <v>#DIV/0!</v>
      </c>
      <c r="BX231" s="614" t="e">
        <f t="shared" si="115"/>
        <v>#DIV/0!</v>
      </c>
      <c r="BY231" s="614" t="e">
        <f t="shared" si="115"/>
        <v>#DIV/0!</v>
      </c>
      <c r="BZ231" s="614" t="e">
        <f t="shared" si="115"/>
        <v>#DIV/0!</v>
      </c>
      <c r="CA231" s="614" t="e">
        <f t="shared" si="115"/>
        <v>#DIV/0!</v>
      </c>
      <c r="CB231" s="614" t="e">
        <f t="shared" si="115"/>
        <v>#DIV/0!</v>
      </c>
      <c r="CC231" s="614" t="e">
        <f t="shared" si="115"/>
        <v>#DIV/0!</v>
      </c>
      <c r="CD231" s="614" t="e">
        <f t="shared" si="115"/>
        <v>#DIV/0!</v>
      </c>
      <c r="CE231" s="614" t="e">
        <f t="shared" si="115"/>
        <v>#DIV/0!</v>
      </c>
      <c r="CF231" s="614" t="e">
        <f t="shared" si="115"/>
        <v>#DIV/0!</v>
      </c>
      <c r="CG231" s="614" t="e">
        <f t="shared" si="115"/>
        <v>#DIV/0!</v>
      </c>
      <c r="CH231" s="614" t="e">
        <f t="shared" si="115"/>
        <v>#DIV/0!</v>
      </c>
      <c r="CI231" s="608" t="e">
        <f t="shared" si="115"/>
        <v>#DIV/0!</v>
      </c>
      <c r="CK231" s="1363"/>
    </row>
    <row r="232" spans="1:89" s="1362" customFormat="1" ht="27.6" x14ac:dyDescent="0.25">
      <c r="A232" s="1353"/>
      <c r="B232" s="887" t="s">
        <v>415</v>
      </c>
      <c r="C232" s="892" t="s">
        <v>234</v>
      </c>
      <c r="D232" s="893" t="s">
        <v>416</v>
      </c>
      <c r="E232" s="894" t="s">
        <v>149</v>
      </c>
      <c r="F232" s="895">
        <v>1</v>
      </c>
      <c r="G232" s="613"/>
      <c r="H232" s="613"/>
      <c r="I232" s="613" t="e">
        <f t="shared" si="114"/>
        <v>#DIV/0!</v>
      </c>
      <c r="J232" s="613" t="e">
        <f t="shared" si="114"/>
        <v>#DIV/0!</v>
      </c>
      <c r="K232" s="613" t="e">
        <f t="shared" si="114"/>
        <v>#DIV/0!</v>
      </c>
      <c r="L232" s="613" t="e">
        <f t="shared" si="114"/>
        <v>#DIV/0!</v>
      </c>
      <c r="M232" s="614" t="e">
        <f t="shared" si="114"/>
        <v>#DIV/0!</v>
      </c>
      <c r="N232" s="614" t="e">
        <f t="shared" si="114"/>
        <v>#DIV/0!</v>
      </c>
      <c r="O232" s="614" t="e">
        <f t="shared" si="114"/>
        <v>#DIV/0!</v>
      </c>
      <c r="P232" s="614" t="e">
        <f t="shared" si="114"/>
        <v>#DIV/0!</v>
      </c>
      <c r="Q232" s="614" t="e">
        <f t="shared" si="114"/>
        <v>#DIV/0!</v>
      </c>
      <c r="R232" s="614" t="e">
        <f t="shared" si="114"/>
        <v>#DIV/0!</v>
      </c>
      <c r="S232" s="614" t="e">
        <f t="shared" si="114"/>
        <v>#DIV/0!</v>
      </c>
      <c r="T232" s="614" t="e">
        <f t="shared" si="114"/>
        <v>#DIV/0!</v>
      </c>
      <c r="U232" s="614" t="e">
        <f t="shared" si="114"/>
        <v>#DIV/0!</v>
      </c>
      <c r="V232" s="614" t="e">
        <f t="shared" si="114"/>
        <v>#DIV/0!</v>
      </c>
      <c r="W232" s="614" t="e">
        <f t="shared" si="114"/>
        <v>#DIV/0!</v>
      </c>
      <c r="X232" s="614" t="e">
        <f t="shared" si="114"/>
        <v>#DIV/0!</v>
      </c>
      <c r="Y232" s="614" t="e">
        <f t="shared" si="114"/>
        <v>#DIV/0!</v>
      </c>
      <c r="Z232" s="614" t="e">
        <f t="shared" si="114"/>
        <v>#DIV/0!</v>
      </c>
      <c r="AA232" s="614" t="e">
        <f t="shared" si="114"/>
        <v>#DIV/0!</v>
      </c>
      <c r="AB232" s="614" t="e">
        <f t="shared" si="114"/>
        <v>#DIV/0!</v>
      </c>
      <c r="AC232" s="614" t="e">
        <f t="shared" si="114"/>
        <v>#DIV/0!</v>
      </c>
      <c r="AD232" s="614" t="e">
        <f t="shared" si="114"/>
        <v>#DIV/0!</v>
      </c>
      <c r="AE232" s="614" t="e">
        <f t="shared" si="114"/>
        <v>#DIV/0!</v>
      </c>
      <c r="AF232" s="614" t="e">
        <f t="shared" si="114"/>
        <v>#DIV/0!</v>
      </c>
      <c r="AG232" s="614" t="e">
        <f t="shared" si="114"/>
        <v>#DIV/0!</v>
      </c>
      <c r="AH232" s="614" t="e">
        <f t="shared" si="114"/>
        <v>#DIV/0!</v>
      </c>
      <c r="AI232" s="614" t="e">
        <f t="shared" si="114"/>
        <v>#DIV/0!</v>
      </c>
      <c r="AJ232" s="614" t="e">
        <f t="shared" si="114"/>
        <v>#DIV/0!</v>
      </c>
      <c r="AK232" s="614" t="e">
        <f t="shared" si="114"/>
        <v>#DIV/0!</v>
      </c>
      <c r="AL232" s="614" t="e">
        <f t="shared" si="114"/>
        <v>#DIV/0!</v>
      </c>
      <c r="AM232" s="614" t="e">
        <f t="shared" si="114"/>
        <v>#DIV/0!</v>
      </c>
      <c r="AN232" s="614" t="e">
        <f t="shared" si="114"/>
        <v>#DIV/0!</v>
      </c>
      <c r="AO232" s="614" t="e">
        <f t="shared" si="114"/>
        <v>#DIV/0!</v>
      </c>
      <c r="AP232" s="614" t="e">
        <f t="shared" si="114"/>
        <v>#DIV/0!</v>
      </c>
      <c r="AQ232" s="614" t="e">
        <f t="shared" si="114"/>
        <v>#DIV/0!</v>
      </c>
      <c r="AR232" s="614" t="e">
        <f t="shared" si="114"/>
        <v>#DIV/0!</v>
      </c>
      <c r="AS232" s="614" t="e">
        <f t="shared" si="114"/>
        <v>#DIV/0!</v>
      </c>
      <c r="AT232" s="614" t="e">
        <f t="shared" si="114"/>
        <v>#DIV/0!</v>
      </c>
      <c r="AU232" s="614" t="e">
        <f t="shared" si="114"/>
        <v>#DIV/0!</v>
      </c>
      <c r="AV232" s="614" t="e">
        <f t="shared" si="114"/>
        <v>#DIV/0!</v>
      </c>
      <c r="AW232" s="614" t="e">
        <f t="shared" si="114"/>
        <v>#DIV/0!</v>
      </c>
      <c r="AX232" s="614" t="e">
        <f t="shared" si="114"/>
        <v>#DIV/0!</v>
      </c>
      <c r="AY232" s="614" t="e">
        <f t="shared" si="114"/>
        <v>#DIV/0!</v>
      </c>
      <c r="AZ232" s="614" t="e">
        <f t="shared" si="114"/>
        <v>#DIV/0!</v>
      </c>
      <c r="BA232" s="614" t="e">
        <f t="shared" si="114"/>
        <v>#DIV/0!</v>
      </c>
      <c r="BB232" s="614" t="e">
        <f t="shared" si="114"/>
        <v>#DIV/0!</v>
      </c>
      <c r="BC232" s="614" t="e">
        <f t="shared" si="114"/>
        <v>#DIV/0!</v>
      </c>
      <c r="BD232" s="614" t="e">
        <f t="shared" si="114"/>
        <v>#DIV/0!</v>
      </c>
      <c r="BE232" s="614" t="e">
        <f t="shared" si="114"/>
        <v>#DIV/0!</v>
      </c>
      <c r="BF232" s="614" t="e">
        <f t="shared" si="114"/>
        <v>#DIV/0!</v>
      </c>
      <c r="BG232" s="614" t="e">
        <f t="shared" si="114"/>
        <v>#DIV/0!</v>
      </c>
      <c r="BH232" s="614" t="e">
        <f t="shared" si="114"/>
        <v>#DIV/0!</v>
      </c>
      <c r="BI232" s="614" t="e">
        <f t="shared" si="114"/>
        <v>#DIV/0!</v>
      </c>
      <c r="BJ232" s="614" t="e">
        <f t="shared" si="114"/>
        <v>#DIV/0!</v>
      </c>
      <c r="BK232" s="614" t="e">
        <f t="shared" si="114"/>
        <v>#DIV/0!</v>
      </c>
      <c r="BL232" s="614" t="e">
        <f t="shared" si="114"/>
        <v>#DIV/0!</v>
      </c>
      <c r="BM232" s="614" t="e">
        <f t="shared" si="114"/>
        <v>#DIV/0!</v>
      </c>
      <c r="BN232" s="614" t="e">
        <f t="shared" si="114"/>
        <v>#DIV/0!</v>
      </c>
      <c r="BO232" s="614" t="e">
        <f t="shared" si="114"/>
        <v>#DIV/0!</v>
      </c>
      <c r="BP232" s="614" t="e">
        <f t="shared" si="114"/>
        <v>#DIV/0!</v>
      </c>
      <c r="BQ232" s="614" t="e">
        <f t="shared" si="114"/>
        <v>#DIV/0!</v>
      </c>
      <c r="BR232" s="614" t="e">
        <f t="shared" si="114"/>
        <v>#DIV/0!</v>
      </c>
      <c r="BS232" s="614" t="e">
        <f t="shared" si="114"/>
        <v>#DIV/0!</v>
      </c>
      <c r="BT232" s="614" t="e">
        <f t="shared" si="115"/>
        <v>#DIV/0!</v>
      </c>
      <c r="BU232" s="614" t="e">
        <f t="shared" si="115"/>
        <v>#DIV/0!</v>
      </c>
      <c r="BV232" s="614" t="e">
        <f t="shared" si="115"/>
        <v>#DIV/0!</v>
      </c>
      <c r="BW232" s="614" t="e">
        <f t="shared" si="115"/>
        <v>#DIV/0!</v>
      </c>
      <c r="BX232" s="614" t="e">
        <f t="shared" si="115"/>
        <v>#DIV/0!</v>
      </c>
      <c r="BY232" s="614" t="e">
        <f t="shared" si="115"/>
        <v>#DIV/0!</v>
      </c>
      <c r="BZ232" s="614" t="e">
        <f t="shared" si="115"/>
        <v>#DIV/0!</v>
      </c>
      <c r="CA232" s="614" t="e">
        <f t="shared" si="115"/>
        <v>#DIV/0!</v>
      </c>
      <c r="CB232" s="614" t="e">
        <f t="shared" si="115"/>
        <v>#DIV/0!</v>
      </c>
      <c r="CC232" s="614" t="e">
        <f t="shared" si="115"/>
        <v>#DIV/0!</v>
      </c>
      <c r="CD232" s="614" t="e">
        <f t="shared" si="115"/>
        <v>#DIV/0!</v>
      </c>
      <c r="CE232" s="614" t="e">
        <f t="shared" si="115"/>
        <v>#DIV/0!</v>
      </c>
      <c r="CF232" s="614" t="e">
        <f t="shared" si="115"/>
        <v>#DIV/0!</v>
      </c>
      <c r="CG232" s="614" t="e">
        <f t="shared" si="115"/>
        <v>#DIV/0!</v>
      </c>
      <c r="CH232" s="614" t="e">
        <f t="shared" si="115"/>
        <v>#DIV/0!</v>
      </c>
      <c r="CI232" s="608" t="e">
        <f t="shared" si="115"/>
        <v>#DIV/0!</v>
      </c>
      <c r="CK232" s="1363"/>
    </row>
    <row r="233" spans="1:89" s="1362" customFormat="1" ht="27.6" x14ac:dyDescent="0.25">
      <c r="A233" s="1353"/>
      <c r="B233" s="887" t="s">
        <v>417</v>
      </c>
      <c r="C233" s="892" t="s">
        <v>148</v>
      </c>
      <c r="D233" s="893" t="s">
        <v>418</v>
      </c>
      <c r="E233" s="894" t="s">
        <v>149</v>
      </c>
      <c r="F233" s="895">
        <v>1</v>
      </c>
      <c r="G233" s="613"/>
      <c r="H233" s="613"/>
      <c r="I233" s="613" t="e">
        <f t="shared" ref="I233:BS233" si="116">(((I227-I238)+(I228-I239))*1000000)/((I260+I261)*1000)</f>
        <v>#DIV/0!</v>
      </c>
      <c r="J233" s="613" t="e">
        <f t="shared" si="116"/>
        <v>#DIV/0!</v>
      </c>
      <c r="K233" s="613" t="e">
        <f t="shared" si="116"/>
        <v>#DIV/0!</v>
      </c>
      <c r="L233" s="613" t="e">
        <f t="shared" si="116"/>
        <v>#DIV/0!</v>
      </c>
      <c r="M233" s="614" t="e">
        <f t="shared" si="116"/>
        <v>#DIV/0!</v>
      </c>
      <c r="N233" s="614" t="e">
        <f t="shared" si="116"/>
        <v>#DIV/0!</v>
      </c>
      <c r="O233" s="614" t="e">
        <f t="shared" si="116"/>
        <v>#DIV/0!</v>
      </c>
      <c r="P233" s="614" t="e">
        <f t="shared" si="116"/>
        <v>#DIV/0!</v>
      </c>
      <c r="Q233" s="614" t="e">
        <f t="shared" si="116"/>
        <v>#DIV/0!</v>
      </c>
      <c r="R233" s="614" t="e">
        <f t="shared" si="116"/>
        <v>#DIV/0!</v>
      </c>
      <c r="S233" s="614" t="e">
        <f t="shared" si="116"/>
        <v>#DIV/0!</v>
      </c>
      <c r="T233" s="614" t="e">
        <f t="shared" si="116"/>
        <v>#DIV/0!</v>
      </c>
      <c r="U233" s="614" t="e">
        <f t="shared" si="116"/>
        <v>#DIV/0!</v>
      </c>
      <c r="V233" s="614" t="e">
        <f t="shared" si="116"/>
        <v>#DIV/0!</v>
      </c>
      <c r="W233" s="614" t="e">
        <f t="shared" si="116"/>
        <v>#DIV/0!</v>
      </c>
      <c r="X233" s="614" t="e">
        <f t="shared" si="116"/>
        <v>#DIV/0!</v>
      </c>
      <c r="Y233" s="614" t="e">
        <f t="shared" si="116"/>
        <v>#DIV/0!</v>
      </c>
      <c r="Z233" s="614" t="e">
        <f t="shared" si="116"/>
        <v>#DIV/0!</v>
      </c>
      <c r="AA233" s="614" t="e">
        <f t="shared" si="116"/>
        <v>#DIV/0!</v>
      </c>
      <c r="AB233" s="614" t="e">
        <f t="shared" si="116"/>
        <v>#DIV/0!</v>
      </c>
      <c r="AC233" s="614" t="e">
        <f t="shared" si="116"/>
        <v>#DIV/0!</v>
      </c>
      <c r="AD233" s="614" t="e">
        <f t="shared" si="116"/>
        <v>#DIV/0!</v>
      </c>
      <c r="AE233" s="614" t="e">
        <f t="shared" si="116"/>
        <v>#DIV/0!</v>
      </c>
      <c r="AF233" s="614" t="e">
        <f t="shared" si="116"/>
        <v>#DIV/0!</v>
      </c>
      <c r="AG233" s="614" t="e">
        <f t="shared" si="116"/>
        <v>#DIV/0!</v>
      </c>
      <c r="AH233" s="614" t="e">
        <f t="shared" si="116"/>
        <v>#DIV/0!</v>
      </c>
      <c r="AI233" s="614" t="e">
        <f t="shared" si="116"/>
        <v>#DIV/0!</v>
      </c>
      <c r="AJ233" s="614" t="e">
        <f t="shared" si="116"/>
        <v>#DIV/0!</v>
      </c>
      <c r="AK233" s="614" t="e">
        <f t="shared" si="116"/>
        <v>#DIV/0!</v>
      </c>
      <c r="AL233" s="614" t="e">
        <f t="shared" si="116"/>
        <v>#DIV/0!</v>
      </c>
      <c r="AM233" s="614" t="e">
        <f t="shared" si="116"/>
        <v>#DIV/0!</v>
      </c>
      <c r="AN233" s="614" t="e">
        <f t="shared" si="116"/>
        <v>#DIV/0!</v>
      </c>
      <c r="AO233" s="614" t="e">
        <f t="shared" si="116"/>
        <v>#DIV/0!</v>
      </c>
      <c r="AP233" s="614" t="e">
        <f t="shared" si="116"/>
        <v>#DIV/0!</v>
      </c>
      <c r="AQ233" s="614" t="e">
        <f t="shared" si="116"/>
        <v>#DIV/0!</v>
      </c>
      <c r="AR233" s="614" t="e">
        <f t="shared" si="116"/>
        <v>#DIV/0!</v>
      </c>
      <c r="AS233" s="614" t="e">
        <f t="shared" si="116"/>
        <v>#DIV/0!</v>
      </c>
      <c r="AT233" s="614" t="e">
        <f t="shared" si="116"/>
        <v>#DIV/0!</v>
      </c>
      <c r="AU233" s="614" t="e">
        <f t="shared" si="116"/>
        <v>#DIV/0!</v>
      </c>
      <c r="AV233" s="614" t="e">
        <f t="shared" si="116"/>
        <v>#DIV/0!</v>
      </c>
      <c r="AW233" s="614" t="e">
        <f t="shared" si="116"/>
        <v>#DIV/0!</v>
      </c>
      <c r="AX233" s="614" t="e">
        <f t="shared" si="116"/>
        <v>#DIV/0!</v>
      </c>
      <c r="AY233" s="614" t="e">
        <f t="shared" si="116"/>
        <v>#DIV/0!</v>
      </c>
      <c r="AZ233" s="614" t="e">
        <f t="shared" si="116"/>
        <v>#DIV/0!</v>
      </c>
      <c r="BA233" s="614" t="e">
        <f t="shared" si="116"/>
        <v>#DIV/0!</v>
      </c>
      <c r="BB233" s="614" t="e">
        <f t="shared" si="116"/>
        <v>#DIV/0!</v>
      </c>
      <c r="BC233" s="614" t="e">
        <f t="shared" si="116"/>
        <v>#DIV/0!</v>
      </c>
      <c r="BD233" s="614" t="e">
        <f t="shared" si="116"/>
        <v>#DIV/0!</v>
      </c>
      <c r="BE233" s="614" t="e">
        <f t="shared" si="116"/>
        <v>#DIV/0!</v>
      </c>
      <c r="BF233" s="614" t="e">
        <f t="shared" si="116"/>
        <v>#DIV/0!</v>
      </c>
      <c r="BG233" s="614" t="e">
        <f t="shared" si="116"/>
        <v>#DIV/0!</v>
      </c>
      <c r="BH233" s="614" t="e">
        <f t="shared" si="116"/>
        <v>#DIV/0!</v>
      </c>
      <c r="BI233" s="614" t="e">
        <f t="shared" si="116"/>
        <v>#DIV/0!</v>
      </c>
      <c r="BJ233" s="614" t="e">
        <f t="shared" si="116"/>
        <v>#DIV/0!</v>
      </c>
      <c r="BK233" s="614" t="e">
        <f t="shared" si="116"/>
        <v>#DIV/0!</v>
      </c>
      <c r="BL233" s="614" t="e">
        <f t="shared" si="116"/>
        <v>#DIV/0!</v>
      </c>
      <c r="BM233" s="614" t="e">
        <f t="shared" si="116"/>
        <v>#DIV/0!</v>
      </c>
      <c r="BN233" s="614" t="e">
        <f t="shared" si="116"/>
        <v>#DIV/0!</v>
      </c>
      <c r="BO233" s="614" t="e">
        <f t="shared" si="116"/>
        <v>#DIV/0!</v>
      </c>
      <c r="BP233" s="614" t="e">
        <f t="shared" si="116"/>
        <v>#DIV/0!</v>
      </c>
      <c r="BQ233" s="614" t="e">
        <f t="shared" si="116"/>
        <v>#DIV/0!</v>
      </c>
      <c r="BR233" s="614" t="e">
        <f t="shared" si="116"/>
        <v>#DIV/0!</v>
      </c>
      <c r="BS233" s="614" t="e">
        <f t="shared" si="116"/>
        <v>#DIV/0!</v>
      </c>
      <c r="BT233" s="614" t="e">
        <f t="shared" ref="BT233:CI233" si="117">(((BT227-BT238)+(BT228-BT239))*1000000)/((BT260+BT261)*1000)</f>
        <v>#DIV/0!</v>
      </c>
      <c r="BU233" s="614" t="e">
        <f t="shared" si="117"/>
        <v>#DIV/0!</v>
      </c>
      <c r="BV233" s="614" t="e">
        <f t="shared" si="117"/>
        <v>#DIV/0!</v>
      </c>
      <c r="BW233" s="614" t="e">
        <f t="shared" si="117"/>
        <v>#DIV/0!</v>
      </c>
      <c r="BX233" s="614" t="e">
        <f t="shared" si="117"/>
        <v>#DIV/0!</v>
      </c>
      <c r="BY233" s="614" t="e">
        <f t="shared" si="117"/>
        <v>#DIV/0!</v>
      </c>
      <c r="BZ233" s="614" t="e">
        <f t="shared" si="117"/>
        <v>#DIV/0!</v>
      </c>
      <c r="CA233" s="614" t="e">
        <f t="shared" si="117"/>
        <v>#DIV/0!</v>
      </c>
      <c r="CB233" s="614" t="e">
        <f t="shared" si="117"/>
        <v>#DIV/0!</v>
      </c>
      <c r="CC233" s="614" t="e">
        <f t="shared" si="117"/>
        <v>#DIV/0!</v>
      </c>
      <c r="CD233" s="614" t="e">
        <f t="shared" si="117"/>
        <v>#DIV/0!</v>
      </c>
      <c r="CE233" s="614" t="e">
        <f t="shared" si="117"/>
        <v>#DIV/0!</v>
      </c>
      <c r="CF233" s="614" t="e">
        <f t="shared" si="117"/>
        <v>#DIV/0!</v>
      </c>
      <c r="CG233" s="614" t="e">
        <f t="shared" si="117"/>
        <v>#DIV/0!</v>
      </c>
      <c r="CH233" s="614" t="e">
        <f t="shared" si="117"/>
        <v>#DIV/0!</v>
      </c>
      <c r="CI233" s="608" t="e">
        <f t="shared" si="117"/>
        <v>#DIV/0!</v>
      </c>
      <c r="CK233" s="1363"/>
    </row>
    <row r="234" spans="1:89" s="1362" customFormat="1" x14ac:dyDescent="0.25">
      <c r="A234" s="1353"/>
      <c r="B234" s="887" t="s">
        <v>419</v>
      </c>
      <c r="C234" s="892" t="s">
        <v>420</v>
      </c>
      <c r="D234" s="893" t="s">
        <v>79</v>
      </c>
      <c r="E234" s="894" t="s">
        <v>146</v>
      </c>
      <c r="F234" s="895">
        <v>2</v>
      </c>
      <c r="G234" s="576"/>
      <c r="H234" s="576"/>
      <c r="I234" s="576"/>
      <c r="J234" s="576"/>
      <c r="K234" s="576"/>
      <c r="L234" s="576"/>
      <c r="M234" s="577"/>
      <c r="N234" s="577"/>
      <c r="O234" s="577"/>
      <c r="P234" s="577"/>
      <c r="Q234" s="577"/>
      <c r="R234" s="577"/>
      <c r="S234" s="577"/>
      <c r="T234" s="577"/>
      <c r="U234" s="577"/>
      <c r="V234" s="577"/>
      <c r="W234" s="577"/>
      <c r="X234" s="577"/>
      <c r="Y234" s="577"/>
      <c r="Z234" s="577"/>
      <c r="AA234" s="577"/>
      <c r="AB234" s="577"/>
      <c r="AC234" s="577"/>
      <c r="AD234" s="577"/>
      <c r="AE234" s="577"/>
      <c r="AF234" s="577"/>
      <c r="AG234" s="577"/>
      <c r="AH234" s="577"/>
      <c r="AI234" s="577"/>
      <c r="AJ234" s="577"/>
      <c r="AK234" s="577"/>
      <c r="AL234" s="577"/>
      <c r="AM234" s="577"/>
      <c r="AN234" s="577"/>
      <c r="AO234" s="577"/>
      <c r="AP234" s="577"/>
      <c r="AQ234" s="577"/>
      <c r="AR234" s="577"/>
      <c r="AS234" s="577"/>
      <c r="AT234" s="577"/>
      <c r="AU234" s="577"/>
      <c r="AV234" s="577"/>
      <c r="AW234" s="577"/>
      <c r="AX234" s="577"/>
      <c r="AY234" s="577"/>
      <c r="AZ234" s="577"/>
      <c r="BA234" s="577"/>
      <c r="BB234" s="577"/>
      <c r="BC234" s="577"/>
      <c r="BD234" s="577"/>
      <c r="BE234" s="577"/>
      <c r="BF234" s="577"/>
      <c r="BG234" s="577"/>
      <c r="BH234" s="577"/>
      <c r="BI234" s="577"/>
      <c r="BJ234" s="577"/>
      <c r="BK234" s="577"/>
      <c r="BL234" s="577"/>
      <c r="BM234" s="577"/>
      <c r="BN234" s="577"/>
      <c r="BO234" s="577"/>
      <c r="BP234" s="577"/>
      <c r="BQ234" s="577"/>
      <c r="BR234" s="577"/>
      <c r="BS234" s="577"/>
      <c r="BT234" s="577"/>
      <c r="BU234" s="577"/>
      <c r="BV234" s="577"/>
      <c r="BW234" s="577"/>
      <c r="BX234" s="577"/>
      <c r="BY234" s="577"/>
      <c r="BZ234" s="577"/>
      <c r="CA234" s="577"/>
      <c r="CB234" s="577"/>
      <c r="CC234" s="577"/>
      <c r="CD234" s="577"/>
      <c r="CE234" s="577"/>
      <c r="CF234" s="577"/>
      <c r="CG234" s="577"/>
      <c r="CH234" s="577"/>
      <c r="CI234" s="578"/>
      <c r="CK234" s="1363"/>
    </row>
    <row r="235" spans="1:89" s="1362" customFormat="1" ht="14.4" thickBot="1" x14ac:dyDescent="0.3">
      <c r="A235" s="1353"/>
      <c r="B235" s="896" t="s">
        <v>421</v>
      </c>
      <c r="C235" s="897" t="s">
        <v>422</v>
      </c>
      <c r="D235" s="898" t="s">
        <v>79</v>
      </c>
      <c r="E235" s="899" t="s">
        <v>146</v>
      </c>
      <c r="F235" s="900">
        <v>2</v>
      </c>
      <c r="G235" s="620"/>
      <c r="H235" s="620"/>
      <c r="I235" s="620"/>
      <c r="J235" s="620"/>
      <c r="K235" s="620"/>
      <c r="L235" s="620"/>
      <c r="M235" s="621"/>
      <c r="N235" s="621"/>
      <c r="O235" s="621"/>
      <c r="P235" s="621"/>
      <c r="Q235" s="621"/>
      <c r="R235" s="621"/>
      <c r="S235" s="621"/>
      <c r="T235" s="621"/>
      <c r="U235" s="621"/>
      <c r="V235" s="621"/>
      <c r="W235" s="621"/>
      <c r="X235" s="621"/>
      <c r="Y235" s="621"/>
      <c r="Z235" s="621"/>
      <c r="AA235" s="621"/>
      <c r="AB235" s="621"/>
      <c r="AC235" s="621"/>
      <c r="AD235" s="621"/>
      <c r="AE235" s="621"/>
      <c r="AF235" s="621"/>
      <c r="AG235" s="621"/>
      <c r="AH235" s="621"/>
      <c r="AI235" s="621"/>
      <c r="AJ235" s="621"/>
      <c r="AK235" s="621"/>
      <c r="AL235" s="621"/>
      <c r="AM235" s="621"/>
      <c r="AN235" s="621"/>
      <c r="AO235" s="621"/>
      <c r="AP235" s="621"/>
      <c r="AQ235" s="621"/>
      <c r="AR235" s="621"/>
      <c r="AS235" s="621"/>
      <c r="AT235" s="621"/>
      <c r="AU235" s="621"/>
      <c r="AV235" s="621"/>
      <c r="AW235" s="621"/>
      <c r="AX235" s="621"/>
      <c r="AY235" s="621"/>
      <c r="AZ235" s="621"/>
      <c r="BA235" s="621"/>
      <c r="BB235" s="621"/>
      <c r="BC235" s="621"/>
      <c r="BD235" s="621"/>
      <c r="BE235" s="621"/>
      <c r="BF235" s="621"/>
      <c r="BG235" s="621"/>
      <c r="BH235" s="621"/>
      <c r="BI235" s="621"/>
      <c r="BJ235" s="621"/>
      <c r="BK235" s="621"/>
      <c r="BL235" s="621"/>
      <c r="BM235" s="621"/>
      <c r="BN235" s="621"/>
      <c r="BO235" s="621"/>
      <c r="BP235" s="621"/>
      <c r="BQ235" s="621"/>
      <c r="BR235" s="621"/>
      <c r="BS235" s="621"/>
      <c r="BT235" s="621"/>
      <c r="BU235" s="621"/>
      <c r="BV235" s="621"/>
      <c r="BW235" s="621"/>
      <c r="BX235" s="621"/>
      <c r="BY235" s="621"/>
      <c r="BZ235" s="621"/>
      <c r="CA235" s="621"/>
      <c r="CB235" s="621"/>
      <c r="CC235" s="621"/>
      <c r="CD235" s="621"/>
      <c r="CE235" s="621"/>
      <c r="CF235" s="621"/>
      <c r="CG235" s="621"/>
      <c r="CH235" s="621"/>
      <c r="CI235" s="622"/>
      <c r="CK235" s="1363"/>
    </row>
    <row r="236" spans="1:89" s="1362" customFormat="1" x14ac:dyDescent="0.25">
      <c r="A236" s="1353"/>
      <c r="B236" s="864" t="s">
        <v>423</v>
      </c>
      <c r="C236" s="865" t="s">
        <v>424</v>
      </c>
      <c r="D236" s="866" t="s">
        <v>79</v>
      </c>
      <c r="E236" s="867" t="s">
        <v>146</v>
      </c>
      <c r="F236" s="868">
        <v>2</v>
      </c>
      <c r="G236" s="568"/>
      <c r="H236" s="568"/>
      <c r="I236" s="568"/>
      <c r="J236" s="568"/>
      <c r="K236" s="568"/>
      <c r="L236" s="568"/>
      <c r="M236" s="569"/>
      <c r="N236" s="569"/>
      <c r="O236" s="569"/>
      <c r="P236" s="569"/>
      <c r="Q236" s="569"/>
      <c r="R236" s="569"/>
      <c r="S236" s="569"/>
      <c r="T236" s="569"/>
      <c r="U236" s="569"/>
      <c r="V236" s="569"/>
      <c r="W236" s="569"/>
      <c r="X236" s="569"/>
      <c r="Y236" s="569"/>
      <c r="Z236" s="569"/>
      <c r="AA236" s="569"/>
      <c r="AB236" s="569"/>
      <c r="AC236" s="569"/>
      <c r="AD236" s="569"/>
      <c r="AE236" s="569"/>
      <c r="AF236" s="569"/>
      <c r="AG236" s="569"/>
      <c r="AH236" s="569"/>
      <c r="AI236" s="569"/>
      <c r="AJ236" s="569"/>
      <c r="AK236" s="569"/>
      <c r="AL236" s="569"/>
      <c r="AM236" s="569"/>
      <c r="AN236" s="569"/>
      <c r="AO236" s="569"/>
      <c r="AP236" s="569"/>
      <c r="AQ236" s="569"/>
      <c r="AR236" s="569"/>
      <c r="AS236" s="569"/>
      <c r="AT236" s="569"/>
      <c r="AU236" s="569"/>
      <c r="AV236" s="569"/>
      <c r="AW236" s="569"/>
      <c r="AX236" s="569"/>
      <c r="AY236" s="569"/>
      <c r="AZ236" s="569"/>
      <c r="BA236" s="569"/>
      <c r="BB236" s="569"/>
      <c r="BC236" s="569"/>
      <c r="BD236" s="569"/>
      <c r="BE236" s="569"/>
      <c r="BF236" s="569"/>
      <c r="BG236" s="569"/>
      <c r="BH236" s="569"/>
      <c r="BI236" s="569"/>
      <c r="BJ236" s="569"/>
      <c r="BK236" s="569"/>
      <c r="BL236" s="569"/>
      <c r="BM236" s="569"/>
      <c r="BN236" s="569"/>
      <c r="BO236" s="569"/>
      <c r="BP236" s="569"/>
      <c r="BQ236" s="569"/>
      <c r="BR236" s="569"/>
      <c r="BS236" s="569"/>
      <c r="BT236" s="569"/>
      <c r="BU236" s="569"/>
      <c r="BV236" s="569"/>
      <c r="BW236" s="569"/>
      <c r="BX236" s="569"/>
      <c r="BY236" s="569"/>
      <c r="BZ236" s="569"/>
      <c r="CA236" s="569"/>
      <c r="CB236" s="569"/>
      <c r="CC236" s="569"/>
      <c r="CD236" s="569"/>
      <c r="CE236" s="569"/>
      <c r="CF236" s="569"/>
      <c r="CG236" s="569"/>
      <c r="CH236" s="569"/>
      <c r="CI236" s="570"/>
      <c r="CK236" s="1363"/>
    </row>
    <row r="237" spans="1:89" s="1362" customFormat="1" x14ac:dyDescent="0.25">
      <c r="A237" s="1353"/>
      <c r="B237" s="874" t="s">
        <v>425</v>
      </c>
      <c r="C237" s="875" t="s">
        <v>426</v>
      </c>
      <c r="D237" s="871" t="s">
        <v>79</v>
      </c>
      <c r="E237" s="872" t="s">
        <v>146</v>
      </c>
      <c r="F237" s="873">
        <v>2</v>
      </c>
      <c r="G237" s="576"/>
      <c r="H237" s="576"/>
      <c r="I237" s="576"/>
      <c r="J237" s="576"/>
      <c r="K237" s="576"/>
      <c r="L237" s="576"/>
      <c r="M237" s="580"/>
      <c r="N237" s="580"/>
      <c r="O237" s="580"/>
      <c r="P237" s="580"/>
      <c r="Q237" s="580"/>
      <c r="R237" s="580"/>
      <c r="S237" s="580"/>
      <c r="T237" s="580"/>
      <c r="U237" s="580"/>
      <c r="V237" s="580"/>
      <c r="W237" s="580"/>
      <c r="X237" s="580"/>
      <c r="Y237" s="580"/>
      <c r="Z237" s="580"/>
      <c r="AA237" s="580"/>
      <c r="AB237" s="580"/>
      <c r="AC237" s="580"/>
      <c r="AD237" s="580"/>
      <c r="AE237" s="580"/>
      <c r="AF237" s="580"/>
      <c r="AG237" s="580"/>
      <c r="AH237" s="580"/>
      <c r="AI237" s="580"/>
      <c r="AJ237" s="580"/>
      <c r="AK237" s="580"/>
      <c r="AL237" s="580"/>
      <c r="AM237" s="580"/>
      <c r="AN237" s="580"/>
      <c r="AO237" s="580"/>
      <c r="AP237" s="580"/>
      <c r="AQ237" s="580"/>
      <c r="AR237" s="580"/>
      <c r="AS237" s="580"/>
      <c r="AT237" s="580"/>
      <c r="AU237" s="580"/>
      <c r="AV237" s="580"/>
      <c r="AW237" s="580"/>
      <c r="AX237" s="580"/>
      <c r="AY237" s="580"/>
      <c r="AZ237" s="580"/>
      <c r="BA237" s="580"/>
      <c r="BB237" s="580"/>
      <c r="BC237" s="580"/>
      <c r="BD237" s="580"/>
      <c r="BE237" s="580"/>
      <c r="BF237" s="580"/>
      <c r="BG237" s="580"/>
      <c r="BH237" s="580"/>
      <c r="BI237" s="580"/>
      <c r="BJ237" s="580"/>
      <c r="BK237" s="580"/>
      <c r="BL237" s="580"/>
      <c r="BM237" s="580"/>
      <c r="BN237" s="580"/>
      <c r="BO237" s="580"/>
      <c r="BP237" s="580"/>
      <c r="BQ237" s="580"/>
      <c r="BR237" s="580"/>
      <c r="BS237" s="580"/>
      <c r="BT237" s="580"/>
      <c r="BU237" s="580"/>
      <c r="BV237" s="580"/>
      <c r="BW237" s="580"/>
      <c r="BX237" s="580"/>
      <c r="BY237" s="580"/>
      <c r="BZ237" s="580"/>
      <c r="CA237" s="580"/>
      <c r="CB237" s="580"/>
      <c r="CC237" s="580"/>
      <c r="CD237" s="580"/>
      <c r="CE237" s="580"/>
      <c r="CF237" s="580"/>
      <c r="CG237" s="580"/>
      <c r="CH237" s="580"/>
      <c r="CI237" s="581"/>
      <c r="CK237" s="1363"/>
    </row>
    <row r="238" spans="1:89" s="1362" customFormat="1" x14ac:dyDescent="0.25">
      <c r="A238" s="1353"/>
      <c r="B238" s="874" t="s">
        <v>427</v>
      </c>
      <c r="C238" s="875" t="s">
        <v>428</v>
      </c>
      <c r="D238" s="871" t="s">
        <v>79</v>
      </c>
      <c r="E238" s="872" t="s">
        <v>146</v>
      </c>
      <c r="F238" s="873">
        <v>2</v>
      </c>
      <c r="G238" s="576"/>
      <c r="H238" s="576"/>
      <c r="I238" s="576"/>
      <c r="J238" s="576"/>
      <c r="K238" s="576"/>
      <c r="L238" s="576"/>
      <c r="M238" s="580"/>
      <c r="N238" s="580"/>
      <c r="O238" s="580"/>
      <c r="P238" s="580"/>
      <c r="Q238" s="580"/>
      <c r="R238" s="580"/>
      <c r="S238" s="580"/>
      <c r="T238" s="580"/>
      <c r="U238" s="580"/>
      <c r="V238" s="580"/>
      <c r="W238" s="580"/>
      <c r="X238" s="580"/>
      <c r="Y238" s="580"/>
      <c r="Z238" s="580"/>
      <c r="AA238" s="580"/>
      <c r="AB238" s="580"/>
      <c r="AC238" s="580"/>
      <c r="AD238" s="580"/>
      <c r="AE238" s="580"/>
      <c r="AF238" s="580"/>
      <c r="AG238" s="580"/>
      <c r="AH238" s="580"/>
      <c r="AI238" s="580"/>
      <c r="AJ238" s="580"/>
      <c r="AK238" s="580"/>
      <c r="AL238" s="580"/>
      <c r="AM238" s="580"/>
      <c r="AN238" s="580"/>
      <c r="AO238" s="580"/>
      <c r="AP238" s="580"/>
      <c r="AQ238" s="580"/>
      <c r="AR238" s="580"/>
      <c r="AS238" s="580"/>
      <c r="AT238" s="580"/>
      <c r="AU238" s="580"/>
      <c r="AV238" s="580"/>
      <c r="AW238" s="580"/>
      <c r="AX238" s="580"/>
      <c r="AY238" s="580"/>
      <c r="AZ238" s="580"/>
      <c r="BA238" s="580"/>
      <c r="BB238" s="580"/>
      <c r="BC238" s="580"/>
      <c r="BD238" s="580"/>
      <c r="BE238" s="580"/>
      <c r="BF238" s="580"/>
      <c r="BG238" s="580"/>
      <c r="BH238" s="580"/>
      <c r="BI238" s="580"/>
      <c r="BJ238" s="580"/>
      <c r="BK238" s="580"/>
      <c r="BL238" s="580"/>
      <c r="BM238" s="580"/>
      <c r="BN238" s="580"/>
      <c r="BO238" s="580"/>
      <c r="BP238" s="580"/>
      <c r="BQ238" s="580"/>
      <c r="BR238" s="580"/>
      <c r="BS238" s="580"/>
      <c r="BT238" s="580"/>
      <c r="BU238" s="580"/>
      <c r="BV238" s="580"/>
      <c r="BW238" s="580"/>
      <c r="BX238" s="580"/>
      <c r="BY238" s="580"/>
      <c r="BZ238" s="580"/>
      <c r="CA238" s="580"/>
      <c r="CB238" s="580"/>
      <c r="CC238" s="580"/>
      <c r="CD238" s="580"/>
      <c r="CE238" s="580"/>
      <c r="CF238" s="580"/>
      <c r="CG238" s="580"/>
      <c r="CH238" s="580"/>
      <c r="CI238" s="581"/>
      <c r="CK238" s="1363"/>
    </row>
    <row r="239" spans="1:89" s="1362" customFormat="1" x14ac:dyDescent="0.25">
      <c r="A239" s="1353"/>
      <c r="B239" s="874" t="s">
        <v>429</v>
      </c>
      <c r="C239" s="875" t="s">
        <v>430</v>
      </c>
      <c r="D239" s="871" t="s">
        <v>79</v>
      </c>
      <c r="E239" s="872" t="s">
        <v>146</v>
      </c>
      <c r="F239" s="873">
        <v>2</v>
      </c>
      <c r="G239" s="576"/>
      <c r="H239" s="576"/>
      <c r="I239" s="576"/>
      <c r="J239" s="576"/>
      <c r="K239" s="576"/>
      <c r="L239" s="576"/>
      <c r="M239" s="580"/>
      <c r="N239" s="580"/>
      <c r="O239" s="580"/>
      <c r="P239" s="580"/>
      <c r="Q239" s="580"/>
      <c r="R239" s="580"/>
      <c r="S239" s="580"/>
      <c r="T239" s="580"/>
      <c r="U239" s="580"/>
      <c r="V239" s="580"/>
      <c r="W239" s="580"/>
      <c r="X239" s="580"/>
      <c r="Y239" s="580"/>
      <c r="Z239" s="580"/>
      <c r="AA239" s="580"/>
      <c r="AB239" s="580"/>
      <c r="AC239" s="580"/>
      <c r="AD239" s="580"/>
      <c r="AE239" s="580"/>
      <c r="AF239" s="580"/>
      <c r="AG239" s="580"/>
      <c r="AH239" s="580"/>
      <c r="AI239" s="580"/>
      <c r="AJ239" s="580"/>
      <c r="AK239" s="580"/>
      <c r="AL239" s="580"/>
      <c r="AM239" s="580"/>
      <c r="AN239" s="580"/>
      <c r="AO239" s="580"/>
      <c r="AP239" s="580"/>
      <c r="AQ239" s="580"/>
      <c r="AR239" s="580"/>
      <c r="AS239" s="580"/>
      <c r="AT239" s="580"/>
      <c r="AU239" s="580"/>
      <c r="AV239" s="580"/>
      <c r="AW239" s="580"/>
      <c r="AX239" s="580"/>
      <c r="AY239" s="580"/>
      <c r="AZ239" s="580"/>
      <c r="BA239" s="580"/>
      <c r="BB239" s="580"/>
      <c r="BC239" s="580"/>
      <c r="BD239" s="580"/>
      <c r="BE239" s="580"/>
      <c r="BF239" s="580"/>
      <c r="BG239" s="580"/>
      <c r="BH239" s="580"/>
      <c r="BI239" s="580"/>
      <c r="BJ239" s="580"/>
      <c r="BK239" s="580"/>
      <c r="BL239" s="580"/>
      <c r="BM239" s="580"/>
      <c r="BN239" s="580"/>
      <c r="BO239" s="580"/>
      <c r="BP239" s="580"/>
      <c r="BQ239" s="580"/>
      <c r="BR239" s="580"/>
      <c r="BS239" s="580"/>
      <c r="BT239" s="580"/>
      <c r="BU239" s="580"/>
      <c r="BV239" s="580"/>
      <c r="BW239" s="580"/>
      <c r="BX239" s="580"/>
      <c r="BY239" s="580"/>
      <c r="BZ239" s="580"/>
      <c r="CA239" s="580"/>
      <c r="CB239" s="580"/>
      <c r="CC239" s="580"/>
      <c r="CD239" s="580"/>
      <c r="CE239" s="580"/>
      <c r="CF239" s="580"/>
      <c r="CG239" s="580"/>
      <c r="CH239" s="580"/>
      <c r="CI239" s="581"/>
      <c r="CK239" s="1363"/>
    </row>
    <row r="240" spans="1:89" s="1362" customFormat="1" x14ac:dyDescent="0.25">
      <c r="A240" s="1353"/>
      <c r="B240" s="874" t="s">
        <v>431</v>
      </c>
      <c r="C240" s="875" t="s">
        <v>432</v>
      </c>
      <c r="D240" s="871" t="s">
        <v>79</v>
      </c>
      <c r="E240" s="872" t="s">
        <v>146</v>
      </c>
      <c r="F240" s="873">
        <v>2</v>
      </c>
      <c r="G240" s="576"/>
      <c r="H240" s="576"/>
      <c r="I240" s="576"/>
      <c r="J240" s="576"/>
      <c r="K240" s="576"/>
      <c r="L240" s="576"/>
      <c r="M240" s="580"/>
      <c r="N240" s="580"/>
      <c r="O240" s="580"/>
      <c r="P240" s="580"/>
      <c r="Q240" s="580"/>
      <c r="R240" s="580"/>
      <c r="S240" s="580"/>
      <c r="T240" s="580"/>
      <c r="U240" s="580"/>
      <c r="V240" s="580"/>
      <c r="W240" s="580"/>
      <c r="X240" s="580"/>
      <c r="Y240" s="580"/>
      <c r="Z240" s="580"/>
      <c r="AA240" s="580"/>
      <c r="AB240" s="580"/>
      <c r="AC240" s="580"/>
      <c r="AD240" s="580"/>
      <c r="AE240" s="580"/>
      <c r="AF240" s="580"/>
      <c r="AG240" s="580"/>
      <c r="AH240" s="580"/>
      <c r="AI240" s="580"/>
      <c r="AJ240" s="580"/>
      <c r="AK240" s="580"/>
      <c r="AL240" s="580"/>
      <c r="AM240" s="580"/>
      <c r="AN240" s="580"/>
      <c r="AO240" s="580"/>
      <c r="AP240" s="580"/>
      <c r="AQ240" s="580"/>
      <c r="AR240" s="580"/>
      <c r="AS240" s="580"/>
      <c r="AT240" s="580"/>
      <c r="AU240" s="580"/>
      <c r="AV240" s="580"/>
      <c r="AW240" s="580"/>
      <c r="AX240" s="580"/>
      <c r="AY240" s="580"/>
      <c r="AZ240" s="580"/>
      <c r="BA240" s="580"/>
      <c r="BB240" s="580"/>
      <c r="BC240" s="580"/>
      <c r="BD240" s="580"/>
      <c r="BE240" s="580"/>
      <c r="BF240" s="580"/>
      <c r="BG240" s="580"/>
      <c r="BH240" s="580"/>
      <c r="BI240" s="580"/>
      <c r="BJ240" s="580"/>
      <c r="BK240" s="580"/>
      <c r="BL240" s="580"/>
      <c r="BM240" s="580"/>
      <c r="BN240" s="580"/>
      <c r="BO240" s="580"/>
      <c r="BP240" s="580"/>
      <c r="BQ240" s="580"/>
      <c r="BR240" s="580"/>
      <c r="BS240" s="580"/>
      <c r="BT240" s="580"/>
      <c r="BU240" s="580"/>
      <c r="BV240" s="580"/>
      <c r="BW240" s="580"/>
      <c r="BX240" s="580"/>
      <c r="BY240" s="580"/>
      <c r="BZ240" s="580"/>
      <c r="CA240" s="580"/>
      <c r="CB240" s="580"/>
      <c r="CC240" s="580"/>
      <c r="CD240" s="580"/>
      <c r="CE240" s="580"/>
      <c r="CF240" s="580"/>
      <c r="CG240" s="580"/>
      <c r="CH240" s="580"/>
      <c r="CI240" s="581"/>
      <c r="CK240" s="1363"/>
    </row>
    <row r="241" spans="1:89" s="1362" customFormat="1" x14ac:dyDescent="0.25">
      <c r="A241" s="1353"/>
      <c r="B241" s="874" t="s">
        <v>433</v>
      </c>
      <c r="C241" s="870" t="s">
        <v>434</v>
      </c>
      <c r="D241" s="871" t="s">
        <v>79</v>
      </c>
      <c r="E241" s="872" t="s">
        <v>146</v>
      </c>
      <c r="F241" s="873">
        <v>2</v>
      </c>
      <c r="G241" s="576"/>
      <c r="H241" s="576"/>
      <c r="I241" s="576"/>
      <c r="J241" s="576"/>
      <c r="K241" s="576"/>
      <c r="L241" s="576"/>
      <c r="M241" s="580"/>
      <c r="N241" s="580"/>
      <c r="O241" s="580"/>
      <c r="P241" s="580"/>
      <c r="Q241" s="580"/>
      <c r="R241" s="580"/>
      <c r="S241" s="580"/>
      <c r="T241" s="580"/>
      <c r="U241" s="580"/>
      <c r="V241" s="580"/>
      <c r="W241" s="580"/>
      <c r="X241" s="580"/>
      <c r="Y241" s="580"/>
      <c r="Z241" s="580"/>
      <c r="AA241" s="580"/>
      <c r="AB241" s="580"/>
      <c r="AC241" s="580"/>
      <c r="AD241" s="580"/>
      <c r="AE241" s="580"/>
      <c r="AF241" s="580"/>
      <c r="AG241" s="580"/>
      <c r="AH241" s="580"/>
      <c r="AI241" s="580"/>
      <c r="AJ241" s="580"/>
      <c r="AK241" s="580"/>
      <c r="AL241" s="580"/>
      <c r="AM241" s="580"/>
      <c r="AN241" s="580"/>
      <c r="AO241" s="580"/>
      <c r="AP241" s="580"/>
      <c r="AQ241" s="580"/>
      <c r="AR241" s="580"/>
      <c r="AS241" s="580"/>
      <c r="AT241" s="580"/>
      <c r="AU241" s="580"/>
      <c r="AV241" s="580"/>
      <c r="AW241" s="580"/>
      <c r="AX241" s="580"/>
      <c r="AY241" s="580"/>
      <c r="AZ241" s="580"/>
      <c r="BA241" s="580"/>
      <c r="BB241" s="580"/>
      <c r="BC241" s="580"/>
      <c r="BD241" s="580"/>
      <c r="BE241" s="580"/>
      <c r="BF241" s="580"/>
      <c r="BG241" s="580"/>
      <c r="BH241" s="580"/>
      <c r="BI241" s="580"/>
      <c r="BJ241" s="580"/>
      <c r="BK241" s="580"/>
      <c r="BL241" s="580"/>
      <c r="BM241" s="580"/>
      <c r="BN241" s="580"/>
      <c r="BO241" s="580"/>
      <c r="BP241" s="580"/>
      <c r="BQ241" s="580"/>
      <c r="BR241" s="580"/>
      <c r="BS241" s="580"/>
      <c r="BT241" s="580"/>
      <c r="BU241" s="580"/>
      <c r="BV241" s="580"/>
      <c r="BW241" s="580"/>
      <c r="BX241" s="580"/>
      <c r="BY241" s="580"/>
      <c r="BZ241" s="580"/>
      <c r="CA241" s="580"/>
      <c r="CB241" s="580"/>
      <c r="CC241" s="580"/>
      <c r="CD241" s="580"/>
      <c r="CE241" s="580"/>
      <c r="CF241" s="580"/>
      <c r="CG241" s="580"/>
      <c r="CH241" s="580"/>
      <c r="CI241" s="581"/>
      <c r="CK241" s="1363"/>
    </row>
    <row r="242" spans="1:89" s="1362" customFormat="1" x14ac:dyDescent="0.25">
      <c r="A242" s="1353"/>
      <c r="B242" s="874" t="s">
        <v>435</v>
      </c>
      <c r="C242" s="870" t="s">
        <v>153</v>
      </c>
      <c r="D242" s="871" t="s">
        <v>436</v>
      </c>
      <c r="E242" s="872" t="s">
        <v>146</v>
      </c>
      <c r="F242" s="873">
        <v>2</v>
      </c>
      <c r="G242" s="583"/>
      <c r="H242" s="583"/>
      <c r="I242" s="583">
        <f t="shared" ref="I242:BS242" si="118">SUM(I236:I241)</f>
        <v>0</v>
      </c>
      <c r="J242" s="583">
        <f t="shared" si="118"/>
        <v>0</v>
      </c>
      <c r="K242" s="583">
        <f t="shared" si="118"/>
        <v>0</v>
      </c>
      <c r="L242" s="583">
        <f t="shared" si="118"/>
        <v>0</v>
      </c>
      <c r="M242" s="588">
        <f t="shared" si="118"/>
        <v>0</v>
      </c>
      <c r="N242" s="588">
        <f t="shared" si="118"/>
        <v>0</v>
      </c>
      <c r="O242" s="588">
        <f t="shared" si="118"/>
        <v>0</v>
      </c>
      <c r="P242" s="588">
        <f t="shared" si="118"/>
        <v>0</v>
      </c>
      <c r="Q242" s="588">
        <f t="shared" si="118"/>
        <v>0</v>
      </c>
      <c r="R242" s="588">
        <f t="shared" si="118"/>
        <v>0</v>
      </c>
      <c r="S242" s="588">
        <f t="shared" si="118"/>
        <v>0</v>
      </c>
      <c r="T242" s="588">
        <f t="shared" si="118"/>
        <v>0</v>
      </c>
      <c r="U242" s="588">
        <f t="shared" si="118"/>
        <v>0</v>
      </c>
      <c r="V242" s="588">
        <f t="shared" si="118"/>
        <v>0</v>
      </c>
      <c r="W242" s="588">
        <f t="shared" si="118"/>
        <v>0</v>
      </c>
      <c r="X242" s="588">
        <f t="shared" si="118"/>
        <v>0</v>
      </c>
      <c r="Y242" s="588">
        <f t="shared" si="118"/>
        <v>0</v>
      </c>
      <c r="Z242" s="588">
        <f t="shared" si="118"/>
        <v>0</v>
      </c>
      <c r="AA242" s="588">
        <f t="shared" si="118"/>
        <v>0</v>
      </c>
      <c r="AB242" s="588">
        <f t="shared" si="118"/>
        <v>0</v>
      </c>
      <c r="AC242" s="588">
        <f t="shared" si="118"/>
        <v>0</v>
      </c>
      <c r="AD242" s="588">
        <f t="shared" si="118"/>
        <v>0</v>
      </c>
      <c r="AE242" s="588">
        <f t="shared" si="118"/>
        <v>0</v>
      </c>
      <c r="AF242" s="588">
        <f t="shared" si="118"/>
        <v>0</v>
      </c>
      <c r="AG242" s="588">
        <f t="shared" si="118"/>
        <v>0</v>
      </c>
      <c r="AH242" s="588">
        <f t="shared" si="118"/>
        <v>0</v>
      </c>
      <c r="AI242" s="588">
        <f t="shared" si="118"/>
        <v>0</v>
      </c>
      <c r="AJ242" s="588">
        <f t="shared" si="118"/>
        <v>0</v>
      </c>
      <c r="AK242" s="588">
        <f t="shared" si="118"/>
        <v>0</v>
      </c>
      <c r="AL242" s="588">
        <f t="shared" si="118"/>
        <v>0</v>
      </c>
      <c r="AM242" s="588">
        <f t="shared" si="118"/>
        <v>0</v>
      </c>
      <c r="AN242" s="588">
        <f t="shared" si="118"/>
        <v>0</v>
      </c>
      <c r="AO242" s="588">
        <f t="shared" si="118"/>
        <v>0</v>
      </c>
      <c r="AP242" s="588">
        <f t="shared" si="118"/>
        <v>0</v>
      </c>
      <c r="AQ242" s="588">
        <f t="shared" si="118"/>
        <v>0</v>
      </c>
      <c r="AR242" s="588">
        <f t="shared" si="118"/>
        <v>0</v>
      </c>
      <c r="AS242" s="588">
        <f t="shared" si="118"/>
        <v>0</v>
      </c>
      <c r="AT242" s="588">
        <f t="shared" si="118"/>
        <v>0</v>
      </c>
      <c r="AU242" s="588">
        <f t="shared" si="118"/>
        <v>0</v>
      </c>
      <c r="AV242" s="588">
        <f t="shared" si="118"/>
        <v>0</v>
      </c>
      <c r="AW242" s="588">
        <f t="shared" si="118"/>
        <v>0</v>
      </c>
      <c r="AX242" s="588">
        <f t="shared" si="118"/>
        <v>0</v>
      </c>
      <c r="AY242" s="588">
        <f t="shared" si="118"/>
        <v>0</v>
      </c>
      <c r="AZ242" s="588">
        <f t="shared" si="118"/>
        <v>0</v>
      </c>
      <c r="BA242" s="588">
        <f t="shared" si="118"/>
        <v>0</v>
      </c>
      <c r="BB242" s="588">
        <f t="shared" si="118"/>
        <v>0</v>
      </c>
      <c r="BC242" s="588">
        <f t="shared" si="118"/>
        <v>0</v>
      </c>
      <c r="BD242" s="588">
        <f t="shared" si="118"/>
        <v>0</v>
      </c>
      <c r="BE242" s="588">
        <f t="shared" si="118"/>
        <v>0</v>
      </c>
      <c r="BF242" s="588">
        <f t="shared" si="118"/>
        <v>0</v>
      </c>
      <c r="BG242" s="588">
        <f t="shared" si="118"/>
        <v>0</v>
      </c>
      <c r="BH242" s="588">
        <f t="shared" si="118"/>
        <v>0</v>
      </c>
      <c r="BI242" s="588">
        <f t="shared" si="118"/>
        <v>0</v>
      </c>
      <c r="BJ242" s="588">
        <f t="shared" si="118"/>
        <v>0</v>
      </c>
      <c r="BK242" s="588">
        <f t="shared" si="118"/>
        <v>0</v>
      </c>
      <c r="BL242" s="588">
        <f t="shared" si="118"/>
        <v>0</v>
      </c>
      <c r="BM242" s="588">
        <f t="shared" si="118"/>
        <v>0</v>
      </c>
      <c r="BN242" s="588">
        <f t="shared" si="118"/>
        <v>0</v>
      </c>
      <c r="BO242" s="588">
        <f t="shared" si="118"/>
        <v>0</v>
      </c>
      <c r="BP242" s="588">
        <f t="shared" si="118"/>
        <v>0</v>
      </c>
      <c r="BQ242" s="588">
        <f t="shared" si="118"/>
        <v>0</v>
      </c>
      <c r="BR242" s="588">
        <f t="shared" si="118"/>
        <v>0</v>
      </c>
      <c r="BS242" s="588">
        <f t="shared" si="118"/>
        <v>0</v>
      </c>
      <c r="BT242" s="588">
        <f t="shared" ref="BT242:CI242" si="119">SUM(BT236:BT241)</f>
        <v>0</v>
      </c>
      <c r="BU242" s="588">
        <f t="shared" si="119"/>
        <v>0</v>
      </c>
      <c r="BV242" s="588">
        <f t="shared" si="119"/>
        <v>0</v>
      </c>
      <c r="BW242" s="588">
        <f t="shared" si="119"/>
        <v>0</v>
      </c>
      <c r="BX242" s="588">
        <f t="shared" si="119"/>
        <v>0</v>
      </c>
      <c r="BY242" s="588">
        <f t="shared" si="119"/>
        <v>0</v>
      </c>
      <c r="BZ242" s="588">
        <f t="shared" si="119"/>
        <v>0</v>
      </c>
      <c r="CA242" s="588">
        <f t="shared" si="119"/>
        <v>0</v>
      </c>
      <c r="CB242" s="588">
        <f t="shared" si="119"/>
        <v>0</v>
      </c>
      <c r="CC242" s="588">
        <f t="shared" si="119"/>
        <v>0</v>
      </c>
      <c r="CD242" s="588">
        <f t="shared" si="119"/>
        <v>0</v>
      </c>
      <c r="CE242" s="588">
        <f t="shared" si="119"/>
        <v>0</v>
      </c>
      <c r="CF242" s="588">
        <f t="shared" si="119"/>
        <v>0</v>
      </c>
      <c r="CG242" s="588">
        <f t="shared" si="119"/>
        <v>0</v>
      </c>
      <c r="CH242" s="588">
        <f t="shared" si="119"/>
        <v>0</v>
      </c>
      <c r="CI242" s="584">
        <f t="shared" si="119"/>
        <v>0</v>
      </c>
      <c r="CK242" s="1363"/>
    </row>
    <row r="243" spans="1:89" s="1362" customFormat="1" ht="14.4" thickBot="1" x14ac:dyDescent="0.3">
      <c r="A243" s="1353"/>
      <c r="B243" s="901" t="s">
        <v>437</v>
      </c>
      <c r="C243" s="902" t="s">
        <v>438</v>
      </c>
      <c r="D243" s="903" t="s">
        <v>439</v>
      </c>
      <c r="E243" s="904" t="s">
        <v>440</v>
      </c>
      <c r="F243" s="882">
        <v>2</v>
      </c>
      <c r="G243" s="595"/>
      <c r="H243" s="595"/>
      <c r="I243" s="595" t="e">
        <f t="shared" ref="I243:BS243" si="120">(I242*1000000)/(I257*1000)</f>
        <v>#DIV/0!</v>
      </c>
      <c r="J243" s="595" t="e">
        <f t="shared" si="120"/>
        <v>#DIV/0!</v>
      </c>
      <c r="K243" s="595" t="e">
        <f t="shared" si="120"/>
        <v>#DIV/0!</v>
      </c>
      <c r="L243" s="595" t="e">
        <f t="shared" si="120"/>
        <v>#DIV/0!</v>
      </c>
      <c r="M243" s="627" t="e">
        <f t="shared" si="120"/>
        <v>#DIV/0!</v>
      </c>
      <c r="N243" s="627" t="e">
        <f t="shared" si="120"/>
        <v>#DIV/0!</v>
      </c>
      <c r="O243" s="627" t="e">
        <f t="shared" si="120"/>
        <v>#DIV/0!</v>
      </c>
      <c r="P243" s="627" t="e">
        <f t="shared" si="120"/>
        <v>#DIV/0!</v>
      </c>
      <c r="Q243" s="627" t="e">
        <f t="shared" si="120"/>
        <v>#DIV/0!</v>
      </c>
      <c r="R243" s="627" t="e">
        <f t="shared" si="120"/>
        <v>#DIV/0!</v>
      </c>
      <c r="S243" s="627" t="e">
        <f t="shared" si="120"/>
        <v>#DIV/0!</v>
      </c>
      <c r="T243" s="627" t="e">
        <f t="shared" si="120"/>
        <v>#DIV/0!</v>
      </c>
      <c r="U243" s="627" t="e">
        <f t="shared" si="120"/>
        <v>#DIV/0!</v>
      </c>
      <c r="V243" s="627" t="e">
        <f t="shared" si="120"/>
        <v>#DIV/0!</v>
      </c>
      <c r="W243" s="627" t="e">
        <f t="shared" si="120"/>
        <v>#DIV/0!</v>
      </c>
      <c r="X243" s="627" t="e">
        <f t="shared" si="120"/>
        <v>#DIV/0!</v>
      </c>
      <c r="Y243" s="627" t="e">
        <f t="shared" si="120"/>
        <v>#DIV/0!</v>
      </c>
      <c r="Z243" s="627" t="e">
        <f t="shared" si="120"/>
        <v>#DIV/0!</v>
      </c>
      <c r="AA243" s="627" t="e">
        <f t="shared" si="120"/>
        <v>#DIV/0!</v>
      </c>
      <c r="AB243" s="627" t="e">
        <f t="shared" si="120"/>
        <v>#DIV/0!</v>
      </c>
      <c r="AC243" s="627" t="e">
        <f t="shared" si="120"/>
        <v>#DIV/0!</v>
      </c>
      <c r="AD243" s="627" t="e">
        <f t="shared" si="120"/>
        <v>#DIV/0!</v>
      </c>
      <c r="AE243" s="627" t="e">
        <f t="shared" si="120"/>
        <v>#DIV/0!</v>
      </c>
      <c r="AF243" s="627" t="e">
        <f t="shared" si="120"/>
        <v>#DIV/0!</v>
      </c>
      <c r="AG243" s="627" t="e">
        <f t="shared" si="120"/>
        <v>#DIV/0!</v>
      </c>
      <c r="AH243" s="627" t="e">
        <f t="shared" si="120"/>
        <v>#DIV/0!</v>
      </c>
      <c r="AI243" s="627" t="e">
        <f t="shared" si="120"/>
        <v>#DIV/0!</v>
      </c>
      <c r="AJ243" s="627" t="e">
        <f t="shared" si="120"/>
        <v>#DIV/0!</v>
      </c>
      <c r="AK243" s="627" t="e">
        <f t="shared" si="120"/>
        <v>#DIV/0!</v>
      </c>
      <c r="AL243" s="627" t="e">
        <f t="shared" si="120"/>
        <v>#DIV/0!</v>
      </c>
      <c r="AM243" s="627" t="e">
        <f t="shared" si="120"/>
        <v>#DIV/0!</v>
      </c>
      <c r="AN243" s="627" t="e">
        <f t="shared" si="120"/>
        <v>#DIV/0!</v>
      </c>
      <c r="AO243" s="627" t="e">
        <f t="shared" si="120"/>
        <v>#DIV/0!</v>
      </c>
      <c r="AP243" s="627" t="e">
        <f t="shared" si="120"/>
        <v>#DIV/0!</v>
      </c>
      <c r="AQ243" s="627" t="e">
        <f t="shared" si="120"/>
        <v>#DIV/0!</v>
      </c>
      <c r="AR243" s="627" t="e">
        <f t="shared" si="120"/>
        <v>#DIV/0!</v>
      </c>
      <c r="AS243" s="627" t="e">
        <f t="shared" si="120"/>
        <v>#DIV/0!</v>
      </c>
      <c r="AT243" s="627" t="e">
        <f t="shared" si="120"/>
        <v>#DIV/0!</v>
      </c>
      <c r="AU243" s="627" t="e">
        <f t="shared" si="120"/>
        <v>#DIV/0!</v>
      </c>
      <c r="AV243" s="627" t="e">
        <f t="shared" si="120"/>
        <v>#DIV/0!</v>
      </c>
      <c r="AW243" s="627" t="e">
        <f t="shared" si="120"/>
        <v>#DIV/0!</v>
      </c>
      <c r="AX243" s="627" t="e">
        <f t="shared" si="120"/>
        <v>#DIV/0!</v>
      </c>
      <c r="AY243" s="627" t="e">
        <f t="shared" si="120"/>
        <v>#DIV/0!</v>
      </c>
      <c r="AZ243" s="627" t="e">
        <f t="shared" si="120"/>
        <v>#DIV/0!</v>
      </c>
      <c r="BA243" s="627" t="e">
        <f t="shared" si="120"/>
        <v>#DIV/0!</v>
      </c>
      <c r="BB243" s="627" t="e">
        <f t="shared" si="120"/>
        <v>#DIV/0!</v>
      </c>
      <c r="BC243" s="627" t="e">
        <f t="shared" si="120"/>
        <v>#DIV/0!</v>
      </c>
      <c r="BD243" s="627" t="e">
        <f t="shared" si="120"/>
        <v>#DIV/0!</v>
      </c>
      <c r="BE243" s="627" t="e">
        <f t="shared" si="120"/>
        <v>#DIV/0!</v>
      </c>
      <c r="BF243" s="627" t="e">
        <f t="shared" si="120"/>
        <v>#DIV/0!</v>
      </c>
      <c r="BG243" s="627" t="e">
        <f t="shared" si="120"/>
        <v>#DIV/0!</v>
      </c>
      <c r="BH243" s="627" t="e">
        <f t="shared" si="120"/>
        <v>#DIV/0!</v>
      </c>
      <c r="BI243" s="627" t="e">
        <f t="shared" si="120"/>
        <v>#DIV/0!</v>
      </c>
      <c r="BJ243" s="627" t="e">
        <f t="shared" si="120"/>
        <v>#DIV/0!</v>
      </c>
      <c r="BK243" s="627" t="e">
        <f t="shared" si="120"/>
        <v>#DIV/0!</v>
      </c>
      <c r="BL243" s="627" t="e">
        <f t="shared" si="120"/>
        <v>#DIV/0!</v>
      </c>
      <c r="BM243" s="627" t="e">
        <f t="shared" si="120"/>
        <v>#DIV/0!</v>
      </c>
      <c r="BN243" s="627" t="e">
        <f t="shared" si="120"/>
        <v>#DIV/0!</v>
      </c>
      <c r="BO243" s="627" t="e">
        <f t="shared" si="120"/>
        <v>#DIV/0!</v>
      </c>
      <c r="BP243" s="627" t="e">
        <f t="shared" si="120"/>
        <v>#DIV/0!</v>
      </c>
      <c r="BQ243" s="627" t="e">
        <f t="shared" si="120"/>
        <v>#DIV/0!</v>
      </c>
      <c r="BR243" s="627" t="e">
        <f t="shared" si="120"/>
        <v>#DIV/0!</v>
      </c>
      <c r="BS243" s="627" t="e">
        <f t="shared" si="120"/>
        <v>#DIV/0!</v>
      </c>
      <c r="BT243" s="627" t="e">
        <f t="shared" ref="BT243:CI243" si="121">(BT242*1000000)/(BT257*1000)</f>
        <v>#DIV/0!</v>
      </c>
      <c r="BU243" s="627" t="e">
        <f t="shared" si="121"/>
        <v>#DIV/0!</v>
      </c>
      <c r="BV243" s="627" t="e">
        <f t="shared" si="121"/>
        <v>#DIV/0!</v>
      </c>
      <c r="BW243" s="627" t="e">
        <f t="shared" si="121"/>
        <v>#DIV/0!</v>
      </c>
      <c r="BX243" s="627" t="e">
        <f t="shared" si="121"/>
        <v>#DIV/0!</v>
      </c>
      <c r="BY243" s="627" t="e">
        <f t="shared" si="121"/>
        <v>#DIV/0!</v>
      </c>
      <c r="BZ243" s="627" t="e">
        <f t="shared" si="121"/>
        <v>#DIV/0!</v>
      </c>
      <c r="CA243" s="627" t="e">
        <f t="shared" si="121"/>
        <v>#DIV/0!</v>
      </c>
      <c r="CB243" s="627" t="e">
        <f t="shared" si="121"/>
        <v>#DIV/0!</v>
      </c>
      <c r="CC243" s="627" t="e">
        <f t="shared" si="121"/>
        <v>#DIV/0!</v>
      </c>
      <c r="CD243" s="627" t="e">
        <f t="shared" si="121"/>
        <v>#DIV/0!</v>
      </c>
      <c r="CE243" s="627" t="e">
        <f t="shared" si="121"/>
        <v>#DIV/0!</v>
      </c>
      <c r="CF243" s="627" t="e">
        <f t="shared" si="121"/>
        <v>#DIV/0!</v>
      </c>
      <c r="CG243" s="627" t="e">
        <f t="shared" si="121"/>
        <v>#DIV/0!</v>
      </c>
      <c r="CH243" s="627" t="e">
        <f t="shared" si="121"/>
        <v>#DIV/0!</v>
      </c>
      <c r="CI243" s="596" t="e">
        <f t="shared" si="121"/>
        <v>#DIV/0!</v>
      </c>
      <c r="CK243" s="1363"/>
    </row>
    <row r="244" spans="1:89" s="1362" customFormat="1" x14ac:dyDescent="0.25">
      <c r="A244" s="1353"/>
      <c r="B244" s="883" t="s">
        <v>441</v>
      </c>
      <c r="C244" s="884" t="s">
        <v>442</v>
      </c>
      <c r="D244" s="905" t="s">
        <v>79</v>
      </c>
      <c r="E244" s="906" t="s">
        <v>254</v>
      </c>
      <c r="F244" s="907">
        <v>2</v>
      </c>
      <c r="G244" s="631"/>
      <c r="H244" s="631"/>
      <c r="I244" s="631"/>
      <c r="J244" s="631"/>
      <c r="K244" s="631"/>
      <c r="L244" s="631"/>
      <c r="M244" s="632"/>
      <c r="N244" s="632"/>
      <c r="O244" s="632"/>
      <c r="P244" s="632"/>
      <c r="Q244" s="632"/>
      <c r="R244" s="632"/>
      <c r="S244" s="632"/>
      <c r="T244" s="632"/>
      <c r="U244" s="632"/>
      <c r="V244" s="632"/>
      <c r="W244" s="632"/>
      <c r="X244" s="632"/>
      <c r="Y244" s="632"/>
      <c r="Z244" s="632"/>
      <c r="AA244" s="632"/>
      <c r="AB244" s="632"/>
      <c r="AC244" s="632"/>
      <c r="AD244" s="632"/>
      <c r="AE244" s="632"/>
      <c r="AF244" s="632"/>
      <c r="AG244" s="632"/>
      <c r="AH244" s="632"/>
      <c r="AI244" s="632"/>
      <c r="AJ244" s="632"/>
      <c r="AK244" s="632"/>
      <c r="AL244" s="632"/>
      <c r="AM244" s="632"/>
      <c r="AN244" s="632"/>
      <c r="AO244" s="632"/>
      <c r="AP244" s="632"/>
      <c r="AQ244" s="632"/>
      <c r="AR244" s="632"/>
      <c r="AS244" s="632"/>
      <c r="AT244" s="632"/>
      <c r="AU244" s="632"/>
      <c r="AV244" s="632"/>
      <c r="AW244" s="632"/>
      <c r="AX244" s="632"/>
      <c r="AY244" s="632"/>
      <c r="AZ244" s="632"/>
      <c r="BA244" s="632"/>
      <c r="BB244" s="632"/>
      <c r="BC244" s="632"/>
      <c r="BD244" s="632"/>
      <c r="BE244" s="632"/>
      <c r="BF244" s="632"/>
      <c r="BG244" s="632"/>
      <c r="BH244" s="632"/>
      <c r="BI244" s="632"/>
      <c r="BJ244" s="632"/>
      <c r="BK244" s="632"/>
      <c r="BL244" s="632"/>
      <c r="BM244" s="632"/>
      <c r="BN244" s="632"/>
      <c r="BO244" s="632"/>
      <c r="BP244" s="632"/>
      <c r="BQ244" s="632"/>
      <c r="BR244" s="632"/>
      <c r="BS244" s="632"/>
      <c r="BT244" s="632"/>
      <c r="BU244" s="632"/>
      <c r="BV244" s="632"/>
      <c r="BW244" s="632"/>
      <c r="BX244" s="632"/>
      <c r="BY244" s="632"/>
      <c r="BZ244" s="632"/>
      <c r="CA244" s="632"/>
      <c r="CB244" s="632"/>
      <c r="CC244" s="632"/>
      <c r="CD244" s="632"/>
      <c r="CE244" s="632"/>
      <c r="CF244" s="632"/>
      <c r="CG244" s="632"/>
      <c r="CH244" s="632"/>
      <c r="CI244" s="633"/>
      <c r="CK244" s="1363"/>
    </row>
    <row r="245" spans="1:89" s="1362" customFormat="1" x14ac:dyDescent="0.25">
      <c r="A245" s="1353"/>
      <c r="B245" s="887" t="s">
        <v>443</v>
      </c>
      <c r="C245" s="888" t="s">
        <v>444</v>
      </c>
      <c r="D245" s="908" t="s">
        <v>79</v>
      </c>
      <c r="E245" s="894" t="s">
        <v>254</v>
      </c>
      <c r="F245" s="895">
        <v>2</v>
      </c>
      <c r="G245" s="635"/>
      <c r="H245" s="635"/>
      <c r="I245" s="635"/>
      <c r="J245" s="635"/>
      <c r="K245" s="635"/>
      <c r="L245" s="635"/>
      <c r="M245" s="636"/>
      <c r="N245" s="636"/>
      <c r="O245" s="636"/>
      <c r="P245" s="636"/>
      <c r="Q245" s="636"/>
      <c r="R245" s="636"/>
      <c r="S245" s="636"/>
      <c r="T245" s="636"/>
      <c r="U245" s="636"/>
      <c r="V245" s="636"/>
      <c r="W245" s="636"/>
      <c r="X245" s="636"/>
      <c r="Y245" s="636"/>
      <c r="Z245" s="636"/>
      <c r="AA245" s="636"/>
      <c r="AB245" s="636"/>
      <c r="AC245" s="636"/>
      <c r="AD245" s="636"/>
      <c r="AE245" s="636"/>
      <c r="AF245" s="636"/>
      <c r="AG245" s="636"/>
      <c r="AH245" s="636"/>
      <c r="AI245" s="636"/>
      <c r="AJ245" s="636"/>
      <c r="AK245" s="636"/>
      <c r="AL245" s="636"/>
      <c r="AM245" s="636"/>
      <c r="AN245" s="636"/>
      <c r="AO245" s="636"/>
      <c r="AP245" s="636"/>
      <c r="AQ245" s="636"/>
      <c r="AR245" s="636"/>
      <c r="AS245" s="636"/>
      <c r="AT245" s="636"/>
      <c r="AU245" s="636"/>
      <c r="AV245" s="636"/>
      <c r="AW245" s="636"/>
      <c r="AX245" s="636"/>
      <c r="AY245" s="636"/>
      <c r="AZ245" s="636"/>
      <c r="BA245" s="636"/>
      <c r="BB245" s="636"/>
      <c r="BC245" s="636"/>
      <c r="BD245" s="636"/>
      <c r="BE245" s="636"/>
      <c r="BF245" s="636"/>
      <c r="BG245" s="636"/>
      <c r="BH245" s="636"/>
      <c r="BI245" s="636"/>
      <c r="BJ245" s="636"/>
      <c r="BK245" s="636"/>
      <c r="BL245" s="636"/>
      <c r="BM245" s="636"/>
      <c r="BN245" s="636"/>
      <c r="BO245" s="636"/>
      <c r="BP245" s="636"/>
      <c r="BQ245" s="636"/>
      <c r="BR245" s="636"/>
      <c r="BS245" s="636"/>
      <c r="BT245" s="636"/>
      <c r="BU245" s="636"/>
      <c r="BV245" s="636"/>
      <c r="BW245" s="636"/>
      <c r="BX245" s="636"/>
      <c r="BY245" s="636"/>
      <c r="BZ245" s="636"/>
      <c r="CA245" s="636"/>
      <c r="CB245" s="636"/>
      <c r="CC245" s="636"/>
      <c r="CD245" s="636"/>
      <c r="CE245" s="636"/>
      <c r="CF245" s="636"/>
      <c r="CG245" s="636"/>
      <c r="CH245" s="636"/>
      <c r="CI245" s="637"/>
      <c r="CK245" s="1363"/>
    </row>
    <row r="246" spans="1:89" s="1362" customFormat="1" x14ac:dyDescent="0.25">
      <c r="A246" s="1353"/>
      <c r="B246" s="909" t="s">
        <v>445</v>
      </c>
      <c r="C246" s="910" t="s">
        <v>446</v>
      </c>
      <c r="D246" s="908" t="s">
        <v>79</v>
      </c>
      <c r="E246" s="894" t="s">
        <v>254</v>
      </c>
      <c r="F246" s="895">
        <v>2</v>
      </c>
      <c r="G246" s="635"/>
      <c r="H246" s="635"/>
      <c r="I246" s="635"/>
      <c r="J246" s="635"/>
      <c r="K246" s="635"/>
      <c r="L246" s="635"/>
      <c r="M246" s="636"/>
      <c r="N246" s="636"/>
      <c r="O246" s="636"/>
      <c r="P246" s="636"/>
      <c r="Q246" s="636"/>
      <c r="R246" s="636"/>
      <c r="S246" s="636"/>
      <c r="T246" s="636"/>
      <c r="U246" s="636"/>
      <c r="V246" s="636"/>
      <c r="W246" s="636"/>
      <c r="X246" s="636"/>
      <c r="Y246" s="636"/>
      <c r="Z246" s="636"/>
      <c r="AA246" s="636"/>
      <c r="AB246" s="636"/>
      <c r="AC246" s="636"/>
      <c r="AD246" s="636"/>
      <c r="AE246" s="636"/>
      <c r="AF246" s="636"/>
      <c r="AG246" s="636"/>
      <c r="AH246" s="636"/>
      <c r="AI246" s="636"/>
      <c r="AJ246" s="636"/>
      <c r="AK246" s="636"/>
      <c r="AL246" s="636"/>
      <c r="AM246" s="636"/>
      <c r="AN246" s="636"/>
      <c r="AO246" s="636"/>
      <c r="AP246" s="636"/>
      <c r="AQ246" s="636"/>
      <c r="AR246" s="636"/>
      <c r="AS246" s="636"/>
      <c r="AT246" s="636"/>
      <c r="AU246" s="636"/>
      <c r="AV246" s="636"/>
      <c r="AW246" s="636"/>
      <c r="AX246" s="636"/>
      <c r="AY246" s="636"/>
      <c r="AZ246" s="636"/>
      <c r="BA246" s="636"/>
      <c r="BB246" s="636"/>
      <c r="BC246" s="636"/>
      <c r="BD246" s="636"/>
      <c r="BE246" s="636"/>
      <c r="BF246" s="636"/>
      <c r="BG246" s="636"/>
      <c r="BH246" s="636"/>
      <c r="BI246" s="636"/>
      <c r="BJ246" s="636"/>
      <c r="BK246" s="636"/>
      <c r="BL246" s="636"/>
      <c r="BM246" s="636"/>
      <c r="BN246" s="636"/>
      <c r="BO246" s="636"/>
      <c r="BP246" s="636"/>
      <c r="BQ246" s="636"/>
      <c r="BR246" s="636"/>
      <c r="BS246" s="636"/>
      <c r="BT246" s="636"/>
      <c r="BU246" s="636"/>
      <c r="BV246" s="636"/>
      <c r="BW246" s="636"/>
      <c r="BX246" s="636"/>
      <c r="BY246" s="636"/>
      <c r="BZ246" s="636"/>
      <c r="CA246" s="636"/>
      <c r="CB246" s="636"/>
      <c r="CC246" s="636"/>
      <c r="CD246" s="636"/>
      <c r="CE246" s="636"/>
      <c r="CF246" s="636"/>
      <c r="CG246" s="636"/>
      <c r="CH246" s="636"/>
      <c r="CI246" s="637"/>
      <c r="CK246" s="1363"/>
    </row>
    <row r="247" spans="1:89" s="1362" customFormat="1" x14ac:dyDescent="0.25">
      <c r="A247" s="1353"/>
      <c r="B247" s="909" t="s">
        <v>447</v>
      </c>
      <c r="C247" s="910" t="s">
        <v>448</v>
      </c>
      <c r="D247" s="640" t="s">
        <v>449</v>
      </c>
      <c r="E247" s="641" t="s">
        <v>254</v>
      </c>
      <c r="F247" s="642">
        <v>2</v>
      </c>
      <c r="G247" s="635"/>
      <c r="H247" s="635"/>
      <c r="I247" s="635">
        <f>H247+SUM(I248:I253)</f>
        <v>0</v>
      </c>
      <c r="J247" s="635">
        <f t="shared" ref="J247:BU247" si="122">I247+SUM(J248:J253)</f>
        <v>0</v>
      </c>
      <c r="K247" s="635">
        <f t="shared" si="122"/>
        <v>0</v>
      </c>
      <c r="L247" s="635">
        <f t="shared" si="122"/>
        <v>0</v>
      </c>
      <c r="M247" s="588">
        <f t="shared" si="122"/>
        <v>0</v>
      </c>
      <c r="N247" s="588">
        <f t="shared" si="122"/>
        <v>0</v>
      </c>
      <c r="O247" s="588">
        <f t="shared" si="122"/>
        <v>0</v>
      </c>
      <c r="P247" s="588">
        <f t="shared" si="122"/>
        <v>0</v>
      </c>
      <c r="Q247" s="588">
        <f t="shared" si="122"/>
        <v>0</v>
      </c>
      <c r="R247" s="588">
        <f t="shared" si="122"/>
        <v>0</v>
      </c>
      <c r="S247" s="588">
        <f t="shared" si="122"/>
        <v>0</v>
      </c>
      <c r="T247" s="588">
        <f t="shared" si="122"/>
        <v>0</v>
      </c>
      <c r="U247" s="588">
        <f t="shared" si="122"/>
        <v>0</v>
      </c>
      <c r="V247" s="588">
        <f t="shared" si="122"/>
        <v>0</v>
      </c>
      <c r="W247" s="588">
        <f t="shared" si="122"/>
        <v>0</v>
      </c>
      <c r="X247" s="588">
        <f t="shared" si="122"/>
        <v>0</v>
      </c>
      <c r="Y247" s="588">
        <f t="shared" si="122"/>
        <v>0</v>
      </c>
      <c r="Z247" s="588">
        <f t="shared" si="122"/>
        <v>0</v>
      </c>
      <c r="AA247" s="588">
        <f t="shared" si="122"/>
        <v>0</v>
      </c>
      <c r="AB247" s="588">
        <f t="shared" si="122"/>
        <v>0</v>
      </c>
      <c r="AC247" s="588">
        <f t="shared" si="122"/>
        <v>0</v>
      </c>
      <c r="AD247" s="588">
        <f t="shared" si="122"/>
        <v>0</v>
      </c>
      <c r="AE247" s="588">
        <f t="shared" si="122"/>
        <v>0</v>
      </c>
      <c r="AF247" s="588">
        <f t="shared" si="122"/>
        <v>0</v>
      </c>
      <c r="AG247" s="588">
        <f t="shared" si="122"/>
        <v>0</v>
      </c>
      <c r="AH247" s="588">
        <f t="shared" si="122"/>
        <v>0</v>
      </c>
      <c r="AI247" s="588">
        <f t="shared" si="122"/>
        <v>0</v>
      </c>
      <c r="AJ247" s="588">
        <f t="shared" si="122"/>
        <v>0</v>
      </c>
      <c r="AK247" s="588">
        <f t="shared" si="122"/>
        <v>0</v>
      </c>
      <c r="AL247" s="588">
        <f t="shared" si="122"/>
        <v>0</v>
      </c>
      <c r="AM247" s="588">
        <f t="shared" si="122"/>
        <v>0</v>
      </c>
      <c r="AN247" s="588">
        <f t="shared" si="122"/>
        <v>0</v>
      </c>
      <c r="AO247" s="588">
        <f t="shared" si="122"/>
        <v>0</v>
      </c>
      <c r="AP247" s="588">
        <f t="shared" si="122"/>
        <v>0</v>
      </c>
      <c r="AQ247" s="588">
        <f t="shared" si="122"/>
        <v>0</v>
      </c>
      <c r="AR247" s="588">
        <f t="shared" si="122"/>
        <v>0</v>
      </c>
      <c r="AS247" s="588">
        <f t="shared" si="122"/>
        <v>0</v>
      </c>
      <c r="AT247" s="588">
        <f t="shared" si="122"/>
        <v>0</v>
      </c>
      <c r="AU247" s="588">
        <f t="shared" si="122"/>
        <v>0</v>
      </c>
      <c r="AV247" s="588">
        <f t="shared" si="122"/>
        <v>0</v>
      </c>
      <c r="AW247" s="588">
        <f t="shared" si="122"/>
        <v>0</v>
      </c>
      <c r="AX247" s="588">
        <f t="shared" si="122"/>
        <v>0</v>
      </c>
      <c r="AY247" s="588">
        <f t="shared" si="122"/>
        <v>0</v>
      </c>
      <c r="AZ247" s="588">
        <f t="shared" si="122"/>
        <v>0</v>
      </c>
      <c r="BA247" s="588">
        <f t="shared" si="122"/>
        <v>0</v>
      </c>
      <c r="BB247" s="588">
        <f t="shared" si="122"/>
        <v>0</v>
      </c>
      <c r="BC247" s="588">
        <f t="shared" si="122"/>
        <v>0</v>
      </c>
      <c r="BD247" s="588">
        <f t="shared" si="122"/>
        <v>0</v>
      </c>
      <c r="BE247" s="588">
        <f t="shared" si="122"/>
        <v>0</v>
      </c>
      <c r="BF247" s="588">
        <f t="shared" si="122"/>
        <v>0</v>
      </c>
      <c r="BG247" s="588">
        <f t="shared" si="122"/>
        <v>0</v>
      </c>
      <c r="BH247" s="588">
        <f t="shared" si="122"/>
        <v>0</v>
      </c>
      <c r="BI247" s="588">
        <f t="shared" si="122"/>
        <v>0</v>
      </c>
      <c r="BJ247" s="588">
        <f t="shared" si="122"/>
        <v>0</v>
      </c>
      <c r="BK247" s="588">
        <f t="shared" si="122"/>
        <v>0</v>
      </c>
      <c r="BL247" s="588">
        <f t="shared" si="122"/>
        <v>0</v>
      </c>
      <c r="BM247" s="588">
        <f t="shared" si="122"/>
        <v>0</v>
      </c>
      <c r="BN247" s="588">
        <f t="shared" si="122"/>
        <v>0</v>
      </c>
      <c r="BO247" s="588">
        <f t="shared" si="122"/>
        <v>0</v>
      </c>
      <c r="BP247" s="588">
        <f t="shared" si="122"/>
        <v>0</v>
      </c>
      <c r="BQ247" s="588">
        <f t="shared" si="122"/>
        <v>0</v>
      </c>
      <c r="BR247" s="588">
        <f t="shared" si="122"/>
        <v>0</v>
      </c>
      <c r="BS247" s="588">
        <f t="shared" si="122"/>
        <v>0</v>
      </c>
      <c r="BT247" s="588">
        <f t="shared" si="122"/>
        <v>0</v>
      </c>
      <c r="BU247" s="588">
        <f t="shared" si="122"/>
        <v>0</v>
      </c>
      <c r="BV247" s="588">
        <f t="shared" ref="BV247:CI247" si="123">BU247+SUM(BV248:BV253)</f>
        <v>0</v>
      </c>
      <c r="BW247" s="588">
        <f t="shared" si="123"/>
        <v>0</v>
      </c>
      <c r="BX247" s="588">
        <f t="shared" si="123"/>
        <v>0</v>
      </c>
      <c r="BY247" s="588">
        <f t="shared" si="123"/>
        <v>0</v>
      </c>
      <c r="BZ247" s="588">
        <f t="shared" si="123"/>
        <v>0</v>
      </c>
      <c r="CA247" s="588">
        <f t="shared" si="123"/>
        <v>0</v>
      </c>
      <c r="CB247" s="588">
        <f t="shared" si="123"/>
        <v>0</v>
      </c>
      <c r="CC247" s="588">
        <f t="shared" si="123"/>
        <v>0</v>
      </c>
      <c r="CD247" s="588">
        <f t="shared" si="123"/>
        <v>0</v>
      </c>
      <c r="CE247" s="588">
        <f t="shared" si="123"/>
        <v>0</v>
      </c>
      <c r="CF247" s="588">
        <f t="shared" si="123"/>
        <v>0</v>
      </c>
      <c r="CG247" s="588">
        <f t="shared" si="123"/>
        <v>0</v>
      </c>
      <c r="CH247" s="588">
        <f t="shared" si="123"/>
        <v>0</v>
      </c>
      <c r="CI247" s="584">
        <f t="shared" si="123"/>
        <v>0</v>
      </c>
      <c r="CK247" s="1363"/>
    </row>
    <row r="248" spans="1:89" s="1362" customFormat="1" x14ac:dyDescent="0.25">
      <c r="A248" s="1353"/>
      <c r="B248" s="909" t="s">
        <v>450</v>
      </c>
      <c r="C248" s="910" t="s">
        <v>451</v>
      </c>
      <c r="D248" s="640" t="s">
        <v>452</v>
      </c>
      <c r="E248" s="641" t="s">
        <v>254</v>
      </c>
      <c r="F248" s="642">
        <v>2</v>
      </c>
      <c r="G248" s="635"/>
      <c r="H248" s="635"/>
      <c r="I248" s="635"/>
      <c r="J248" s="635"/>
      <c r="K248" s="635"/>
      <c r="L248" s="635"/>
      <c r="M248" s="636"/>
      <c r="N248" s="636"/>
      <c r="O248" s="636"/>
      <c r="P248" s="636"/>
      <c r="Q248" s="636"/>
      <c r="R248" s="636"/>
      <c r="S248" s="636"/>
      <c r="T248" s="636"/>
      <c r="U248" s="636"/>
      <c r="V248" s="636"/>
      <c r="W248" s="636"/>
      <c r="X248" s="636"/>
      <c r="Y248" s="636"/>
      <c r="Z248" s="636"/>
      <c r="AA248" s="636"/>
      <c r="AB248" s="636"/>
      <c r="AC248" s="636"/>
      <c r="AD248" s="636"/>
      <c r="AE248" s="636"/>
      <c r="AF248" s="636"/>
      <c r="AG248" s="636"/>
      <c r="AH248" s="636"/>
      <c r="AI248" s="636"/>
      <c r="AJ248" s="636"/>
      <c r="AK248" s="636"/>
      <c r="AL248" s="636"/>
      <c r="AM248" s="636"/>
      <c r="AN248" s="636"/>
      <c r="AO248" s="636"/>
      <c r="AP248" s="636"/>
      <c r="AQ248" s="636"/>
      <c r="AR248" s="636"/>
      <c r="AS248" s="636"/>
      <c r="AT248" s="636"/>
      <c r="AU248" s="636"/>
      <c r="AV248" s="636"/>
      <c r="AW248" s="636"/>
      <c r="AX248" s="636"/>
      <c r="AY248" s="636"/>
      <c r="AZ248" s="636"/>
      <c r="BA248" s="636"/>
      <c r="BB248" s="636"/>
      <c r="BC248" s="636"/>
      <c r="BD248" s="636"/>
      <c r="BE248" s="636"/>
      <c r="BF248" s="636"/>
      <c r="BG248" s="636"/>
      <c r="BH248" s="636"/>
      <c r="BI248" s="636"/>
      <c r="BJ248" s="636"/>
      <c r="BK248" s="636"/>
      <c r="BL248" s="636"/>
      <c r="BM248" s="636"/>
      <c r="BN248" s="636"/>
      <c r="BO248" s="636"/>
      <c r="BP248" s="636"/>
      <c r="BQ248" s="636"/>
      <c r="BR248" s="636"/>
      <c r="BS248" s="636"/>
      <c r="BT248" s="636"/>
      <c r="BU248" s="636"/>
      <c r="BV248" s="636"/>
      <c r="BW248" s="636"/>
      <c r="BX248" s="636"/>
      <c r="BY248" s="636"/>
      <c r="BZ248" s="636"/>
      <c r="CA248" s="636"/>
      <c r="CB248" s="636"/>
      <c r="CC248" s="636"/>
      <c r="CD248" s="636"/>
      <c r="CE248" s="636"/>
      <c r="CF248" s="636"/>
      <c r="CG248" s="636"/>
      <c r="CH248" s="636"/>
      <c r="CI248" s="637"/>
      <c r="CK248" s="1363"/>
    </row>
    <row r="249" spans="1:89" s="1362" customFormat="1" x14ac:dyDescent="0.25">
      <c r="A249" s="1353"/>
      <c r="B249" s="909" t="s">
        <v>453</v>
      </c>
      <c r="C249" s="910" t="s">
        <v>454</v>
      </c>
      <c r="D249" s="640" t="s">
        <v>455</v>
      </c>
      <c r="E249" s="641" t="s">
        <v>254</v>
      </c>
      <c r="F249" s="642">
        <v>2</v>
      </c>
      <c r="G249" s="635"/>
      <c r="H249" s="635"/>
      <c r="I249" s="635"/>
      <c r="J249" s="635"/>
      <c r="K249" s="635"/>
      <c r="L249" s="635"/>
      <c r="M249" s="636"/>
      <c r="N249" s="636"/>
      <c r="O249" s="636"/>
      <c r="P249" s="636"/>
      <c r="Q249" s="636"/>
      <c r="R249" s="636"/>
      <c r="S249" s="636"/>
      <c r="T249" s="636"/>
      <c r="U249" s="636"/>
      <c r="V249" s="636"/>
      <c r="W249" s="636"/>
      <c r="X249" s="636"/>
      <c r="Y249" s="636"/>
      <c r="Z249" s="636"/>
      <c r="AA249" s="636"/>
      <c r="AB249" s="636"/>
      <c r="AC249" s="636"/>
      <c r="AD249" s="636"/>
      <c r="AE249" s="636"/>
      <c r="AF249" s="636"/>
      <c r="AG249" s="636"/>
      <c r="AH249" s="636"/>
      <c r="AI249" s="636"/>
      <c r="AJ249" s="636"/>
      <c r="AK249" s="636"/>
      <c r="AL249" s="636"/>
      <c r="AM249" s="636"/>
      <c r="AN249" s="636"/>
      <c r="AO249" s="636"/>
      <c r="AP249" s="636"/>
      <c r="AQ249" s="636"/>
      <c r="AR249" s="636"/>
      <c r="AS249" s="636"/>
      <c r="AT249" s="636"/>
      <c r="AU249" s="636"/>
      <c r="AV249" s="636"/>
      <c r="AW249" s="636"/>
      <c r="AX249" s="636"/>
      <c r="AY249" s="636"/>
      <c r="AZ249" s="636"/>
      <c r="BA249" s="636"/>
      <c r="BB249" s="636"/>
      <c r="BC249" s="636"/>
      <c r="BD249" s="636"/>
      <c r="BE249" s="636"/>
      <c r="BF249" s="636"/>
      <c r="BG249" s="636"/>
      <c r="BH249" s="636"/>
      <c r="BI249" s="636"/>
      <c r="BJ249" s="636"/>
      <c r="BK249" s="636"/>
      <c r="BL249" s="636"/>
      <c r="BM249" s="636"/>
      <c r="BN249" s="636"/>
      <c r="BO249" s="636"/>
      <c r="BP249" s="636"/>
      <c r="BQ249" s="636"/>
      <c r="BR249" s="636"/>
      <c r="BS249" s="636"/>
      <c r="BT249" s="636"/>
      <c r="BU249" s="636"/>
      <c r="BV249" s="636"/>
      <c r="BW249" s="636"/>
      <c r="BX249" s="636"/>
      <c r="BY249" s="636"/>
      <c r="BZ249" s="636"/>
      <c r="CA249" s="636"/>
      <c r="CB249" s="636"/>
      <c r="CC249" s="636"/>
      <c r="CD249" s="636"/>
      <c r="CE249" s="636"/>
      <c r="CF249" s="636"/>
      <c r="CG249" s="636"/>
      <c r="CH249" s="636"/>
      <c r="CI249" s="637"/>
      <c r="CK249" s="1363"/>
    </row>
    <row r="250" spans="1:89" s="1362" customFormat="1" x14ac:dyDescent="0.25">
      <c r="A250" s="1353"/>
      <c r="B250" s="909" t="s">
        <v>456</v>
      </c>
      <c r="C250" s="910" t="s">
        <v>457</v>
      </c>
      <c r="D250" s="640" t="s">
        <v>458</v>
      </c>
      <c r="E250" s="641" t="s">
        <v>254</v>
      </c>
      <c r="F250" s="642">
        <v>2</v>
      </c>
      <c r="G250" s="635"/>
      <c r="H250" s="635"/>
      <c r="I250" s="635"/>
      <c r="J250" s="635"/>
      <c r="K250" s="635"/>
      <c r="L250" s="635"/>
      <c r="M250" s="636"/>
      <c r="N250" s="636"/>
      <c r="O250" s="636"/>
      <c r="P250" s="636"/>
      <c r="Q250" s="636"/>
      <c r="R250" s="636"/>
      <c r="S250" s="636"/>
      <c r="T250" s="636"/>
      <c r="U250" s="636"/>
      <c r="V250" s="636"/>
      <c r="W250" s="636"/>
      <c r="X250" s="636"/>
      <c r="Y250" s="636"/>
      <c r="Z250" s="636"/>
      <c r="AA250" s="636"/>
      <c r="AB250" s="636"/>
      <c r="AC250" s="636"/>
      <c r="AD250" s="636"/>
      <c r="AE250" s="636"/>
      <c r="AF250" s="636"/>
      <c r="AG250" s="636"/>
      <c r="AH250" s="636"/>
      <c r="AI250" s="636"/>
      <c r="AJ250" s="636"/>
      <c r="AK250" s="636"/>
      <c r="AL250" s="636"/>
      <c r="AM250" s="636"/>
      <c r="AN250" s="636"/>
      <c r="AO250" s="636"/>
      <c r="AP250" s="636"/>
      <c r="AQ250" s="636"/>
      <c r="AR250" s="636"/>
      <c r="AS250" s="636"/>
      <c r="AT250" s="636"/>
      <c r="AU250" s="636"/>
      <c r="AV250" s="636"/>
      <c r="AW250" s="636"/>
      <c r="AX250" s="636"/>
      <c r="AY250" s="636"/>
      <c r="AZ250" s="636"/>
      <c r="BA250" s="636"/>
      <c r="BB250" s="636"/>
      <c r="BC250" s="636"/>
      <c r="BD250" s="636"/>
      <c r="BE250" s="636"/>
      <c r="BF250" s="636"/>
      <c r="BG250" s="636"/>
      <c r="BH250" s="636"/>
      <c r="BI250" s="636"/>
      <c r="BJ250" s="636"/>
      <c r="BK250" s="636"/>
      <c r="BL250" s="636"/>
      <c r="BM250" s="636"/>
      <c r="BN250" s="636"/>
      <c r="BO250" s="636"/>
      <c r="BP250" s="636"/>
      <c r="BQ250" s="636"/>
      <c r="BR250" s="636"/>
      <c r="BS250" s="636"/>
      <c r="BT250" s="636"/>
      <c r="BU250" s="636"/>
      <c r="BV250" s="636"/>
      <c r="BW250" s="636"/>
      <c r="BX250" s="636"/>
      <c r="BY250" s="636"/>
      <c r="BZ250" s="636"/>
      <c r="CA250" s="636"/>
      <c r="CB250" s="636"/>
      <c r="CC250" s="636"/>
      <c r="CD250" s="636"/>
      <c r="CE250" s="636"/>
      <c r="CF250" s="636"/>
      <c r="CG250" s="636"/>
      <c r="CH250" s="636"/>
      <c r="CI250" s="637"/>
      <c r="CK250" s="1363"/>
    </row>
    <row r="251" spans="1:89" s="1362" customFormat="1" ht="27.6" x14ac:dyDescent="0.25">
      <c r="A251" s="1353"/>
      <c r="B251" s="909" t="s">
        <v>459</v>
      </c>
      <c r="C251" s="910" t="s">
        <v>460</v>
      </c>
      <c r="D251" s="640" t="s">
        <v>461</v>
      </c>
      <c r="E251" s="641" t="s">
        <v>254</v>
      </c>
      <c r="F251" s="642">
        <v>2</v>
      </c>
      <c r="G251" s="635"/>
      <c r="H251" s="635"/>
      <c r="I251" s="635"/>
      <c r="J251" s="635"/>
      <c r="K251" s="635"/>
      <c r="L251" s="635"/>
      <c r="M251" s="636"/>
      <c r="N251" s="636"/>
      <c r="O251" s="636"/>
      <c r="P251" s="636"/>
      <c r="Q251" s="636"/>
      <c r="R251" s="636"/>
      <c r="S251" s="636"/>
      <c r="T251" s="636"/>
      <c r="U251" s="636"/>
      <c r="V251" s="636"/>
      <c r="W251" s="636"/>
      <c r="X251" s="636"/>
      <c r="Y251" s="636"/>
      <c r="Z251" s="636"/>
      <c r="AA251" s="636"/>
      <c r="AB251" s="636"/>
      <c r="AC251" s="636"/>
      <c r="AD251" s="636"/>
      <c r="AE251" s="636"/>
      <c r="AF251" s="636"/>
      <c r="AG251" s="636"/>
      <c r="AH251" s="636"/>
      <c r="AI251" s="636"/>
      <c r="AJ251" s="636"/>
      <c r="AK251" s="636"/>
      <c r="AL251" s="636"/>
      <c r="AM251" s="636"/>
      <c r="AN251" s="636"/>
      <c r="AO251" s="636"/>
      <c r="AP251" s="636"/>
      <c r="AQ251" s="636"/>
      <c r="AR251" s="636"/>
      <c r="AS251" s="636"/>
      <c r="AT251" s="636"/>
      <c r="AU251" s="636"/>
      <c r="AV251" s="636"/>
      <c r="AW251" s="636"/>
      <c r="AX251" s="636"/>
      <c r="AY251" s="636"/>
      <c r="AZ251" s="636"/>
      <c r="BA251" s="636"/>
      <c r="BB251" s="636"/>
      <c r="BC251" s="636"/>
      <c r="BD251" s="636"/>
      <c r="BE251" s="636"/>
      <c r="BF251" s="636"/>
      <c r="BG251" s="636"/>
      <c r="BH251" s="636"/>
      <c r="BI251" s="636"/>
      <c r="BJ251" s="636"/>
      <c r="BK251" s="636"/>
      <c r="BL251" s="636"/>
      <c r="BM251" s="636"/>
      <c r="BN251" s="636"/>
      <c r="BO251" s="636"/>
      <c r="BP251" s="636"/>
      <c r="BQ251" s="636"/>
      <c r="BR251" s="636"/>
      <c r="BS251" s="636"/>
      <c r="BT251" s="636"/>
      <c r="BU251" s="636"/>
      <c r="BV251" s="636"/>
      <c r="BW251" s="636"/>
      <c r="BX251" s="636"/>
      <c r="BY251" s="636"/>
      <c r="BZ251" s="636"/>
      <c r="CA251" s="636"/>
      <c r="CB251" s="636"/>
      <c r="CC251" s="636"/>
      <c r="CD251" s="636"/>
      <c r="CE251" s="636"/>
      <c r="CF251" s="636"/>
      <c r="CG251" s="636"/>
      <c r="CH251" s="636"/>
      <c r="CI251" s="637"/>
      <c r="CK251" s="1363"/>
    </row>
    <row r="252" spans="1:89" s="1362" customFormat="1" x14ac:dyDescent="0.25">
      <c r="A252" s="1353"/>
      <c r="B252" s="909" t="s">
        <v>462</v>
      </c>
      <c r="C252" s="910" t="s">
        <v>463</v>
      </c>
      <c r="D252" s="640" t="s">
        <v>464</v>
      </c>
      <c r="E252" s="641" t="s">
        <v>254</v>
      </c>
      <c r="F252" s="642">
        <v>2</v>
      </c>
      <c r="G252" s="635"/>
      <c r="H252" s="635"/>
      <c r="I252" s="635"/>
      <c r="J252" s="635"/>
      <c r="K252" s="635"/>
      <c r="L252" s="635"/>
      <c r="M252" s="636"/>
      <c r="N252" s="636"/>
      <c r="O252" s="636"/>
      <c r="P252" s="636"/>
      <c r="Q252" s="636"/>
      <c r="R252" s="636"/>
      <c r="S252" s="636"/>
      <c r="T252" s="636"/>
      <c r="U252" s="636"/>
      <c r="V252" s="636"/>
      <c r="W252" s="636"/>
      <c r="X252" s="636"/>
      <c r="Y252" s="636"/>
      <c r="Z252" s="636"/>
      <c r="AA252" s="636"/>
      <c r="AB252" s="636"/>
      <c r="AC252" s="636"/>
      <c r="AD252" s="636"/>
      <c r="AE252" s="636"/>
      <c r="AF252" s="636"/>
      <c r="AG252" s="636"/>
      <c r="AH252" s="636"/>
      <c r="AI252" s="636"/>
      <c r="AJ252" s="636"/>
      <c r="AK252" s="636"/>
      <c r="AL252" s="636"/>
      <c r="AM252" s="636"/>
      <c r="AN252" s="636"/>
      <c r="AO252" s="636"/>
      <c r="AP252" s="636"/>
      <c r="AQ252" s="636"/>
      <c r="AR252" s="636"/>
      <c r="AS252" s="636"/>
      <c r="AT252" s="636"/>
      <c r="AU252" s="636"/>
      <c r="AV252" s="636"/>
      <c r="AW252" s="636"/>
      <c r="AX252" s="636"/>
      <c r="AY252" s="636"/>
      <c r="AZ252" s="636"/>
      <c r="BA252" s="636"/>
      <c r="BB252" s="636"/>
      <c r="BC252" s="636"/>
      <c r="BD252" s="636"/>
      <c r="BE252" s="636"/>
      <c r="BF252" s="636"/>
      <c r="BG252" s="636"/>
      <c r="BH252" s="636"/>
      <c r="BI252" s="636"/>
      <c r="BJ252" s="636"/>
      <c r="BK252" s="636"/>
      <c r="BL252" s="636"/>
      <c r="BM252" s="636"/>
      <c r="BN252" s="636"/>
      <c r="BO252" s="636"/>
      <c r="BP252" s="636"/>
      <c r="BQ252" s="636"/>
      <c r="BR252" s="636"/>
      <c r="BS252" s="636"/>
      <c r="BT252" s="636"/>
      <c r="BU252" s="636"/>
      <c r="BV252" s="636"/>
      <c r="BW252" s="636"/>
      <c r="BX252" s="636"/>
      <c r="BY252" s="636"/>
      <c r="BZ252" s="636"/>
      <c r="CA252" s="636"/>
      <c r="CB252" s="636"/>
      <c r="CC252" s="636"/>
      <c r="CD252" s="636"/>
      <c r="CE252" s="636"/>
      <c r="CF252" s="636"/>
      <c r="CG252" s="636"/>
      <c r="CH252" s="636"/>
      <c r="CI252" s="637"/>
      <c r="CK252" s="1363"/>
    </row>
    <row r="253" spans="1:89" s="1362" customFormat="1" ht="27.6" x14ac:dyDescent="0.25">
      <c r="A253" s="1353"/>
      <c r="B253" s="909" t="s">
        <v>465</v>
      </c>
      <c r="C253" s="910" t="s">
        <v>466</v>
      </c>
      <c r="D253" s="640" t="s">
        <v>467</v>
      </c>
      <c r="E253" s="641" t="s">
        <v>254</v>
      </c>
      <c r="F253" s="642">
        <v>2</v>
      </c>
      <c r="G253" s="635"/>
      <c r="H253" s="635"/>
      <c r="I253" s="635"/>
      <c r="J253" s="635"/>
      <c r="K253" s="635"/>
      <c r="L253" s="635"/>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7"/>
      <c r="CK253" s="1363"/>
    </row>
    <row r="254" spans="1:89" s="1362" customFormat="1" x14ac:dyDescent="0.25">
      <c r="A254" s="1353"/>
      <c r="B254" s="909" t="s">
        <v>468</v>
      </c>
      <c r="C254" s="910" t="s">
        <v>469</v>
      </c>
      <c r="D254" s="908" t="s">
        <v>79</v>
      </c>
      <c r="E254" s="894" t="s">
        <v>254</v>
      </c>
      <c r="F254" s="895">
        <v>2</v>
      </c>
      <c r="G254" s="635"/>
      <c r="H254" s="635"/>
      <c r="I254" s="635"/>
      <c r="J254" s="635"/>
      <c r="K254" s="635"/>
      <c r="L254" s="635"/>
      <c r="M254" s="636"/>
      <c r="N254" s="636"/>
      <c r="O254" s="636"/>
      <c r="P254" s="636"/>
      <c r="Q254" s="636"/>
      <c r="R254" s="636"/>
      <c r="S254" s="636"/>
      <c r="T254" s="636"/>
      <c r="U254" s="636"/>
      <c r="V254" s="636"/>
      <c r="W254" s="636"/>
      <c r="X254" s="636"/>
      <c r="Y254" s="636"/>
      <c r="Z254" s="636"/>
      <c r="AA254" s="636"/>
      <c r="AB254" s="636"/>
      <c r="AC254" s="636"/>
      <c r="AD254" s="636"/>
      <c r="AE254" s="636"/>
      <c r="AF254" s="636"/>
      <c r="AG254" s="636"/>
      <c r="AH254" s="636"/>
      <c r="AI254" s="636"/>
      <c r="AJ254" s="636"/>
      <c r="AK254" s="636"/>
      <c r="AL254" s="636"/>
      <c r="AM254" s="636"/>
      <c r="AN254" s="636"/>
      <c r="AO254" s="636"/>
      <c r="AP254" s="636"/>
      <c r="AQ254" s="636"/>
      <c r="AR254" s="636"/>
      <c r="AS254" s="636"/>
      <c r="AT254" s="636"/>
      <c r="AU254" s="636"/>
      <c r="AV254" s="636"/>
      <c r="AW254" s="636"/>
      <c r="AX254" s="636"/>
      <c r="AY254" s="636"/>
      <c r="AZ254" s="636"/>
      <c r="BA254" s="636"/>
      <c r="BB254" s="636"/>
      <c r="BC254" s="636"/>
      <c r="BD254" s="636"/>
      <c r="BE254" s="636"/>
      <c r="BF254" s="636"/>
      <c r="BG254" s="636"/>
      <c r="BH254" s="636"/>
      <c r="BI254" s="636"/>
      <c r="BJ254" s="636"/>
      <c r="BK254" s="636"/>
      <c r="BL254" s="636"/>
      <c r="BM254" s="636"/>
      <c r="BN254" s="636"/>
      <c r="BO254" s="636"/>
      <c r="BP254" s="636"/>
      <c r="BQ254" s="636"/>
      <c r="BR254" s="636"/>
      <c r="BS254" s="636"/>
      <c r="BT254" s="636"/>
      <c r="BU254" s="636"/>
      <c r="BV254" s="636"/>
      <c r="BW254" s="636"/>
      <c r="BX254" s="636"/>
      <c r="BY254" s="636"/>
      <c r="BZ254" s="636"/>
      <c r="CA254" s="636"/>
      <c r="CB254" s="636"/>
      <c r="CC254" s="636"/>
      <c r="CD254" s="636"/>
      <c r="CE254" s="636"/>
      <c r="CF254" s="636"/>
      <c r="CG254" s="636"/>
      <c r="CH254" s="636"/>
      <c r="CI254" s="637"/>
      <c r="CK254" s="1363"/>
    </row>
    <row r="255" spans="1:89" s="1362" customFormat="1" x14ac:dyDescent="0.25">
      <c r="A255" s="1353"/>
      <c r="B255" s="909" t="s">
        <v>470</v>
      </c>
      <c r="C255" s="910" t="s">
        <v>471</v>
      </c>
      <c r="D255" s="908" t="s">
        <v>79</v>
      </c>
      <c r="E255" s="894" t="s">
        <v>254</v>
      </c>
      <c r="F255" s="895">
        <v>2</v>
      </c>
      <c r="G255" s="635"/>
      <c r="H255" s="635"/>
      <c r="I255" s="635"/>
      <c r="J255" s="635"/>
      <c r="K255" s="635"/>
      <c r="L255" s="635"/>
      <c r="M255" s="636"/>
      <c r="N255" s="636"/>
      <c r="O255" s="636"/>
      <c r="P255" s="636"/>
      <c r="Q255" s="636"/>
      <c r="R255" s="636"/>
      <c r="S255" s="636"/>
      <c r="T255" s="636"/>
      <c r="U255" s="636"/>
      <c r="V255" s="636"/>
      <c r="W255" s="636"/>
      <c r="X255" s="636"/>
      <c r="Y255" s="636"/>
      <c r="Z255" s="636"/>
      <c r="AA255" s="636"/>
      <c r="AB255" s="636"/>
      <c r="AC255" s="636"/>
      <c r="AD255" s="636"/>
      <c r="AE255" s="636"/>
      <c r="AF255" s="636"/>
      <c r="AG255" s="636"/>
      <c r="AH255" s="636"/>
      <c r="AI255" s="636"/>
      <c r="AJ255" s="636"/>
      <c r="AK255" s="636"/>
      <c r="AL255" s="636"/>
      <c r="AM255" s="636"/>
      <c r="AN255" s="636"/>
      <c r="AO255" s="636"/>
      <c r="AP255" s="636"/>
      <c r="AQ255" s="636"/>
      <c r="AR255" s="636"/>
      <c r="AS255" s="636"/>
      <c r="AT255" s="636"/>
      <c r="AU255" s="636"/>
      <c r="AV255" s="636"/>
      <c r="AW255" s="636"/>
      <c r="AX255" s="636"/>
      <c r="AY255" s="636"/>
      <c r="AZ255" s="636"/>
      <c r="BA255" s="636"/>
      <c r="BB255" s="636"/>
      <c r="BC255" s="636"/>
      <c r="BD255" s="636"/>
      <c r="BE255" s="636"/>
      <c r="BF255" s="636"/>
      <c r="BG255" s="636"/>
      <c r="BH255" s="636"/>
      <c r="BI255" s="636"/>
      <c r="BJ255" s="636"/>
      <c r="BK255" s="636"/>
      <c r="BL255" s="636"/>
      <c r="BM255" s="636"/>
      <c r="BN255" s="636"/>
      <c r="BO255" s="636"/>
      <c r="BP255" s="636"/>
      <c r="BQ255" s="636"/>
      <c r="BR255" s="636"/>
      <c r="BS255" s="636"/>
      <c r="BT255" s="636"/>
      <c r="BU255" s="636"/>
      <c r="BV255" s="636"/>
      <c r="BW255" s="636"/>
      <c r="BX255" s="636"/>
      <c r="BY255" s="636"/>
      <c r="BZ255" s="636"/>
      <c r="CA255" s="636"/>
      <c r="CB255" s="636"/>
      <c r="CC255" s="636"/>
      <c r="CD255" s="636"/>
      <c r="CE255" s="636"/>
      <c r="CF255" s="636"/>
      <c r="CG255" s="636"/>
      <c r="CH255" s="636"/>
      <c r="CI255" s="637"/>
      <c r="CK255" s="1363"/>
    </row>
    <row r="256" spans="1:89" s="1362" customFormat="1" x14ac:dyDescent="0.25">
      <c r="A256" s="1353"/>
      <c r="B256" s="909" t="s">
        <v>472</v>
      </c>
      <c r="C256" s="910" t="s">
        <v>473</v>
      </c>
      <c r="D256" s="908" t="s">
        <v>79</v>
      </c>
      <c r="E256" s="894" t="s">
        <v>254</v>
      </c>
      <c r="F256" s="895">
        <v>2</v>
      </c>
      <c r="G256" s="635"/>
      <c r="H256" s="635"/>
      <c r="I256" s="635"/>
      <c r="J256" s="635"/>
      <c r="K256" s="635"/>
      <c r="L256" s="635"/>
      <c r="M256" s="636"/>
      <c r="N256" s="636"/>
      <c r="O256" s="636"/>
      <c r="P256" s="636"/>
      <c r="Q256" s="636"/>
      <c r="R256" s="636"/>
      <c r="S256" s="636"/>
      <c r="T256" s="636"/>
      <c r="U256" s="636"/>
      <c r="V256" s="636"/>
      <c r="W256" s="636"/>
      <c r="X256" s="636"/>
      <c r="Y256" s="636"/>
      <c r="Z256" s="636"/>
      <c r="AA256" s="636"/>
      <c r="AB256" s="636"/>
      <c r="AC256" s="636"/>
      <c r="AD256" s="636"/>
      <c r="AE256" s="636"/>
      <c r="AF256" s="636"/>
      <c r="AG256" s="636"/>
      <c r="AH256" s="636"/>
      <c r="AI256" s="636"/>
      <c r="AJ256" s="636"/>
      <c r="AK256" s="636"/>
      <c r="AL256" s="636"/>
      <c r="AM256" s="636"/>
      <c r="AN256" s="636"/>
      <c r="AO256" s="636"/>
      <c r="AP256" s="636"/>
      <c r="AQ256" s="636"/>
      <c r="AR256" s="636"/>
      <c r="AS256" s="636"/>
      <c r="AT256" s="636"/>
      <c r="AU256" s="636"/>
      <c r="AV256" s="636"/>
      <c r="AW256" s="636"/>
      <c r="AX256" s="636"/>
      <c r="AY256" s="636"/>
      <c r="AZ256" s="636"/>
      <c r="BA256" s="636"/>
      <c r="BB256" s="636"/>
      <c r="BC256" s="636"/>
      <c r="BD256" s="636"/>
      <c r="BE256" s="636"/>
      <c r="BF256" s="636"/>
      <c r="BG256" s="636"/>
      <c r="BH256" s="636"/>
      <c r="BI256" s="636"/>
      <c r="BJ256" s="636"/>
      <c r="BK256" s="636"/>
      <c r="BL256" s="636"/>
      <c r="BM256" s="636"/>
      <c r="BN256" s="636"/>
      <c r="BO256" s="636"/>
      <c r="BP256" s="636"/>
      <c r="BQ256" s="636"/>
      <c r="BR256" s="636"/>
      <c r="BS256" s="636"/>
      <c r="BT256" s="636"/>
      <c r="BU256" s="636"/>
      <c r="BV256" s="636"/>
      <c r="BW256" s="636"/>
      <c r="BX256" s="636"/>
      <c r="BY256" s="636"/>
      <c r="BZ256" s="636"/>
      <c r="CA256" s="636"/>
      <c r="CB256" s="636"/>
      <c r="CC256" s="636"/>
      <c r="CD256" s="636"/>
      <c r="CE256" s="636"/>
      <c r="CF256" s="636"/>
      <c r="CG256" s="636"/>
      <c r="CH256" s="636"/>
      <c r="CI256" s="637"/>
      <c r="CK256" s="1363"/>
    </row>
    <row r="257" spans="1:89" s="1362" customFormat="1" ht="28.2" thickBot="1" x14ac:dyDescent="0.3">
      <c r="A257" s="1353"/>
      <c r="B257" s="911" t="s">
        <v>474</v>
      </c>
      <c r="C257" s="912" t="s">
        <v>475</v>
      </c>
      <c r="D257" s="913" t="s">
        <v>476</v>
      </c>
      <c r="E257" s="914" t="s">
        <v>254</v>
      </c>
      <c r="F257" s="915">
        <v>2</v>
      </c>
      <c r="G257" s="595"/>
      <c r="H257" s="595"/>
      <c r="I257" s="595">
        <f t="shared" ref="I257:BS257" si="124">SUM(I244:I247)+I254+I255+I256</f>
        <v>0</v>
      </c>
      <c r="J257" s="595">
        <f t="shared" si="124"/>
        <v>0</v>
      </c>
      <c r="K257" s="595">
        <f t="shared" si="124"/>
        <v>0</v>
      </c>
      <c r="L257" s="595">
        <f t="shared" si="124"/>
        <v>0</v>
      </c>
      <c r="M257" s="595">
        <f t="shared" si="124"/>
        <v>0</v>
      </c>
      <c r="N257" s="595">
        <f t="shared" si="124"/>
        <v>0</v>
      </c>
      <c r="O257" s="595">
        <f t="shared" si="124"/>
        <v>0</v>
      </c>
      <c r="P257" s="595">
        <f t="shared" si="124"/>
        <v>0</v>
      </c>
      <c r="Q257" s="595">
        <f t="shared" si="124"/>
        <v>0</v>
      </c>
      <c r="R257" s="595">
        <f t="shared" si="124"/>
        <v>0</v>
      </c>
      <c r="S257" s="595">
        <f t="shared" si="124"/>
        <v>0</v>
      </c>
      <c r="T257" s="595">
        <f t="shared" si="124"/>
        <v>0</v>
      </c>
      <c r="U257" s="595">
        <f t="shared" si="124"/>
        <v>0</v>
      </c>
      <c r="V257" s="595">
        <f t="shared" si="124"/>
        <v>0</v>
      </c>
      <c r="W257" s="595">
        <f t="shared" si="124"/>
        <v>0</v>
      </c>
      <c r="X257" s="595">
        <f t="shared" si="124"/>
        <v>0</v>
      </c>
      <c r="Y257" s="595">
        <f t="shared" si="124"/>
        <v>0</v>
      </c>
      <c r="Z257" s="595">
        <f t="shared" si="124"/>
        <v>0</v>
      </c>
      <c r="AA257" s="595">
        <f t="shared" si="124"/>
        <v>0</v>
      </c>
      <c r="AB257" s="595">
        <f t="shared" si="124"/>
        <v>0</v>
      </c>
      <c r="AC257" s="595">
        <f t="shared" si="124"/>
        <v>0</v>
      </c>
      <c r="AD257" s="595">
        <f t="shared" si="124"/>
        <v>0</v>
      </c>
      <c r="AE257" s="595">
        <f t="shared" si="124"/>
        <v>0</v>
      </c>
      <c r="AF257" s="595">
        <f t="shared" si="124"/>
        <v>0</v>
      </c>
      <c r="AG257" s="595">
        <f t="shared" si="124"/>
        <v>0</v>
      </c>
      <c r="AH257" s="595">
        <f t="shared" si="124"/>
        <v>0</v>
      </c>
      <c r="AI257" s="595">
        <f t="shared" si="124"/>
        <v>0</v>
      </c>
      <c r="AJ257" s="595">
        <f t="shared" si="124"/>
        <v>0</v>
      </c>
      <c r="AK257" s="595">
        <f t="shared" si="124"/>
        <v>0</v>
      </c>
      <c r="AL257" s="595">
        <f t="shared" si="124"/>
        <v>0</v>
      </c>
      <c r="AM257" s="595">
        <f t="shared" si="124"/>
        <v>0</v>
      </c>
      <c r="AN257" s="595">
        <f t="shared" si="124"/>
        <v>0</v>
      </c>
      <c r="AO257" s="595">
        <f t="shared" si="124"/>
        <v>0</v>
      </c>
      <c r="AP257" s="595">
        <f t="shared" si="124"/>
        <v>0</v>
      </c>
      <c r="AQ257" s="595">
        <f t="shared" si="124"/>
        <v>0</v>
      </c>
      <c r="AR257" s="595">
        <f t="shared" si="124"/>
        <v>0</v>
      </c>
      <c r="AS257" s="595">
        <f t="shared" si="124"/>
        <v>0</v>
      </c>
      <c r="AT257" s="595">
        <f t="shared" si="124"/>
        <v>0</v>
      </c>
      <c r="AU257" s="595">
        <f t="shared" si="124"/>
        <v>0</v>
      </c>
      <c r="AV257" s="595">
        <f t="shared" si="124"/>
        <v>0</v>
      </c>
      <c r="AW257" s="595">
        <f t="shared" si="124"/>
        <v>0</v>
      </c>
      <c r="AX257" s="595">
        <f t="shared" si="124"/>
        <v>0</v>
      </c>
      <c r="AY257" s="595">
        <f t="shared" si="124"/>
        <v>0</v>
      </c>
      <c r="AZ257" s="595">
        <f t="shared" si="124"/>
        <v>0</v>
      </c>
      <c r="BA257" s="595">
        <f t="shared" si="124"/>
        <v>0</v>
      </c>
      <c r="BB257" s="595">
        <f t="shared" si="124"/>
        <v>0</v>
      </c>
      <c r="BC257" s="595">
        <f t="shared" si="124"/>
        <v>0</v>
      </c>
      <c r="BD257" s="595">
        <f t="shared" si="124"/>
        <v>0</v>
      </c>
      <c r="BE257" s="595">
        <f t="shared" si="124"/>
        <v>0</v>
      </c>
      <c r="BF257" s="595">
        <f t="shared" si="124"/>
        <v>0</v>
      </c>
      <c r="BG257" s="595">
        <f t="shared" si="124"/>
        <v>0</v>
      </c>
      <c r="BH257" s="595">
        <f t="shared" si="124"/>
        <v>0</v>
      </c>
      <c r="BI257" s="595">
        <f t="shared" si="124"/>
        <v>0</v>
      </c>
      <c r="BJ257" s="595">
        <f t="shared" si="124"/>
        <v>0</v>
      </c>
      <c r="BK257" s="595">
        <f t="shared" si="124"/>
        <v>0</v>
      </c>
      <c r="BL257" s="595">
        <f t="shared" si="124"/>
        <v>0</v>
      </c>
      <c r="BM257" s="595">
        <f t="shared" si="124"/>
        <v>0</v>
      </c>
      <c r="BN257" s="595">
        <f t="shared" si="124"/>
        <v>0</v>
      </c>
      <c r="BO257" s="595">
        <f t="shared" si="124"/>
        <v>0</v>
      </c>
      <c r="BP257" s="595">
        <f t="shared" si="124"/>
        <v>0</v>
      </c>
      <c r="BQ257" s="595">
        <f t="shared" si="124"/>
        <v>0</v>
      </c>
      <c r="BR257" s="595">
        <f t="shared" si="124"/>
        <v>0</v>
      </c>
      <c r="BS257" s="595">
        <f t="shared" si="124"/>
        <v>0</v>
      </c>
      <c r="BT257" s="595">
        <f t="shared" ref="BT257:CI257" si="125">SUM(BT244:BT247)+BT254+BT255+BT256</f>
        <v>0</v>
      </c>
      <c r="BU257" s="595">
        <f t="shared" si="125"/>
        <v>0</v>
      </c>
      <c r="BV257" s="595">
        <f t="shared" si="125"/>
        <v>0</v>
      </c>
      <c r="BW257" s="595">
        <f t="shared" si="125"/>
        <v>0</v>
      </c>
      <c r="BX257" s="595">
        <f t="shared" si="125"/>
        <v>0</v>
      </c>
      <c r="BY257" s="595">
        <f t="shared" si="125"/>
        <v>0</v>
      </c>
      <c r="BZ257" s="595">
        <f t="shared" si="125"/>
        <v>0</v>
      </c>
      <c r="CA257" s="595">
        <f t="shared" si="125"/>
        <v>0</v>
      </c>
      <c r="CB257" s="595">
        <f t="shared" si="125"/>
        <v>0</v>
      </c>
      <c r="CC257" s="595">
        <f t="shared" si="125"/>
        <v>0</v>
      </c>
      <c r="CD257" s="595">
        <f t="shared" si="125"/>
        <v>0</v>
      </c>
      <c r="CE257" s="595">
        <f t="shared" si="125"/>
        <v>0</v>
      </c>
      <c r="CF257" s="595">
        <f t="shared" si="125"/>
        <v>0</v>
      </c>
      <c r="CG257" s="595">
        <f t="shared" si="125"/>
        <v>0</v>
      </c>
      <c r="CH257" s="595">
        <f t="shared" si="125"/>
        <v>0</v>
      </c>
      <c r="CI257" s="595">
        <f t="shared" si="125"/>
        <v>0</v>
      </c>
      <c r="CK257" s="1363"/>
    </row>
    <row r="258" spans="1:89" s="1362" customFormat="1" x14ac:dyDescent="0.25">
      <c r="A258" s="1353"/>
      <c r="B258" s="864" t="s">
        <v>477</v>
      </c>
      <c r="C258" s="865" t="s">
        <v>478</v>
      </c>
      <c r="D258" s="866" t="s">
        <v>79</v>
      </c>
      <c r="E258" s="916" t="s">
        <v>254</v>
      </c>
      <c r="F258" s="917">
        <v>2</v>
      </c>
      <c r="G258" s="631"/>
      <c r="H258" s="631"/>
      <c r="I258" s="631"/>
      <c r="J258" s="631"/>
      <c r="K258" s="631"/>
      <c r="L258" s="631"/>
      <c r="M258" s="632"/>
      <c r="N258" s="632"/>
      <c r="O258" s="632"/>
      <c r="P258" s="632"/>
      <c r="Q258" s="632"/>
      <c r="R258" s="632"/>
      <c r="S258" s="632"/>
      <c r="T258" s="632"/>
      <c r="U258" s="632"/>
      <c r="V258" s="632"/>
      <c r="W258" s="632"/>
      <c r="X258" s="632"/>
      <c r="Y258" s="632"/>
      <c r="Z258" s="632"/>
      <c r="AA258" s="632"/>
      <c r="AB258" s="632"/>
      <c r="AC258" s="632"/>
      <c r="AD258" s="632"/>
      <c r="AE258" s="632"/>
      <c r="AF258" s="632"/>
      <c r="AG258" s="632"/>
      <c r="AH258" s="632"/>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c r="BO258" s="632"/>
      <c r="BP258" s="632"/>
      <c r="BQ258" s="632"/>
      <c r="BR258" s="632"/>
      <c r="BS258" s="632"/>
      <c r="BT258" s="632"/>
      <c r="BU258" s="632"/>
      <c r="BV258" s="632"/>
      <c r="BW258" s="632"/>
      <c r="BX258" s="632"/>
      <c r="BY258" s="632"/>
      <c r="BZ258" s="632"/>
      <c r="CA258" s="632"/>
      <c r="CB258" s="632"/>
      <c r="CC258" s="632"/>
      <c r="CD258" s="632"/>
      <c r="CE258" s="632"/>
      <c r="CF258" s="632"/>
      <c r="CG258" s="632"/>
      <c r="CH258" s="632"/>
      <c r="CI258" s="633"/>
      <c r="CK258" s="1363"/>
    </row>
    <row r="259" spans="1:89" s="1362" customFormat="1" x14ac:dyDescent="0.25">
      <c r="A259" s="1353"/>
      <c r="B259" s="874" t="s">
        <v>479</v>
      </c>
      <c r="C259" s="875" t="s">
        <v>480</v>
      </c>
      <c r="D259" s="871" t="s">
        <v>79</v>
      </c>
      <c r="E259" s="918" t="s">
        <v>254</v>
      </c>
      <c r="F259" s="919">
        <v>2</v>
      </c>
      <c r="G259" s="635"/>
      <c r="H259" s="635"/>
      <c r="I259" s="635"/>
      <c r="J259" s="635"/>
      <c r="K259" s="635"/>
      <c r="L259" s="635"/>
      <c r="M259" s="636"/>
      <c r="N259" s="636"/>
      <c r="O259" s="636"/>
      <c r="P259" s="636"/>
      <c r="Q259" s="636"/>
      <c r="R259" s="636"/>
      <c r="S259" s="636"/>
      <c r="T259" s="636"/>
      <c r="U259" s="636"/>
      <c r="V259" s="636"/>
      <c r="W259" s="636"/>
      <c r="X259" s="636"/>
      <c r="Y259" s="636"/>
      <c r="Z259" s="636"/>
      <c r="AA259" s="636"/>
      <c r="AB259" s="636"/>
      <c r="AC259" s="636"/>
      <c r="AD259" s="636"/>
      <c r="AE259" s="636"/>
      <c r="AF259" s="636"/>
      <c r="AG259" s="636"/>
      <c r="AH259" s="636"/>
      <c r="AI259" s="636"/>
      <c r="AJ259" s="636"/>
      <c r="AK259" s="636"/>
      <c r="AL259" s="636"/>
      <c r="AM259" s="636"/>
      <c r="AN259" s="636"/>
      <c r="AO259" s="636"/>
      <c r="AP259" s="636"/>
      <c r="AQ259" s="636"/>
      <c r="AR259" s="636"/>
      <c r="AS259" s="636"/>
      <c r="AT259" s="636"/>
      <c r="AU259" s="636"/>
      <c r="AV259" s="636"/>
      <c r="AW259" s="636"/>
      <c r="AX259" s="636"/>
      <c r="AY259" s="636"/>
      <c r="AZ259" s="636"/>
      <c r="BA259" s="636"/>
      <c r="BB259" s="636"/>
      <c r="BC259" s="636"/>
      <c r="BD259" s="636"/>
      <c r="BE259" s="636"/>
      <c r="BF259" s="636"/>
      <c r="BG259" s="636"/>
      <c r="BH259" s="636"/>
      <c r="BI259" s="636"/>
      <c r="BJ259" s="636"/>
      <c r="BK259" s="636"/>
      <c r="BL259" s="636"/>
      <c r="BM259" s="636"/>
      <c r="BN259" s="636"/>
      <c r="BO259" s="636"/>
      <c r="BP259" s="636"/>
      <c r="BQ259" s="636"/>
      <c r="BR259" s="636"/>
      <c r="BS259" s="636"/>
      <c r="BT259" s="636"/>
      <c r="BU259" s="636"/>
      <c r="BV259" s="636"/>
      <c r="BW259" s="636"/>
      <c r="BX259" s="636"/>
      <c r="BY259" s="636"/>
      <c r="BZ259" s="636"/>
      <c r="CA259" s="636"/>
      <c r="CB259" s="636"/>
      <c r="CC259" s="636"/>
      <c r="CD259" s="636"/>
      <c r="CE259" s="636"/>
      <c r="CF259" s="636"/>
      <c r="CG259" s="636"/>
      <c r="CH259" s="636"/>
      <c r="CI259" s="637"/>
      <c r="CK259" s="1363"/>
    </row>
    <row r="260" spans="1:89" s="1362" customFormat="1" x14ac:dyDescent="0.25">
      <c r="A260" s="1353"/>
      <c r="B260" s="869" t="s">
        <v>481</v>
      </c>
      <c r="C260" s="920" t="s">
        <v>482</v>
      </c>
      <c r="D260" s="871" t="s">
        <v>79</v>
      </c>
      <c r="E260" s="918" t="s">
        <v>254</v>
      </c>
      <c r="F260" s="919">
        <v>2</v>
      </c>
      <c r="G260" s="635"/>
      <c r="H260" s="635"/>
      <c r="I260" s="635"/>
      <c r="J260" s="635"/>
      <c r="K260" s="635"/>
      <c r="L260" s="635"/>
      <c r="M260" s="636"/>
      <c r="N260" s="636"/>
      <c r="O260" s="636"/>
      <c r="P260" s="636"/>
      <c r="Q260" s="636"/>
      <c r="R260" s="636"/>
      <c r="S260" s="636"/>
      <c r="T260" s="636"/>
      <c r="U260" s="636"/>
      <c r="V260" s="636"/>
      <c r="W260" s="636"/>
      <c r="X260" s="636"/>
      <c r="Y260" s="636"/>
      <c r="Z260" s="636"/>
      <c r="AA260" s="636"/>
      <c r="AB260" s="636"/>
      <c r="AC260" s="636"/>
      <c r="AD260" s="636"/>
      <c r="AE260" s="636"/>
      <c r="AF260" s="636"/>
      <c r="AG260" s="636"/>
      <c r="AH260" s="636"/>
      <c r="AI260" s="636"/>
      <c r="AJ260" s="636"/>
      <c r="AK260" s="636"/>
      <c r="AL260" s="636"/>
      <c r="AM260" s="636"/>
      <c r="AN260" s="636"/>
      <c r="AO260" s="636"/>
      <c r="AP260" s="636"/>
      <c r="AQ260" s="636"/>
      <c r="AR260" s="636"/>
      <c r="AS260" s="636"/>
      <c r="AT260" s="636"/>
      <c r="AU260" s="636"/>
      <c r="AV260" s="636"/>
      <c r="AW260" s="636"/>
      <c r="AX260" s="636"/>
      <c r="AY260" s="636"/>
      <c r="AZ260" s="636"/>
      <c r="BA260" s="636"/>
      <c r="BB260" s="636"/>
      <c r="BC260" s="636"/>
      <c r="BD260" s="636"/>
      <c r="BE260" s="636"/>
      <c r="BF260" s="636"/>
      <c r="BG260" s="636"/>
      <c r="BH260" s="636"/>
      <c r="BI260" s="636"/>
      <c r="BJ260" s="636"/>
      <c r="BK260" s="636"/>
      <c r="BL260" s="636"/>
      <c r="BM260" s="636"/>
      <c r="BN260" s="636"/>
      <c r="BO260" s="636"/>
      <c r="BP260" s="636"/>
      <c r="BQ260" s="636"/>
      <c r="BR260" s="636"/>
      <c r="BS260" s="636"/>
      <c r="BT260" s="636"/>
      <c r="BU260" s="636"/>
      <c r="BV260" s="636"/>
      <c r="BW260" s="636"/>
      <c r="BX260" s="636"/>
      <c r="BY260" s="636"/>
      <c r="BZ260" s="636"/>
      <c r="CA260" s="636"/>
      <c r="CB260" s="636"/>
      <c r="CC260" s="636"/>
      <c r="CD260" s="636"/>
      <c r="CE260" s="636"/>
      <c r="CF260" s="636"/>
      <c r="CG260" s="636"/>
      <c r="CH260" s="636"/>
      <c r="CI260" s="637"/>
      <c r="CK260" s="1363"/>
    </row>
    <row r="261" spans="1:89" s="1362" customFormat="1" x14ac:dyDescent="0.25">
      <c r="A261" s="1353"/>
      <c r="B261" s="869" t="s">
        <v>483</v>
      </c>
      <c r="C261" s="920" t="s">
        <v>484</v>
      </c>
      <c r="D261" s="871" t="s">
        <v>79</v>
      </c>
      <c r="E261" s="918" t="s">
        <v>254</v>
      </c>
      <c r="F261" s="919">
        <v>2</v>
      </c>
      <c r="G261" s="635"/>
      <c r="H261" s="635"/>
      <c r="I261" s="635"/>
      <c r="J261" s="635"/>
      <c r="K261" s="635"/>
      <c r="L261" s="635"/>
      <c r="M261" s="636"/>
      <c r="N261" s="636"/>
      <c r="O261" s="636"/>
      <c r="P261" s="636"/>
      <c r="Q261" s="636"/>
      <c r="R261" s="636"/>
      <c r="S261" s="636"/>
      <c r="T261" s="636"/>
      <c r="U261" s="636"/>
      <c r="V261" s="636"/>
      <c r="W261" s="636"/>
      <c r="X261" s="636"/>
      <c r="Y261" s="636"/>
      <c r="Z261" s="636"/>
      <c r="AA261" s="636"/>
      <c r="AB261" s="636"/>
      <c r="AC261" s="636"/>
      <c r="AD261" s="636"/>
      <c r="AE261" s="636"/>
      <c r="AF261" s="636"/>
      <c r="AG261" s="636"/>
      <c r="AH261" s="636"/>
      <c r="AI261" s="636"/>
      <c r="AJ261" s="636"/>
      <c r="AK261" s="636"/>
      <c r="AL261" s="636"/>
      <c r="AM261" s="636"/>
      <c r="AN261" s="636"/>
      <c r="AO261" s="636"/>
      <c r="AP261" s="636"/>
      <c r="AQ261" s="636"/>
      <c r="AR261" s="636"/>
      <c r="AS261" s="636"/>
      <c r="AT261" s="636"/>
      <c r="AU261" s="636"/>
      <c r="AV261" s="636"/>
      <c r="AW261" s="636"/>
      <c r="AX261" s="636"/>
      <c r="AY261" s="636"/>
      <c r="AZ261" s="636"/>
      <c r="BA261" s="636"/>
      <c r="BB261" s="636"/>
      <c r="BC261" s="636"/>
      <c r="BD261" s="636"/>
      <c r="BE261" s="636"/>
      <c r="BF261" s="636"/>
      <c r="BG261" s="636"/>
      <c r="BH261" s="636"/>
      <c r="BI261" s="636"/>
      <c r="BJ261" s="636"/>
      <c r="BK261" s="636"/>
      <c r="BL261" s="636"/>
      <c r="BM261" s="636"/>
      <c r="BN261" s="636"/>
      <c r="BO261" s="636"/>
      <c r="BP261" s="636"/>
      <c r="BQ261" s="636"/>
      <c r="BR261" s="636"/>
      <c r="BS261" s="636"/>
      <c r="BT261" s="636"/>
      <c r="BU261" s="636"/>
      <c r="BV261" s="636"/>
      <c r="BW261" s="636"/>
      <c r="BX261" s="636"/>
      <c r="BY261" s="636"/>
      <c r="BZ261" s="636"/>
      <c r="CA261" s="636"/>
      <c r="CB261" s="636"/>
      <c r="CC261" s="636"/>
      <c r="CD261" s="636"/>
      <c r="CE261" s="636"/>
      <c r="CF261" s="636"/>
      <c r="CG261" s="636"/>
      <c r="CH261" s="636"/>
      <c r="CI261" s="637"/>
      <c r="CK261" s="1363"/>
    </row>
    <row r="262" spans="1:89" s="1362" customFormat="1" x14ac:dyDescent="0.25">
      <c r="A262" s="1353"/>
      <c r="B262" s="921" t="s">
        <v>485</v>
      </c>
      <c r="C262" s="920" t="s">
        <v>486</v>
      </c>
      <c r="D262" s="922" t="s">
        <v>487</v>
      </c>
      <c r="E262" s="918" t="s">
        <v>254</v>
      </c>
      <c r="F262" s="919">
        <v>2</v>
      </c>
      <c r="G262" s="583"/>
      <c r="H262" s="583"/>
      <c r="I262" s="583">
        <f t="shared" ref="I262:BS262" si="126">SUM(I258:I261)</f>
        <v>0</v>
      </c>
      <c r="J262" s="583">
        <f t="shared" si="126"/>
        <v>0</v>
      </c>
      <c r="K262" s="583">
        <f t="shared" si="126"/>
        <v>0</v>
      </c>
      <c r="L262" s="583">
        <f t="shared" si="126"/>
        <v>0</v>
      </c>
      <c r="M262" s="588">
        <f t="shared" si="126"/>
        <v>0</v>
      </c>
      <c r="N262" s="588">
        <f t="shared" si="126"/>
        <v>0</v>
      </c>
      <c r="O262" s="588">
        <f t="shared" si="126"/>
        <v>0</v>
      </c>
      <c r="P262" s="588">
        <f t="shared" si="126"/>
        <v>0</v>
      </c>
      <c r="Q262" s="588">
        <f t="shared" si="126"/>
        <v>0</v>
      </c>
      <c r="R262" s="588">
        <f t="shared" si="126"/>
        <v>0</v>
      </c>
      <c r="S262" s="588">
        <f t="shared" si="126"/>
        <v>0</v>
      </c>
      <c r="T262" s="588">
        <f t="shared" si="126"/>
        <v>0</v>
      </c>
      <c r="U262" s="588">
        <f t="shared" si="126"/>
        <v>0</v>
      </c>
      <c r="V262" s="588">
        <f t="shared" si="126"/>
        <v>0</v>
      </c>
      <c r="W262" s="588">
        <f t="shared" si="126"/>
        <v>0</v>
      </c>
      <c r="X262" s="588">
        <f t="shared" si="126"/>
        <v>0</v>
      </c>
      <c r="Y262" s="588">
        <f t="shared" si="126"/>
        <v>0</v>
      </c>
      <c r="Z262" s="588">
        <f t="shared" si="126"/>
        <v>0</v>
      </c>
      <c r="AA262" s="588">
        <f t="shared" si="126"/>
        <v>0</v>
      </c>
      <c r="AB262" s="588">
        <f t="shared" si="126"/>
        <v>0</v>
      </c>
      <c r="AC262" s="588">
        <f t="shared" si="126"/>
        <v>0</v>
      </c>
      <c r="AD262" s="588">
        <f t="shared" si="126"/>
        <v>0</v>
      </c>
      <c r="AE262" s="588">
        <f t="shared" si="126"/>
        <v>0</v>
      </c>
      <c r="AF262" s="588">
        <f t="shared" si="126"/>
        <v>0</v>
      </c>
      <c r="AG262" s="588">
        <f t="shared" si="126"/>
        <v>0</v>
      </c>
      <c r="AH262" s="588">
        <f t="shared" si="126"/>
        <v>0</v>
      </c>
      <c r="AI262" s="588">
        <f t="shared" si="126"/>
        <v>0</v>
      </c>
      <c r="AJ262" s="588">
        <f t="shared" si="126"/>
        <v>0</v>
      </c>
      <c r="AK262" s="588">
        <f t="shared" si="126"/>
        <v>0</v>
      </c>
      <c r="AL262" s="588">
        <f t="shared" si="126"/>
        <v>0</v>
      </c>
      <c r="AM262" s="588">
        <f t="shared" si="126"/>
        <v>0</v>
      </c>
      <c r="AN262" s="588">
        <f t="shared" si="126"/>
        <v>0</v>
      </c>
      <c r="AO262" s="588">
        <f t="shared" si="126"/>
        <v>0</v>
      </c>
      <c r="AP262" s="588">
        <f t="shared" si="126"/>
        <v>0</v>
      </c>
      <c r="AQ262" s="588">
        <f t="shared" si="126"/>
        <v>0</v>
      </c>
      <c r="AR262" s="588">
        <f t="shared" si="126"/>
        <v>0</v>
      </c>
      <c r="AS262" s="588">
        <f t="shared" si="126"/>
        <v>0</v>
      </c>
      <c r="AT262" s="588">
        <f t="shared" si="126"/>
        <v>0</v>
      </c>
      <c r="AU262" s="588">
        <f t="shared" si="126"/>
        <v>0</v>
      </c>
      <c r="AV262" s="588">
        <f t="shared" si="126"/>
        <v>0</v>
      </c>
      <c r="AW262" s="588">
        <f t="shared" si="126"/>
        <v>0</v>
      </c>
      <c r="AX262" s="588">
        <f t="shared" si="126"/>
        <v>0</v>
      </c>
      <c r="AY262" s="588">
        <f t="shared" si="126"/>
        <v>0</v>
      </c>
      <c r="AZ262" s="588">
        <f t="shared" si="126"/>
        <v>0</v>
      </c>
      <c r="BA262" s="588">
        <f t="shared" si="126"/>
        <v>0</v>
      </c>
      <c r="BB262" s="588">
        <f t="shared" si="126"/>
        <v>0</v>
      </c>
      <c r="BC262" s="588">
        <f t="shared" si="126"/>
        <v>0</v>
      </c>
      <c r="BD262" s="588">
        <f t="shared" si="126"/>
        <v>0</v>
      </c>
      <c r="BE262" s="588">
        <f t="shared" si="126"/>
        <v>0</v>
      </c>
      <c r="BF262" s="588">
        <f t="shared" si="126"/>
        <v>0</v>
      </c>
      <c r="BG262" s="588">
        <f t="shared" si="126"/>
        <v>0</v>
      </c>
      <c r="BH262" s="588">
        <f t="shared" si="126"/>
        <v>0</v>
      </c>
      <c r="BI262" s="588">
        <f t="shared" si="126"/>
        <v>0</v>
      </c>
      <c r="BJ262" s="588">
        <f t="shared" si="126"/>
        <v>0</v>
      </c>
      <c r="BK262" s="588">
        <f t="shared" si="126"/>
        <v>0</v>
      </c>
      <c r="BL262" s="588">
        <f t="shared" si="126"/>
        <v>0</v>
      </c>
      <c r="BM262" s="588">
        <f t="shared" si="126"/>
        <v>0</v>
      </c>
      <c r="BN262" s="588">
        <f t="shared" si="126"/>
        <v>0</v>
      </c>
      <c r="BO262" s="588">
        <f t="shared" si="126"/>
        <v>0</v>
      </c>
      <c r="BP262" s="588">
        <f t="shared" si="126"/>
        <v>0</v>
      </c>
      <c r="BQ262" s="588">
        <f t="shared" si="126"/>
        <v>0</v>
      </c>
      <c r="BR262" s="588">
        <f t="shared" si="126"/>
        <v>0</v>
      </c>
      <c r="BS262" s="588">
        <f t="shared" si="126"/>
        <v>0</v>
      </c>
      <c r="BT262" s="588">
        <f t="shared" ref="BT262:CI262" si="127">SUM(BT258:BT261)</f>
        <v>0</v>
      </c>
      <c r="BU262" s="588">
        <f t="shared" si="127"/>
        <v>0</v>
      </c>
      <c r="BV262" s="588">
        <f t="shared" si="127"/>
        <v>0</v>
      </c>
      <c r="BW262" s="588">
        <f t="shared" si="127"/>
        <v>0</v>
      </c>
      <c r="BX262" s="588">
        <f t="shared" si="127"/>
        <v>0</v>
      </c>
      <c r="BY262" s="588">
        <f t="shared" si="127"/>
        <v>0</v>
      </c>
      <c r="BZ262" s="588">
        <f t="shared" si="127"/>
        <v>0</v>
      </c>
      <c r="CA262" s="588">
        <f t="shared" si="127"/>
        <v>0</v>
      </c>
      <c r="CB262" s="588">
        <f t="shared" si="127"/>
        <v>0</v>
      </c>
      <c r="CC262" s="588">
        <f t="shared" si="127"/>
        <v>0</v>
      </c>
      <c r="CD262" s="588">
        <f t="shared" si="127"/>
        <v>0</v>
      </c>
      <c r="CE262" s="588">
        <f t="shared" si="127"/>
        <v>0</v>
      </c>
      <c r="CF262" s="588">
        <f t="shared" si="127"/>
        <v>0</v>
      </c>
      <c r="CG262" s="588">
        <f t="shared" si="127"/>
        <v>0</v>
      </c>
      <c r="CH262" s="588">
        <f t="shared" si="127"/>
        <v>0</v>
      </c>
      <c r="CI262" s="584">
        <f t="shared" si="127"/>
        <v>0</v>
      </c>
      <c r="CK262" s="1363"/>
    </row>
    <row r="263" spans="1:89" s="1362" customFormat="1" x14ac:dyDescent="0.25">
      <c r="A263" s="1353"/>
      <c r="B263" s="921" t="s">
        <v>488</v>
      </c>
      <c r="C263" s="920" t="s">
        <v>489</v>
      </c>
      <c r="D263" s="922" t="s">
        <v>490</v>
      </c>
      <c r="E263" s="918" t="s">
        <v>491</v>
      </c>
      <c r="F263" s="919">
        <v>1</v>
      </c>
      <c r="G263" s="613"/>
      <c r="H263" s="613"/>
      <c r="I263" s="613" t="e">
        <f t="shared" ref="I263:BS263" si="128">(I261+I260)/(I247+I255)</f>
        <v>#DIV/0!</v>
      </c>
      <c r="J263" s="613" t="e">
        <f t="shared" si="128"/>
        <v>#DIV/0!</v>
      </c>
      <c r="K263" s="613" t="e">
        <f t="shared" si="128"/>
        <v>#DIV/0!</v>
      </c>
      <c r="L263" s="613" t="e">
        <f t="shared" si="128"/>
        <v>#DIV/0!</v>
      </c>
      <c r="M263" s="613" t="e">
        <f t="shared" si="128"/>
        <v>#DIV/0!</v>
      </c>
      <c r="N263" s="613" t="e">
        <f t="shared" si="128"/>
        <v>#DIV/0!</v>
      </c>
      <c r="O263" s="613" t="e">
        <f t="shared" si="128"/>
        <v>#DIV/0!</v>
      </c>
      <c r="P263" s="613" t="e">
        <f t="shared" si="128"/>
        <v>#DIV/0!</v>
      </c>
      <c r="Q263" s="613" t="e">
        <f t="shared" si="128"/>
        <v>#DIV/0!</v>
      </c>
      <c r="R263" s="613" t="e">
        <f t="shared" si="128"/>
        <v>#DIV/0!</v>
      </c>
      <c r="S263" s="613" t="e">
        <f t="shared" si="128"/>
        <v>#DIV/0!</v>
      </c>
      <c r="T263" s="613" t="e">
        <f t="shared" si="128"/>
        <v>#DIV/0!</v>
      </c>
      <c r="U263" s="613" t="e">
        <f t="shared" si="128"/>
        <v>#DIV/0!</v>
      </c>
      <c r="V263" s="613" t="e">
        <f t="shared" si="128"/>
        <v>#DIV/0!</v>
      </c>
      <c r="W263" s="613" t="e">
        <f t="shared" si="128"/>
        <v>#DIV/0!</v>
      </c>
      <c r="X263" s="613" t="e">
        <f t="shared" si="128"/>
        <v>#DIV/0!</v>
      </c>
      <c r="Y263" s="613" t="e">
        <f t="shared" si="128"/>
        <v>#DIV/0!</v>
      </c>
      <c r="Z263" s="613" t="e">
        <f t="shared" si="128"/>
        <v>#DIV/0!</v>
      </c>
      <c r="AA263" s="613" t="e">
        <f t="shared" si="128"/>
        <v>#DIV/0!</v>
      </c>
      <c r="AB263" s="613" t="e">
        <f t="shared" si="128"/>
        <v>#DIV/0!</v>
      </c>
      <c r="AC263" s="613" t="e">
        <f t="shared" si="128"/>
        <v>#DIV/0!</v>
      </c>
      <c r="AD263" s="613" t="e">
        <f t="shared" si="128"/>
        <v>#DIV/0!</v>
      </c>
      <c r="AE263" s="613" t="e">
        <f t="shared" si="128"/>
        <v>#DIV/0!</v>
      </c>
      <c r="AF263" s="613" t="e">
        <f t="shared" si="128"/>
        <v>#DIV/0!</v>
      </c>
      <c r="AG263" s="613" t="e">
        <f t="shared" si="128"/>
        <v>#DIV/0!</v>
      </c>
      <c r="AH263" s="613" t="e">
        <f t="shared" si="128"/>
        <v>#DIV/0!</v>
      </c>
      <c r="AI263" s="613" t="e">
        <f t="shared" si="128"/>
        <v>#DIV/0!</v>
      </c>
      <c r="AJ263" s="613" t="e">
        <f t="shared" si="128"/>
        <v>#DIV/0!</v>
      </c>
      <c r="AK263" s="613" t="e">
        <f t="shared" si="128"/>
        <v>#DIV/0!</v>
      </c>
      <c r="AL263" s="613" t="e">
        <f t="shared" si="128"/>
        <v>#DIV/0!</v>
      </c>
      <c r="AM263" s="613" t="e">
        <f t="shared" si="128"/>
        <v>#DIV/0!</v>
      </c>
      <c r="AN263" s="613" t="e">
        <f t="shared" si="128"/>
        <v>#DIV/0!</v>
      </c>
      <c r="AO263" s="613" t="e">
        <f t="shared" si="128"/>
        <v>#DIV/0!</v>
      </c>
      <c r="AP263" s="613" t="e">
        <f t="shared" si="128"/>
        <v>#DIV/0!</v>
      </c>
      <c r="AQ263" s="613" t="e">
        <f t="shared" si="128"/>
        <v>#DIV/0!</v>
      </c>
      <c r="AR263" s="613" t="e">
        <f t="shared" si="128"/>
        <v>#DIV/0!</v>
      </c>
      <c r="AS263" s="613" t="e">
        <f t="shared" si="128"/>
        <v>#DIV/0!</v>
      </c>
      <c r="AT263" s="613" t="e">
        <f t="shared" si="128"/>
        <v>#DIV/0!</v>
      </c>
      <c r="AU263" s="613" t="e">
        <f t="shared" si="128"/>
        <v>#DIV/0!</v>
      </c>
      <c r="AV263" s="613" t="e">
        <f t="shared" si="128"/>
        <v>#DIV/0!</v>
      </c>
      <c r="AW263" s="613" t="e">
        <f t="shared" si="128"/>
        <v>#DIV/0!</v>
      </c>
      <c r="AX263" s="613" t="e">
        <f t="shared" si="128"/>
        <v>#DIV/0!</v>
      </c>
      <c r="AY263" s="613" t="e">
        <f t="shared" si="128"/>
        <v>#DIV/0!</v>
      </c>
      <c r="AZ263" s="613" t="e">
        <f t="shared" si="128"/>
        <v>#DIV/0!</v>
      </c>
      <c r="BA263" s="613" t="e">
        <f t="shared" si="128"/>
        <v>#DIV/0!</v>
      </c>
      <c r="BB263" s="613" t="e">
        <f t="shared" si="128"/>
        <v>#DIV/0!</v>
      </c>
      <c r="BC263" s="613" t="e">
        <f t="shared" si="128"/>
        <v>#DIV/0!</v>
      </c>
      <c r="BD263" s="613" t="e">
        <f t="shared" si="128"/>
        <v>#DIV/0!</v>
      </c>
      <c r="BE263" s="613" t="e">
        <f t="shared" si="128"/>
        <v>#DIV/0!</v>
      </c>
      <c r="BF263" s="613" t="e">
        <f t="shared" si="128"/>
        <v>#DIV/0!</v>
      </c>
      <c r="BG263" s="613" t="e">
        <f t="shared" si="128"/>
        <v>#DIV/0!</v>
      </c>
      <c r="BH263" s="613" t="e">
        <f t="shared" si="128"/>
        <v>#DIV/0!</v>
      </c>
      <c r="BI263" s="613" t="e">
        <f t="shared" si="128"/>
        <v>#DIV/0!</v>
      </c>
      <c r="BJ263" s="613" t="e">
        <f t="shared" si="128"/>
        <v>#DIV/0!</v>
      </c>
      <c r="BK263" s="613" t="e">
        <f t="shared" si="128"/>
        <v>#DIV/0!</v>
      </c>
      <c r="BL263" s="613" t="e">
        <f t="shared" si="128"/>
        <v>#DIV/0!</v>
      </c>
      <c r="BM263" s="613" t="e">
        <f t="shared" si="128"/>
        <v>#DIV/0!</v>
      </c>
      <c r="BN263" s="613" t="e">
        <f t="shared" si="128"/>
        <v>#DIV/0!</v>
      </c>
      <c r="BO263" s="613" t="e">
        <f t="shared" si="128"/>
        <v>#DIV/0!</v>
      </c>
      <c r="BP263" s="613" t="e">
        <f t="shared" si="128"/>
        <v>#DIV/0!</v>
      </c>
      <c r="BQ263" s="613" t="e">
        <f t="shared" si="128"/>
        <v>#DIV/0!</v>
      </c>
      <c r="BR263" s="613" t="e">
        <f t="shared" si="128"/>
        <v>#DIV/0!</v>
      </c>
      <c r="BS263" s="613" t="e">
        <f t="shared" si="128"/>
        <v>#DIV/0!</v>
      </c>
      <c r="BT263" s="613" t="e">
        <f t="shared" ref="BT263:CI263" si="129">(BT261+BT260)/(BT247+BT255)</f>
        <v>#DIV/0!</v>
      </c>
      <c r="BU263" s="613" t="e">
        <f t="shared" si="129"/>
        <v>#DIV/0!</v>
      </c>
      <c r="BV263" s="613" t="e">
        <f t="shared" si="129"/>
        <v>#DIV/0!</v>
      </c>
      <c r="BW263" s="613" t="e">
        <f t="shared" si="129"/>
        <v>#DIV/0!</v>
      </c>
      <c r="BX263" s="613" t="e">
        <f t="shared" si="129"/>
        <v>#DIV/0!</v>
      </c>
      <c r="BY263" s="613" t="e">
        <f t="shared" si="129"/>
        <v>#DIV/0!</v>
      </c>
      <c r="BZ263" s="613" t="e">
        <f t="shared" si="129"/>
        <v>#DIV/0!</v>
      </c>
      <c r="CA263" s="613" t="e">
        <f t="shared" si="129"/>
        <v>#DIV/0!</v>
      </c>
      <c r="CB263" s="613" t="e">
        <f t="shared" si="129"/>
        <v>#DIV/0!</v>
      </c>
      <c r="CC263" s="613" t="e">
        <f t="shared" si="129"/>
        <v>#DIV/0!</v>
      </c>
      <c r="CD263" s="613" t="e">
        <f t="shared" si="129"/>
        <v>#DIV/0!</v>
      </c>
      <c r="CE263" s="613" t="e">
        <f t="shared" si="129"/>
        <v>#DIV/0!</v>
      </c>
      <c r="CF263" s="613" t="e">
        <f t="shared" si="129"/>
        <v>#DIV/0!</v>
      </c>
      <c r="CG263" s="613" t="e">
        <f t="shared" si="129"/>
        <v>#DIV/0!</v>
      </c>
      <c r="CH263" s="613" t="e">
        <f t="shared" si="129"/>
        <v>#DIV/0!</v>
      </c>
      <c r="CI263" s="613" t="e">
        <f t="shared" si="129"/>
        <v>#DIV/0!</v>
      </c>
      <c r="CK263" s="1363"/>
    </row>
    <row r="264" spans="1:89" s="1362" customFormat="1" x14ac:dyDescent="0.25">
      <c r="A264" s="1353"/>
      <c r="B264" s="921" t="s">
        <v>492</v>
      </c>
      <c r="C264" s="920" t="s">
        <v>493</v>
      </c>
      <c r="D264" s="922" t="s">
        <v>494</v>
      </c>
      <c r="E264" s="918" t="s">
        <v>285</v>
      </c>
      <c r="F264" s="919">
        <v>1</v>
      </c>
      <c r="G264" s="655"/>
      <c r="H264" s="655"/>
      <c r="I264" s="655" t="e">
        <f t="shared" ref="I264:BS264" si="130">I247/(I247+I255)</f>
        <v>#DIV/0!</v>
      </c>
      <c r="J264" s="655" t="e">
        <f t="shared" si="130"/>
        <v>#DIV/0!</v>
      </c>
      <c r="K264" s="655" t="e">
        <f t="shared" si="130"/>
        <v>#DIV/0!</v>
      </c>
      <c r="L264" s="655" t="e">
        <f t="shared" si="130"/>
        <v>#DIV/0!</v>
      </c>
      <c r="M264" s="656" t="e">
        <f t="shared" si="130"/>
        <v>#DIV/0!</v>
      </c>
      <c r="N264" s="656" t="e">
        <f t="shared" si="130"/>
        <v>#DIV/0!</v>
      </c>
      <c r="O264" s="656" t="e">
        <f t="shared" si="130"/>
        <v>#DIV/0!</v>
      </c>
      <c r="P264" s="656" t="e">
        <f t="shared" si="130"/>
        <v>#DIV/0!</v>
      </c>
      <c r="Q264" s="656" t="e">
        <f t="shared" si="130"/>
        <v>#DIV/0!</v>
      </c>
      <c r="R264" s="656" t="e">
        <f t="shared" si="130"/>
        <v>#DIV/0!</v>
      </c>
      <c r="S264" s="656" t="e">
        <f t="shared" si="130"/>
        <v>#DIV/0!</v>
      </c>
      <c r="T264" s="656" t="e">
        <f t="shared" si="130"/>
        <v>#DIV/0!</v>
      </c>
      <c r="U264" s="656" t="e">
        <f t="shared" si="130"/>
        <v>#DIV/0!</v>
      </c>
      <c r="V264" s="656" t="e">
        <f t="shared" si="130"/>
        <v>#DIV/0!</v>
      </c>
      <c r="W264" s="656" t="e">
        <f t="shared" si="130"/>
        <v>#DIV/0!</v>
      </c>
      <c r="X264" s="656" t="e">
        <f t="shared" si="130"/>
        <v>#DIV/0!</v>
      </c>
      <c r="Y264" s="656" t="e">
        <f t="shared" si="130"/>
        <v>#DIV/0!</v>
      </c>
      <c r="Z264" s="656" t="e">
        <f t="shared" si="130"/>
        <v>#DIV/0!</v>
      </c>
      <c r="AA264" s="656" t="e">
        <f t="shared" si="130"/>
        <v>#DIV/0!</v>
      </c>
      <c r="AB264" s="656" t="e">
        <f t="shared" si="130"/>
        <v>#DIV/0!</v>
      </c>
      <c r="AC264" s="656" t="e">
        <f t="shared" si="130"/>
        <v>#DIV/0!</v>
      </c>
      <c r="AD264" s="656" t="e">
        <f t="shared" si="130"/>
        <v>#DIV/0!</v>
      </c>
      <c r="AE264" s="656" t="e">
        <f t="shared" si="130"/>
        <v>#DIV/0!</v>
      </c>
      <c r="AF264" s="656" t="e">
        <f t="shared" si="130"/>
        <v>#DIV/0!</v>
      </c>
      <c r="AG264" s="656" t="e">
        <f t="shared" si="130"/>
        <v>#DIV/0!</v>
      </c>
      <c r="AH264" s="656" t="e">
        <f t="shared" si="130"/>
        <v>#DIV/0!</v>
      </c>
      <c r="AI264" s="656" t="e">
        <f t="shared" si="130"/>
        <v>#DIV/0!</v>
      </c>
      <c r="AJ264" s="656" t="e">
        <f t="shared" si="130"/>
        <v>#DIV/0!</v>
      </c>
      <c r="AK264" s="656" t="e">
        <f t="shared" si="130"/>
        <v>#DIV/0!</v>
      </c>
      <c r="AL264" s="656" t="e">
        <f t="shared" si="130"/>
        <v>#DIV/0!</v>
      </c>
      <c r="AM264" s="656" t="e">
        <f t="shared" si="130"/>
        <v>#DIV/0!</v>
      </c>
      <c r="AN264" s="656" t="e">
        <f t="shared" si="130"/>
        <v>#DIV/0!</v>
      </c>
      <c r="AO264" s="656" t="e">
        <f t="shared" si="130"/>
        <v>#DIV/0!</v>
      </c>
      <c r="AP264" s="656" t="e">
        <f t="shared" si="130"/>
        <v>#DIV/0!</v>
      </c>
      <c r="AQ264" s="656" t="e">
        <f t="shared" si="130"/>
        <v>#DIV/0!</v>
      </c>
      <c r="AR264" s="656" t="e">
        <f t="shared" si="130"/>
        <v>#DIV/0!</v>
      </c>
      <c r="AS264" s="656" t="e">
        <f t="shared" si="130"/>
        <v>#DIV/0!</v>
      </c>
      <c r="AT264" s="656" t="e">
        <f t="shared" si="130"/>
        <v>#DIV/0!</v>
      </c>
      <c r="AU264" s="656" t="e">
        <f t="shared" si="130"/>
        <v>#DIV/0!</v>
      </c>
      <c r="AV264" s="656" t="e">
        <f t="shared" si="130"/>
        <v>#DIV/0!</v>
      </c>
      <c r="AW264" s="656" t="e">
        <f t="shared" si="130"/>
        <v>#DIV/0!</v>
      </c>
      <c r="AX264" s="656" t="e">
        <f t="shared" si="130"/>
        <v>#DIV/0!</v>
      </c>
      <c r="AY264" s="656" t="e">
        <f t="shared" si="130"/>
        <v>#DIV/0!</v>
      </c>
      <c r="AZ264" s="656" t="e">
        <f t="shared" si="130"/>
        <v>#DIV/0!</v>
      </c>
      <c r="BA264" s="656" t="e">
        <f t="shared" si="130"/>
        <v>#DIV/0!</v>
      </c>
      <c r="BB264" s="656" t="e">
        <f t="shared" si="130"/>
        <v>#DIV/0!</v>
      </c>
      <c r="BC264" s="656" t="e">
        <f t="shared" si="130"/>
        <v>#DIV/0!</v>
      </c>
      <c r="BD264" s="656" t="e">
        <f t="shared" si="130"/>
        <v>#DIV/0!</v>
      </c>
      <c r="BE264" s="656" t="e">
        <f t="shared" si="130"/>
        <v>#DIV/0!</v>
      </c>
      <c r="BF264" s="656" t="e">
        <f t="shared" si="130"/>
        <v>#DIV/0!</v>
      </c>
      <c r="BG264" s="656" t="e">
        <f t="shared" si="130"/>
        <v>#DIV/0!</v>
      </c>
      <c r="BH264" s="656" t="e">
        <f t="shared" si="130"/>
        <v>#DIV/0!</v>
      </c>
      <c r="BI264" s="656" t="e">
        <f t="shared" si="130"/>
        <v>#DIV/0!</v>
      </c>
      <c r="BJ264" s="656" t="e">
        <f t="shared" si="130"/>
        <v>#DIV/0!</v>
      </c>
      <c r="BK264" s="656" t="e">
        <f t="shared" si="130"/>
        <v>#DIV/0!</v>
      </c>
      <c r="BL264" s="656" t="e">
        <f t="shared" si="130"/>
        <v>#DIV/0!</v>
      </c>
      <c r="BM264" s="656" t="e">
        <f t="shared" si="130"/>
        <v>#DIV/0!</v>
      </c>
      <c r="BN264" s="656" t="e">
        <f t="shared" si="130"/>
        <v>#DIV/0!</v>
      </c>
      <c r="BO264" s="656" t="e">
        <f t="shared" si="130"/>
        <v>#DIV/0!</v>
      </c>
      <c r="BP264" s="656" t="e">
        <f t="shared" si="130"/>
        <v>#DIV/0!</v>
      </c>
      <c r="BQ264" s="656" t="e">
        <f t="shared" si="130"/>
        <v>#DIV/0!</v>
      </c>
      <c r="BR264" s="656" t="e">
        <f t="shared" si="130"/>
        <v>#DIV/0!</v>
      </c>
      <c r="BS264" s="656" t="e">
        <f t="shared" si="130"/>
        <v>#DIV/0!</v>
      </c>
      <c r="BT264" s="656" t="e">
        <f t="shared" ref="BT264:CI264" si="131">BT247/(BT247+BT255)</f>
        <v>#DIV/0!</v>
      </c>
      <c r="BU264" s="656" t="e">
        <f t="shared" si="131"/>
        <v>#DIV/0!</v>
      </c>
      <c r="BV264" s="656" t="e">
        <f t="shared" si="131"/>
        <v>#DIV/0!</v>
      </c>
      <c r="BW264" s="656" t="e">
        <f t="shared" si="131"/>
        <v>#DIV/0!</v>
      </c>
      <c r="BX264" s="656" t="e">
        <f t="shared" si="131"/>
        <v>#DIV/0!</v>
      </c>
      <c r="BY264" s="656" t="e">
        <f t="shared" si="131"/>
        <v>#DIV/0!</v>
      </c>
      <c r="BZ264" s="656" t="e">
        <f t="shared" si="131"/>
        <v>#DIV/0!</v>
      </c>
      <c r="CA264" s="656" t="e">
        <f t="shared" si="131"/>
        <v>#DIV/0!</v>
      </c>
      <c r="CB264" s="656" t="e">
        <f t="shared" si="131"/>
        <v>#DIV/0!</v>
      </c>
      <c r="CC264" s="656" t="e">
        <f t="shared" si="131"/>
        <v>#DIV/0!</v>
      </c>
      <c r="CD264" s="656" t="e">
        <f t="shared" si="131"/>
        <v>#DIV/0!</v>
      </c>
      <c r="CE264" s="656" t="e">
        <f t="shared" si="131"/>
        <v>#DIV/0!</v>
      </c>
      <c r="CF264" s="656" t="e">
        <f t="shared" si="131"/>
        <v>#DIV/0!</v>
      </c>
      <c r="CG264" s="656" t="e">
        <f t="shared" si="131"/>
        <v>#DIV/0!</v>
      </c>
      <c r="CH264" s="656" t="e">
        <f t="shared" si="131"/>
        <v>#DIV/0!</v>
      </c>
      <c r="CI264" s="657" t="e">
        <f t="shared" si="131"/>
        <v>#DIV/0!</v>
      </c>
      <c r="CK264" s="1363"/>
    </row>
    <row r="265" spans="1:89" s="1362" customFormat="1" ht="14.4" thickBot="1" x14ac:dyDescent="0.3">
      <c r="A265" s="1353"/>
      <c r="B265" s="923" t="s">
        <v>495</v>
      </c>
      <c r="C265" s="924" t="s">
        <v>496</v>
      </c>
      <c r="D265" s="925" t="s">
        <v>497</v>
      </c>
      <c r="E265" s="926" t="s">
        <v>285</v>
      </c>
      <c r="F265" s="927">
        <v>1</v>
      </c>
      <c r="G265" s="663"/>
      <c r="H265" s="663"/>
      <c r="I265" s="663" t="e">
        <f t="shared" ref="I265:BS265" si="132">(I247)/(I247+I256+I255+I254)</f>
        <v>#DIV/0!</v>
      </c>
      <c r="J265" s="663" t="e">
        <f t="shared" si="132"/>
        <v>#DIV/0!</v>
      </c>
      <c r="K265" s="663" t="e">
        <f t="shared" si="132"/>
        <v>#DIV/0!</v>
      </c>
      <c r="L265" s="663" t="e">
        <f t="shared" si="132"/>
        <v>#DIV/0!</v>
      </c>
      <c r="M265" s="663" t="e">
        <f t="shared" si="132"/>
        <v>#DIV/0!</v>
      </c>
      <c r="N265" s="663" t="e">
        <f t="shared" si="132"/>
        <v>#DIV/0!</v>
      </c>
      <c r="O265" s="663" t="e">
        <f t="shared" si="132"/>
        <v>#DIV/0!</v>
      </c>
      <c r="P265" s="663" t="e">
        <f t="shared" si="132"/>
        <v>#DIV/0!</v>
      </c>
      <c r="Q265" s="663" t="e">
        <f t="shared" si="132"/>
        <v>#DIV/0!</v>
      </c>
      <c r="R265" s="663" t="e">
        <f t="shared" si="132"/>
        <v>#DIV/0!</v>
      </c>
      <c r="S265" s="663" t="e">
        <f t="shared" si="132"/>
        <v>#DIV/0!</v>
      </c>
      <c r="T265" s="663" t="e">
        <f t="shared" si="132"/>
        <v>#DIV/0!</v>
      </c>
      <c r="U265" s="663" t="e">
        <f t="shared" si="132"/>
        <v>#DIV/0!</v>
      </c>
      <c r="V265" s="663" t="e">
        <f t="shared" si="132"/>
        <v>#DIV/0!</v>
      </c>
      <c r="W265" s="663" t="e">
        <f t="shared" si="132"/>
        <v>#DIV/0!</v>
      </c>
      <c r="X265" s="663" t="e">
        <f t="shared" si="132"/>
        <v>#DIV/0!</v>
      </c>
      <c r="Y265" s="663" t="e">
        <f t="shared" si="132"/>
        <v>#DIV/0!</v>
      </c>
      <c r="Z265" s="663" t="e">
        <f t="shared" si="132"/>
        <v>#DIV/0!</v>
      </c>
      <c r="AA265" s="663" t="e">
        <f t="shared" si="132"/>
        <v>#DIV/0!</v>
      </c>
      <c r="AB265" s="663" t="e">
        <f t="shared" si="132"/>
        <v>#DIV/0!</v>
      </c>
      <c r="AC265" s="663" t="e">
        <f t="shared" si="132"/>
        <v>#DIV/0!</v>
      </c>
      <c r="AD265" s="663" t="e">
        <f t="shared" si="132"/>
        <v>#DIV/0!</v>
      </c>
      <c r="AE265" s="663" t="e">
        <f t="shared" si="132"/>
        <v>#DIV/0!</v>
      </c>
      <c r="AF265" s="663" t="e">
        <f t="shared" si="132"/>
        <v>#DIV/0!</v>
      </c>
      <c r="AG265" s="663" t="e">
        <f t="shared" si="132"/>
        <v>#DIV/0!</v>
      </c>
      <c r="AH265" s="663" t="e">
        <f t="shared" si="132"/>
        <v>#DIV/0!</v>
      </c>
      <c r="AI265" s="663" t="e">
        <f t="shared" si="132"/>
        <v>#DIV/0!</v>
      </c>
      <c r="AJ265" s="663" t="e">
        <f t="shared" si="132"/>
        <v>#DIV/0!</v>
      </c>
      <c r="AK265" s="663" t="e">
        <f t="shared" si="132"/>
        <v>#DIV/0!</v>
      </c>
      <c r="AL265" s="663" t="e">
        <f t="shared" si="132"/>
        <v>#DIV/0!</v>
      </c>
      <c r="AM265" s="663" t="e">
        <f t="shared" si="132"/>
        <v>#DIV/0!</v>
      </c>
      <c r="AN265" s="663" t="e">
        <f t="shared" si="132"/>
        <v>#DIV/0!</v>
      </c>
      <c r="AO265" s="663" t="e">
        <f t="shared" si="132"/>
        <v>#DIV/0!</v>
      </c>
      <c r="AP265" s="663" t="e">
        <f t="shared" si="132"/>
        <v>#DIV/0!</v>
      </c>
      <c r="AQ265" s="663" t="e">
        <f t="shared" si="132"/>
        <v>#DIV/0!</v>
      </c>
      <c r="AR265" s="663" t="e">
        <f t="shared" si="132"/>
        <v>#DIV/0!</v>
      </c>
      <c r="AS265" s="663" t="e">
        <f t="shared" si="132"/>
        <v>#DIV/0!</v>
      </c>
      <c r="AT265" s="663" t="e">
        <f t="shared" si="132"/>
        <v>#DIV/0!</v>
      </c>
      <c r="AU265" s="663" t="e">
        <f t="shared" si="132"/>
        <v>#DIV/0!</v>
      </c>
      <c r="AV265" s="663" t="e">
        <f t="shared" si="132"/>
        <v>#DIV/0!</v>
      </c>
      <c r="AW265" s="663" t="e">
        <f t="shared" si="132"/>
        <v>#DIV/0!</v>
      </c>
      <c r="AX265" s="663" t="e">
        <f t="shared" si="132"/>
        <v>#DIV/0!</v>
      </c>
      <c r="AY265" s="663" t="e">
        <f t="shared" si="132"/>
        <v>#DIV/0!</v>
      </c>
      <c r="AZ265" s="663" t="e">
        <f t="shared" si="132"/>
        <v>#DIV/0!</v>
      </c>
      <c r="BA265" s="663" t="e">
        <f t="shared" si="132"/>
        <v>#DIV/0!</v>
      </c>
      <c r="BB265" s="663" t="e">
        <f t="shared" si="132"/>
        <v>#DIV/0!</v>
      </c>
      <c r="BC265" s="663" t="e">
        <f t="shared" si="132"/>
        <v>#DIV/0!</v>
      </c>
      <c r="BD265" s="663" t="e">
        <f t="shared" si="132"/>
        <v>#DIV/0!</v>
      </c>
      <c r="BE265" s="663" t="e">
        <f t="shared" si="132"/>
        <v>#DIV/0!</v>
      </c>
      <c r="BF265" s="663" t="e">
        <f t="shared" si="132"/>
        <v>#DIV/0!</v>
      </c>
      <c r="BG265" s="663" t="e">
        <f t="shared" si="132"/>
        <v>#DIV/0!</v>
      </c>
      <c r="BH265" s="663" t="e">
        <f t="shared" si="132"/>
        <v>#DIV/0!</v>
      </c>
      <c r="BI265" s="663" t="e">
        <f t="shared" si="132"/>
        <v>#DIV/0!</v>
      </c>
      <c r="BJ265" s="663" t="e">
        <f t="shared" si="132"/>
        <v>#DIV/0!</v>
      </c>
      <c r="BK265" s="663" t="e">
        <f t="shared" si="132"/>
        <v>#DIV/0!</v>
      </c>
      <c r="BL265" s="663" t="e">
        <f t="shared" si="132"/>
        <v>#DIV/0!</v>
      </c>
      <c r="BM265" s="663" t="e">
        <f t="shared" si="132"/>
        <v>#DIV/0!</v>
      </c>
      <c r="BN265" s="663" t="e">
        <f t="shared" si="132"/>
        <v>#DIV/0!</v>
      </c>
      <c r="BO265" s="663" t="e">
        <f t="shared" si="132"/>
        <v>#DIV/0!</v>
      </c>
      <c r="BP265" s="663" t="e">
        <f t="shared" si="132"/>
        <v>#DIV/0!</v>
      </c>
      <c r="BQ265" s="663" t="e">
        <f t="shared" si="132"/>
        <v>#DIV/0!</v>
      </c>
      <c r="BR265" s="663" t="e">
        <f t="shared" si="132"/>
        <v>#DIV/0!</v>
      </c>
      <c r="BS265" s="663" t="e">
        <f t="shared" si="132"/>
        <v>#DIV/0!</v>
      </c>
      <c r="BT265" s="663" t="e">
        <f t="shared" ref="BT265:CI265" si="133">(BT247)/(BT247+BT256+BT255+BT254)</f>
        <v>#DIV/0!</v>
      </c>
      <c r="BU265" s="663" t="e">
        <f t="shared" si="133"/>
        <v>#DIV/0!</v>
      </c>
      <c r="BV265" s="663" t="e">
        <f t="shared" si="133"/>
        <v>#DIV/0!</v>
      </c>
      <c r="BW265" s="663" t="e">
        <f t="shared" si="133"/>
        <v>#DIV/0!</v>
      </c>
      <c r="BX265" s="663" t="e">
        <f t="shared" si="133"/>
        <v>#DIV/0!</v>
      </c>
      <c r="BY265" s="663" t="e">
        <f t="shared" si="133"/>
        <v>#DIV/0!</v>
      </c>
      <c r="BZ265" s="663" t="e">
        <f t="shared" si="133"/>
        <v>#DIV/0!</v>
      </c>
      <c r="CA265" s="663" t="e">
        <f t="shared" si="133"/>
        <v>#DIV/0!</v>
      </c>
      <c r="CB265" s="663" t="e">
        <f t="shared" si="133"/>
        <v>#DIV/0!</v>
      </c>
      <c r="CC265" s="663" t="e">
        <f t="shared" si="133"/>
        <v>#DIV/0!</v>
      </c>
      <c r="CD265" s="663" t="e">
        <f t="shared" si="133"/>
        <v>#DIV/0!</v>
      </c>
      <c r="CE265" s="663" t="e">
        <f t="shared" si="133"/>
        <v>#DIV/0!</v>
      </c>
      <c r="CF265" s="663" t="e">
        <f t="shared" si="133"/>
        <v>#DIV/0!</v>
      </c>
      <c r="CG265" s="663" t="e">
        <f t="shared" si="133"/>
        <v>#DIV/0!</v>
      </c>
      <c r="CH265" s="663" t="e">
        <f t="shared" si="133"/>
        <v>#DIV/0!</v>
      </c>
      <c r="CI265" s="663" t="e">
        <f t="shared" si="133"/>
        <v>#DIV/0!</v>
      </c>
      <c r="CK265" s="1363"/>
    </row>
    <row r="266" spans="1:89" s="1362" customFormat="1" ht="28.2" thickBot="1" x14ac:dyDescent="0.3">
      <c r="A266" s="1353"/>
      <c r="B266" s="928" t="s">
        <v>498</v>
      </c>
      <c r="C266" s="929" t="s">
        <v>155</v>
      </c>
      <c r="D266" s="929" t="s">
        <v>499</v>
      </c>
      <c r="E266" s="929" t="s">
        <v>146</v>
      </c>
      <c r="F266" s="930">
        <v>2</v>
      </c>
      <c r="G266" s="667"/>
      <c r="H266" s="667"/>
      <c r="I266" s="667">
        <f t="shared" ref="I266:BS266" si="134">SUM(I226:I228)+I224+I235+I240+I241+I234</f>
        <v>0</v>
      </c>
      <c r="J266" s="667">
        <f t="shared" si="134"/>
        <v>0</v>
      </c>
      <c r="K266" s="667">
        <f t="shared" si="134"/>
        <v>0</v>
      </c>
      <c r="L266" s="667">
        <f t="shared" si="134"/>
        <v>0</v>
      </c>
      <c r="M266" s="667">
        <f t="shared" si="134"/>
        <v>0</v>
      </c>
      <c r="N266" s="667">
        <f t="shared" si="134"/>
        <v>0</v>
      </c>
      <c r="O266" s="667">
        <f t="shared" si="134"/>
        <v>0</v>
      </c>
      <c r="P266" s="667">
        <f t="shared" si="134"/>
        <v>0</v>
      </c>
      <c r="Q266" s="667">
        <f t="shared" si="134"/>
        <v>0</v>
      </c>
      <c r="R266" s="667">
        <f t="shared" si="134"/>
        <v>0</v>
      </c>
      <c r="S266" s="667">
        <f t="shared" si="134"/>
        <v>0</v>
      </c>
      <c r="T266" s="667">
        <f t="shared" si="134"/>
        <v>0</v>
      </c>
      <c r="U266" s="667">
        <f t="shared" si="134"/>
        <v>0</v>
      </c>
      <c r="V266" s="667">
        <f t="shared" si="134"/>
        <v>0</v>
      </c>
      <c r="W266" s="667">
        <f t="shared" si="134"/>
        <v>0</v>
      </c>
      <c r="X266" s="667">
        <f t="shared" si="134"/>
        <v>0</v>
      </c>
      <c r="Y266" s="667">
        <f t="shared" si="134"/>
        <v>0</v>
      </c>
      <c r="Z266" s="667">
        <f t="shared" si="134"/>
        <v>0</v>
      </c>
      <c r="AA266" s="667">
        <f t="shared" si="134"/>
        <v>0</v>
      </c>
      <c r="AB266" s="667">
        <f t="shared" si="134"/>
        <v>0</v>
      </c>
      <c r="AC266" s="667">
        <f t="shared" si="134"/>
        <v>0</v>
      </c>
      <c r="AD266" s="667">
        <f t="shared" si="134"/>
        <v>0</v>
      </c>
      <c r="AE266" s="667">
        <f t="shared" si="134"/>
        <v>0</v>
      </c>
      <c r="AF266" s="667">
        <f t="shared" si="134"/>
        <v>0</v>
      </c>
      <c r="AG266" s="667">
        <f t="shared" si="134"/>
        <v>0</v>
      </c>
      <c r="AH266" s="667">
        <f t="shared" si="134"/>
        <v>0</v>
      </c>
      <c r="AI266" s="667">
        <f t="shared" si="134"/>
        <v>0</v>
      </c>
      <c r="AJ266" s="667">
        <f t="shared" si="134"/>
        <v>0</v>
      </c>
      <c r="AK266" s="667">
        <f t="shared" si="134"/>
        <v>0</v>
      </c>
      <c r="AL266" s="667">
        <f t="shared" si="134"/>
        <v>0</v>
      </c>
      <c r="AM266" s="667">
        <f t="shared" si="134"/>
        <v>0</v>
      </c>
      <c r="AN266" s="667">
        <f t="shared" si="134"/>
        <v>0</v>
      </c>
      <c r="AO266" s="667">
        <f t="shared" si="134"/>
        <v>0</v>
      </c>
      <c r="AP266" s="667">
        <f t="shared" si="134"/>
        <v>0</v>
      </c>
      <c r="AQ266" s="667">
        <f t="shared" si="134"/>
        <v>0</v>
      </c>
      <c r="AR266" s="667">
        <f t="shared" si="134"/>
        <v>0</v>
      </c>
      <c r="AS266" s="667">
        <f t="shared" si="134"/>
        <v>0</v>
      </c>
      <c r="AT266" s="667">
        <f t="shared" si="134"/>
        <v>0</v>
      </c>
      <c r="AU266" s="667">
        <f t="shared" si="134"/>
        <v>0</v>
      </c>
      <c r="AV266" s="667">
        <f t="shared" si="134"/>
        <v>0</v>
      </c>
      <c r="AW266" s="667">
        <f t="shared" si="134"/>
        <v>0</v>
      </c>
      <c r="AX266" s="667">
        <f t="shared" si="134"/>
        <v>0</v>
      </c>
      <c r="AY266" s="667">
        <f t="shared" si="134"/>
        <v>0</v>
      </c>
      <c r="AZ266" s="667">
        <f t="shared" si="134"/>
        <v>0</v>
      </c>
      <c r="BA266" s="667">
        <f t="shared" si="134"/>
        <v>0</v>
      </c>
      <c r="BB266" s="667">
        <f t="shared" si="134"/>
        <v>0</v>
      </c>
      <c r="BC266" s="667">
        <f t="shared" si="134"/>
        <v>0</v>
      </c>
      <c r="BD266" s="667">
        <f t="shared" si="134"/>
        <v>0</v>
      </c>
      <c r="BE266" s="667">
        <f t="shared" si="134"/>
        <v>0</v>
      </c>
      <c r="BF266" s="667">
        <f t="shared" si="134"/>
        <v>0</v>
      </c>
      <c r="BG266" s="667">
        <f t="shared" si="134"/>
        <v>0</v>
      </c>
      <c r="BH266" s="667">
        <f t="shared" si="134"/>
        <v>0</v>
      </c>
      <c r="BI266" s="667">
        <f t="shared" si="134"/>
        <v>0</v>
      </c>
      <c r="BJ266" s="667">
        <f t="shared" si="134"/>
        <v>0</v>
      </c>
      <c r="BK266" s="667">
        <f t="shared" si="134"/>
        <v>0</v>
      </c>
      <c r="BL266" s="667">
        <f t="shared" si="134"/>
        <v>0</v>
      </c>
      <c r="BM266" s="667">
        <f t="shared" si="134"/>
        <v>0</v>
      </c>
      <c r="BN266" s="667">
        <f t="shared" si="134"/>
        <v>0</v>
      </c>
      <c r="BO266" s="667">
        <f t="shared" si="134"/>
        <v>0</v>
      </c>
      <c r="BP266" s="667">
        <f t="shared" si="134"/>
        <v>0</v>
      </c>
      <c r="BQ266" s="667">
        <f t="shared" si="134"/>
        <v>0</v>
      </c>
      <c r="BR266" s="667">
        <f t="shared" si="134"/>
        <v>0</v>
      </c>
      <c r="BS266" s="667">
        <f t="shared" si="134"/>
        <v>0</v>
      </c>
      <c r="BT266" s="667">
        <f t="shared" ref="BT266:CI266" si="135">SUM(BT226:BT228)+BT224+BT235+BT240+BT241+BT234</f>
        <v>0</v>
      </c>
      <c r="BU266" s="667">
        <f t="shared" si="135"/>
        <v>0</v>
      </c>
      <c r="BV266" s="667">
        <f t="shared" si="135"/>
        <v>0</v>
      </c>
      <c r="BW266" s="667">
        <f t="shared" si="135"/>
        <v>0</v>
      </c>
      <c r="BX266" s="667">
        <f t="shared" si="135"/>
        <v>0</v>
      </c>
      <c r="BY266" s="667">
        <f t="shared" si="135"/>
        <v>0</v>
      </c>
      <c r="BZ266" s="667">
        <f t="shared" si="135"/>
        <v>0</v>
      </c>
      <c r="CA266" s="667">
        <f t="shared" si="135"/>
        <v>0</v>
      </c>
      <c r="CB266" s="667">
        <f t="shared" si="135"/>
        <v>0</v>
      </c>
      <c r="CC266" s="667">
        <f t="shared" si="135"/>
        <v>0</v>
      </c>
      <c r="CD266" s="667">
        <f t="shared" si="135"/>
        <v>0</v>
      </c>
      <c r="CE266" s="667">
        <f t="shared" si="135"/>
        <v>0</v>
      </c>
      <c r="CF266" s="667">
        <f t="shared" si="135"/>
        <v>0</v>
      </c>
      <c r="CG266" s="667">
        <f t="shared" si="135"/>
        <v>0</v>
      </c>
      <c r="CH266" s="667">
        <f t="shared" si="135"/>
        <v>0</v>
      </c>
      <c r="CI266" s="667">
        <f t="shared" si="135"/>
        <v>0</v>
      </c>
      <c r="CK266" s="1363"/>
    </row>
    <row r="267" spans="1:89" s="1362" customFormat="1" x14ac:dyDescent="0.25">
      <c r="A267" s="1353"/>
      <c r="B267" s="931" t="s">
        <v>500</v>
      </c>
      <c r="C267" s="932" t="s">
        <v>501</v>
      </c>
      <c r="D267" s="866" t="s">
        <v>79</v>
      </c>
      <c r="E267" s="932" t="s">
        <v>146</v>
      </c>
      <c r="F267" s="933">
        <v>2</v>
      </c>
      <c r="G267" s="671"/>
      <c r="H267" s="671"/>
      <c r="I267" s="671"/>
      <c r="J267" s="671"/>
      <c r="K267" s="671"/>
      <c r="L267" s="671"/>
      <c r="M267" s="672"/>
      <c r="N267" s="672"/>
      <c r="O267" s="672"/>
      <c r="P267" s="672"/>
      <c r="Q267" s="672"/>
      <c r="R267" s="672"/>
      <c r="S267" s="672"/>
      <c r="T267" s="672"/>
      <c r="U267" s="672"/>
      <c r="V267" s="672"/>
      <c r="W267" s="672"/>
      <c r="X267" s="672"/>
      <c r="Y267" s="672"/>
      <c r="Z267" s="672"/>
      <c r="AA267" s="672"/>
      <c r="AB267" s="672"/>
      <c r="AC267" s="672"/>
      <c r="AD267" s="672"/>
      <c r="AE267" s="672"/>
      <c r="AF267" s="672"/>
      <c r="AG267" s="672"/>
      <c r="AH267" s="672"/>
      <c r="AI267" s="672"/>
      <c r="AJ267" s="672"/>
      <c r="AK267" s="672"/>
      <c r="AL267" s="672"/>
      <c r="AM267" s="672"/>
      <c r="AN267" s="672"/>
      <c r="AO267" s="672"/>
      <c r="AP267" s="672"/>
      <c r="AQ267" s="672"/>
      <c r="AR267" s="672"/>
      <c r="AS267" s="672"/>
      <c r="AT267" s="672"/>
      <c r="AU267" s="672"/>
      <c r="AV267" s="672"/>
      <c r="AW267" s="672"/>
      <c r="AX267" s="672"/>
      <c r="AY267" s="672"/>
      <c r="AZ267" s="672"/>
      <c r="BA267" s="672"/>
      <c r="BB267" s="672"/>
      <c r="BC267" s="672"/>
      <c r="BD267" s="672"/>
      <c r="BE267" s="672"/>
      <c r="BF267" s="672"/>
      <c r="BG267" s="672"/>
      <c r="BH267" s="672"/>
      <c r="BI267" s="672"/>
      <c r="BJ267" s="672"/>
      <c r="BK267" s="672"/>
      <c r="BL267" s="672"/>
      <c r="BM267" s="672"/>
      <c r="BN267" s="672"/>
      <c r="BO267" s="672"/>
      <c r="BP267" s="672"/>
      <c r="BQ267" s="672"/>
      <c r="BR267" s="672"/>
      <c r="BS267" s="672"/>
      <c r="BT267" s="672"/>
      <c r="BU267" s="672"/>
      <c r="BV267" s="672"/>
      <c r="BW267" s="672"/>
      <c r="BX267" s="672"/>
      <c r="BY267" s="672"/>
      <c r="BZ267" s="672"/>
      <c r="CA267" s="672"/>
      <c r="CB267" s="672"/>
      <c r="CC267" s="672"/>
      <c r="CD267" s="672"/>
      <c r="CE267" s="672"/>
      <c r="CF267" s="672"/>
      <c r="CG267" s="672"/>
      <c r="CH267" s="672"/>
      <c r="CI267" s="673"/>
    </row>
    <row r="268" spans="1:89" s="1362" customFormat="1" x14ac:dyDescent="0.25">
      <c r="A268" s="1353"/>
      <c r="B268" s="934" t="s">
        <v>502</v>
      </c>
      <c r="C268" s="935" t="s">
        <v>503</v>
      </c>
      <c r="D268" s="871" t="s">
        <v>79</v>
      </c>
      <c r="E268" s="935" t="s">
        <v>146</v>
      </c>
      <c r="F268" s="936">
        <v>2</v>
      </c>
      <c r="G268" s="677"/>
      <c r="H268" s="677"/>
      <c r="I268" s="677"/>
      <c r="J268" s="677"/>
      <c r="K268" s="677"/>
      <c r="L268" s="677"/>
      <c r="M268" s="678"/>
      <c r="N268" s="678"/>
      <c r="O268" s="678"/>
      <c r="P268" s="678"/>
      <c r="Q268" s="678"/>
      <c r="R268" s="678"/>
      <c r="S268" s="678"/>
      <c r="T268" s="678"/>
      <c r="U268" s="678"/>
      <c r="V268" s="678"/>
      <c r="W268" s="678"/>
      <c r="X268" s="678"/>
      <c r="Y268" s="678"/>
      <c r="Z268" s="678"/>
      <c r="AA268" s="678"/>
      <c r="AB268" s="678"/>
      <c r="AC268" s="678"/>
      <c r="AD268" s="678"/>
      <c r="AE268" s="678"/>
      <c r="AF268" s="678"/>
      <c r="AG268" s="678"/>
      <c r="AH268" s="678"/>
      <c r="AI268" s="678"/>
      <c r="AJ268" s="678"/>
      <c r="AK268" s="678"/>
      <c r="AL268" s="678"/>
      <c r="AM268" s="678"/>
      <c r="AN268" s="678"/>
      <c r="AO268" s="678"/>
      <c r="AP268" s="678"/>
      <c r="AQ268" s="678"/>
      <c r="AR268" s="678"/>
      <c r="AS268" s="678"/>
      <c r="AT268" s="678"/>
      <c r="AU268" s="678"/>
      <c r="AV268" s="678"/>
      <c r="AW268" s="678"/>
      <c r="AX268" s="678"/>
      <c r="AY268" s="678"/>
      <c r="AZ268" s="678"/>
      <c r="BA268" s="678"/>
      <c r="BB268" s="678"/>
      <c r="BC268" s="678"/>
      <c r="BD268" s="678"/>
      <c r="BE268" s="678"/>
      <c r="BF268" s="678"/>
      <c r="BG268" s="678"/>
      <c r="BH268" s="678"/>
      <c r="BI268" s="678"/>
      <c r="BJ268" s="678"/>
      <c r="BK268" s="678"/>
      <c r="BL268" s="678"/>
      <c r="BM268" s="678"/>
      <c r="BN268" s="678"/>
      <c r="BO268" s="678"/>
      <c r="BP268" s="678"/>
      <c r="BQ268" s="678"/>
      <c r="BR268" s="678"/>
      <c r="BS268" s="678"/>
      <c r="BT268" s="678"/>
      <c r="BU268" s="678"/>
      <c r="BV268" s="678"/>
      <c r="BW268" s="678"/>
      <c r="BX268" s="678"/>
      <c r="BY268" s="678"/>
      <c r="BZ268" s="678"/>
      <c r="CA268" s="678"/>
      <c r="CB268" s="678"/>
      <c r="CC268" s="678"/>
      <c r="CD268" s="678"/>
      <c r="CE268" s="678"/>
      <c r="CF268" s="678"/>
      <c r="CG268" s="678"/>
      <c r="CH268" s="678"/>
      <c r="CI268" s="679"/>
    </row>
    <row r="269" spans="1:89" s="1362" customFormat="1" x14ac:dyDescent="0.25">
      <c r="A269" s="1353"/>
      <c r="B269" s="934" t="s">
        <v>504</v>
      </c>
      <c r="C269" s="935" t="s">
        <v>294</v>
      </c>
      <c r="D269" s="871" t="s">
        <v>505</v>
      </c>
      <c r="E269" s="935" t="s">
        <v>146</v>
      </c>
      <c r="F269" s="936">
        <v>2</v>
      </c>
      <c r="G269" s="680"/>
      <c r="H269" s="680"/>
      <c r="I269" s="680">
        <f t="shared" ref="I269:BS269" si="136">I267+I268</f>
        <v>0</v>
      </c>
      <c r="J269" s="680">
        <f t="shared" si="136"/>
        <v>0</v>
      </c>
      <c r="K269" s="680">
        <f t="shared" si="136"/>
        <v>0</v>
      </c>
      <c r="L269" s="680">
        <f t="shared" si="136"/>
        <v>0</v>
      </c>
      <c r="M269" s="681">
        <f t="shared" si="136"/>
        <v>0</v>
      </c>
      <c r="N269" s="681">
        <f t="shared" si="136"/>
        <v>0</v>
      </c>
      <c r="O269" s="681">
        <f t="shared" si="136"/>
        <v>0</v>
      </c>
      <c r="P269" s="681">
        <f t="shared" si="136"/>
        <v>0</v>
      </c>
      <c r="Q269" s="681">
        <f t="shared" si="136"/>
        <v>0</v>
      </c>
      <c r="R269" s="681">
        <f t="shared" si="136"/>
        <v>0</v>
      </c>
      <c r="S269" s="681">
        <f t="shared" si="136"/>
        <v>0</v>
      </c>
      <c r="T269" s="681">
        <f t="shared" si="136"/>
        <v>0</v>
      </c>
      <c r="U269" s="681">
        <f t="shared" si="136"/>
        <v>0</v>
      </c>
      <c r="V269" s="681">
        <f t="shared" si="136"/>
        <v>0</v>
      </c>
      <c r="W269" s="681">
        <f t="shared" si="136"/>
        <v>0</v>
      </c>
      <c r="X269" s="681">
        <f t="shared" si="136"/>
        <v>0</v>
      </c>
      <c r="Y269" s="681">
        <f t="shared" si="136"/>
        <v>0</v>
      </c>
      <c r="Z269" s="681">
        <f t="shared" si="136"/>
        <v>0</v>
      </c>
      <c r="AA269" s="681">
        <f t="shared" si="136"/>
        <v>0</v>
      </c>
      <c r="AB269" s="681">
        <f t="shared" si="136"/>
        <v>0</v>
      </c>
      <c r="AC269" s="681">
        <f t="shared" si="136"/>
        <v>0</v>
      </c>
      <c r="AD269" s="681">
        <f t="shared" si="136"/>
        <v>0</v>
      </c>
      <c r="AE269" s="681">
        <f t="shared" si="136"/>
        <v>0</v>
      </c>
      <c r="AF269" s="681">
        <f t="shared" si="136"/>
        <v>0</v>
      </c>
      <c r="AG269" s="681">
        <f t="shared" si="136"/>
        <v>0</v>
      </c>
      <c r="AH269" s="681">
        <f t="shared" si="136"/>
        <v>0</v>
      </c>
      <c r="AI269" s="681">
        <f t="shared" si="136"/>
        <v>0</v>
      </c>
      <c r="AJ269" s="681">
        <f t="shared" si="136"/>
        <v>0</v>
      </c>
      <c r="AK269" s="681">
        <f t="shared" si="136"/>
        <v>0</v>
      </c>
      <c r="AL269" s="681">
        <f t="shared" si="136"/>
        <v>0</v>
      </c>
      <c r="AM269" s="681">
        <f t="shared" si="136"/>
        <v>0</v>
      </c>
      <c r="AN269" s="681">
        <f t="shared" si="136"/>
        <v>0</v>
      </c>
      <c r="AO269" s="681">
        <f t="shared" si="136"/>
        <v>0</v>
      </c>
      <c r="AP269" s="681">
        <f t="shared" si="136"/>
        <v>0</v>
      </c>
      <c r="AQ269" s="681">
        <f t="shared" si="136"/>
        <v>0</v>
      </c>
      <c r="AR269" s="681">
        <f t="shared" si="136"/>
        <v>0</v>
      </c>
      <c r="AS269" s="681">
        <f t="shared" si="136"/>
        <v>0</v>
      </c>
      <c r="AT269" s="681">
        <f t="shared" si="136"/>
        <v>0</v>
      </c>
      <c r="AU269" s="681">
        <f t="shared" si="136"/>
        <v>0</v>
      </c>
      <c r="AV269" s="681">
        <f t="shared" si="136"/>
        <v>0</v>
      </c>
      <c r="AW269" s="681">
        <f t="shared" si="136"/>
        <v>0</v>
      </c>
      <c r="AX269" s="681">
        <f t="shared" si="136"/>
        <v>0</v>
      </c>
      <c r="AY269" s="681">
        <f t="shared" si="136"/>
        <v>0</v>
      </c>
      <c r="AZ269" s="681">
        <f t="shared" si="136"/>
        <v>0</v>
      </c>
      <c r="BA269" s="681">
        <f t="shared" si="136"/>
        <v>0</v>
      </c>
      <c r="BB269" s="681">
        <f t="shared" si="136"/>
        <v>0</v>
      </c>
      <c r="BC269" s="681">
        <f t="shared" si="136"/>
        <v>0</v>
      </c>
      <c r="BD269" s="681">
        <f t="shared" si="136"/>
        <v>0</v>
      </c>
      <c r="BE269" s="681">
        <f t="shared" si="136"/>
        <v>0</v>
      </c>
      <c r="BF269" s="681">
        <f t="shared" si="136"/>
        <v>0</v>
      </c>
      <c r="BG269" s="681">
        <f t="shared" si="136"/>
        <v>0</v>
      </c>
      <c r="BH269" s="681">
        <f t="shared" si="136"/>
        <v>0</v>
      </c>
      <c r="BI269" s="681">
        <f t="shared" si="136"/>
        <v>0</v>
      </c>
      <c r="BJ269" s="681">
        <f t="shared" si="136"/>
        <v>0</v>
      </c>
      <c r="BK269" s="681">
        <f t="shared" si="136"/>
        <v>0</v>
      </c>
      <c r="BL269" s="681">
        <f t="shared" si="136"/>
        <v>0</v>
      </c>
      <c r="BM269" s="681">
        <f t="shared" si="136"/>
        <v>0</v>
      </c>
      <c r="BN269" s="681">
        <f t="shared" si="136"/>
        <v>0</v>
      </c>
      <c r="BO269" s="681">
        <f t="shared" si="136"/>
        <v>0</v>
      </c>
      <c r="BP269" s="681">
        <f t="shared" si="136"/>
        <v>0</v>
      </c>
      <c r="BQ269" s="681">
        <f t="shared" si="136"/>
        <v>0</v>
      </c>
      <c r="BR269" s="681">
        <f t="shared" si="136"/>
        <v>0</v>
      </c>
      <c r="BS269" s="681">
        <f t="shared" si="136"/>
        <v>0</v>
      </c>
      <c r="BT269" s="681">
        <f t="shared" ref="BT269:CI269" si="137">BT267+BT268</f>
        <v>0</v>
      </c>
      <c r="BU269" s="681">
        <f t="shared" si="137"/>
        <v>0</v>
      </c>
      <c r="BV269" s="681">
        <f t="shared" si="137"/>
        <v>0</v>
      </c>
      <c r="BW269" s="681">
        <f t="shared" si="137"/>
        <v>0</v>
      </c>
      <c r="BX269" s="681">
        <f t="shared" si="137"/>
        <v>0</v>
      </c>
      <c r="BY269" s="681">
        <f t="shared" si="137"/>
        <v>0</v>
      </c>
      <c r="BZ269" s="681">
        <f t="shared" si="137"/>
        <v>0</v>
      </c>
      <c r="CA269" s="681">
        <f t="shared" si="137"/>
        <v>0</v>
      </c>
      <c r="CB269" s="681">
        <f t="shared" si="137"/>
        <v>0</v>
      </c>
      <c r="CC269" s="681">
        <f t="shared" si="137"/>
        <v>0</v>
      </c>
      <c r="CD269" s="681">
        <f t="shared" si="137"/>
        <v>0</v>
      </c>
      <c r="CE269" s="681">
        <f t="shared" si="137"/>
        <v>0</v>
      </c>
      <c r="CF269" s="681">
        <f t="shared" si="137"/>
        <v>0</v>
      </c>
      <c r="CG269" s="681">
        <f t="shared" si="137"/>
        <v>0</v>
      </c>
      <c r="CH269" s="681">
        <f t="shared" si="137"/>
        <v>0</v>
      </c>
      <c r="CI269" s="682">
        <f t="shared" si="137"/>
        <v>0</v>
      </c>
    </row>
    <row r="270" spans="1:89" s="1362" customFormat="1" x14ac:dyDescent="0.25">
      <c r="A270" s="1353"/>
      <c r="B270" s="1110" t="s">
        <v>506</v>
      </c>
      <c r="C270" s="1111" t="s">
        <v>507</v>
      </c>
      <c r="D270" s="1112" t="s">
        <v>508</v>
      </c>
      <c r="E270" s="1111" t="s">
        <v>146</v>
      </c>
      <c r="F270" s="1113">
        <v>2</v>
      </c>
      <c r="G270" s="1119"/>
      <c r="H270" s="680"/>
      <c r="I270" s="680">
        <f t="shared" ref="I270:BS270" si="138">I223-I266</f>
        <v>0</v>
      </c>
      <c r="J270" s="680">
        <f t="shared" si="138"/>
        <v>0</v>
      </c>
      <c r="K270" s="680">
        <f t="shared" si="138"/>
        <v>0</v>
      </c>
      <c r="L270" s="680">
        <f t="shared" si="138"/>
        <v>0</v>
      </c>
      <c r="M270" s="681">
        <f t="shared" si="138"/>
        <v>0</v>
      </c>
      <c r="N270" s="681">
        <f t="shared" si="138"/>
        <v>0</v>
      </c>
      <c r="O270" s="681">
        <f t="shared" si="138"/>
        <v>0</v>
      </c>
      <c r="P270" s="681">
        <f t="shared" si="138"/>
        <v>0</v>
      </c>
      <c r="Q270" s="681">
        <f t="shared" si="138"/>
        <v>0</v>
      </c>
      <c r="R270" s="681">
        <f t="shared" si="138"/>
        <v>0</v>
      </c>
      <c r="S270" s="681">
        <f t="shared" si="138"/>
        <v>0</v>
      </c>
      <c r="T270" s="681">
        <f t="shared" si="138"/>
        <v>0</v>
      </c>
      <c r="U270" s="681">
        <f t="shared" si="138"/>
        <v>0</v>
      </c>
      <c r="V270" s="681">
        <f t="shared" si="138"/>
        <v>0</v>
      </c>
      <c r="W270" s="681">
        <f t="shared" si="138"/>
        <v>0</v>
      </c>
      <c r="X270" s="681">
        <f t="shared" si="138"/>
        <v>0</v>
      </c>
      <c r="Y270" s="681">
        <f t="shared" si="138"/>
        <v>0</v>
      </c>
      <c r="Z270" s="681">
        <f t="shared" si="138"/>
        <v>0</v>
      </c>
      <c r="AA270" s="681">
        <f t="shared" si="138"/>
        <v>0</v>
      </c>
      <c r="AB270" s="681">
        <f t="shared" si="138"/>
        <v>0</v>
      </c>
      <c r="AC270" s="681">
        <f t="shared" si="138"/>
        <v>0</v>
      </c>
      <c r="AD270" s="681">
        <f t="shared" si="138"/>
        <v>0</v>
      </c>
      <c r="AE270" s="681">
        <f t="shared" si="138"/>
        <v>0</v>
      </c>
      <c r="AF270" s="681">
        <f t="shared" si="138"/>
        <v>0</v>
      </c>
      <c r="AG270" s="681">
        <f t="shared" si="138"/>
        <v>0</v>
      </c>
      <c r="AH270" s="681">
        <f t="shared" si="138"/>
        <v>0</v>
      </c>
      <c r="AI270" s="681">
        <f t="shared" si="138"/>
        <v>0</v>
      </c>
      <c r="AJ270" s="681">
        <f t="shared" si="138"/>
        <v>0</v>
      </c>
      <c r="AK270" s="681">
        <f t="shared" si="138"/>
        <v>0</v>
      </c>
      <c r="AL270" s="681">
        <f t="shared" si="138"/>
        <v>0</v>
      </c>
      <c r="AM270" s="681">
        <f t="shared" si="138"/>
        <v>0</v>
      </c>
      <c r="AN270" s="681">
        <f t="shared" si="138"/>
        <v>0</v>
      </c>
      <c r="AO270" s="681">
        <f t="shared" si="138"/>
        <v>0</v>
      </c>
      <c r="AP270" s="681">
        <f t="shared" si="138"/>
        <v>0</v>
      </c>
      <c r="AQ270" s="681">
        <f t="shared" si="138"/>
        <v>0</v>
      </c>
      <c r="AR270" s="681">
        <f t="shared" si="138"/>
        <v>0</v>
      </c>
      <c r="AS270" s="681">
        <f t="shared" si="138"/>
        <v>0</v>
      </c>
      <c r="AT270" s="681">
        <f t="shared" si="138"/>
        <v>0</v>
      </c>
      <c r="AU270" s="681">
        <f t="shared" si="138"/>
        <v>0</v>
      </c>
      <c r="AV270" s="681">
        <f t="shared" si="138"/>
        <v>0</v>
      </c>
      <c r="AW270" s="681">
        <f t="shared" si="138"/>
        <v>0</v>
      </c>
      <c r="AX270" s="681">
        <f t="shared" si="138"/>
        <v>0</v>
      </c>
      <c r="AY270" s="681">
        <f t="shared" si="138"/>
        <v>0</v>
      </c>
      <c r="AZ270" s="681">
        <f t="shared" si="138"/>
        <v>0</v>
      </c>
      <c r="BA270" s="681">
        <f t="shared" si="138"/>
        <v>0</v>
      </c>
      <c r="BB270" s="681">
        <f t="shared" si="138"/>
        <v>0</v>
      </c>
      <c r="BC270" s="681">
        <f t="shared" si="138"/>
        <v>0</v>
      </c>
      <c r="BD270" s="681">
        <f t="shared" si="138"/>
        <v>0</v>
      </c>
      <c r="BE270" s="681">
        <f t="shared" si="138"/>
        <v>0</v>
      </c>
      <c r="BF270" s="681">
        <f t="shared" si="138"/>
        <v>0</v>
      </c>
      <c r="BG270" s="681">
        <f t="shared" si="138"/>
        <v>0</v>
      </c>
      <c r="BH270" s="681">
        <f t="shared" si="138"/>
        <v>0</v>
      </c>
      <c r="BI270" s="681">
        <f t="shared" si="138"/>
        <v>0</v>
      </c>
      <c r="BJ270" s="681">
        <f t="shared" si="138"/>
        <v>0</v>
      </c>
      <c r="BK270" s="681">
        <f t="shared" si="138"/>
        <v>0</v>
      </c>
      <c r="BL270" s="681">
        <f t="shared" si="138"/>
        <v>0</v>
      </c>
      <c r="BM270" s="681">
        <f t="shared" si="138"/>
        <v>0</v>
      </c>
      <c r="BN270" s="681">
        <f t="shared" si="138"/>
        <v>0</v>
      </c>
      <c r="BO270" s="681">
        <f t="shared" si="138"/>
        <v>0</v>
      </c>
      <c r="BP270" s="681">
        <f t="shared" si="138"/>
        <v>0</v>
      </c>
      <c r="BQ270" s="681">
        <f t="shared" si="138"/>
        <v>0</v>
      </c>
      <c r="BR270" s="681">
        <f t="shared" si="138"/>
        <v>0</v>
      </c>
      <c r="BS270" s="681">
        <f t="shared" si="138"/>
        <v>0</v>
      </c>
      <c r="BT270" s="681">
        <f t="shared" ref="BT270:CI270" si="139">BT223-BT266</f>
        <v>0</v>
      </c>
      <c r="BU270" s="681">
        <f t="shared" si="139"/>
        <v>0</v>
      </c>
      <c r="BV270" s="681">
        <f t="shared" si="139"/>
        <v>0</v>
      </c>
      <c r="BW270" s="681">
        <f t="shared" si="139"/>
        <v>0</v>
      </c>
      <c r="BX270" s="681">
        <f t="shared" si="139"/>
        <v>0</v>
      </c>
      <c r="BY270" s="681">
        <f t="shared" si="139"/>
        <v>0</v>
      </c>
      <c r="BZ270" s="681">
        <f t="shared" si="139"/>
        <v>0</v>
      </c>
      <c r="CA270" s="681">
        <f t="shared" si="139"/>
        <v>0</v>
      </c>
      <c r="CB270" s="681">
        <f t="shared" si="139"/>
        <v>0</v>
      </c>
      <c r="CC270" s="681">
        <f t="shared" si="139"/>
        <v>0</v>
      </c>
      <c r="CD270" s="681">
        <f t="shared" si="139"/>
        <v>0</v>
      </c>
      <c r="CE270" s="681">
        <f t="shared" si="139"/>
        <v>0</v>
      </c>
      <c r="CF270" s="681">
        <f t="shared" si="139"/>
        <v>0</v>
      </c>
      <c r="CG270" s="681">
        <f t="shared" si="139"/>
        <v>0</v>
      </c>
      <c r="CH270" s="681">
        <f t="shared" si="139"/>
        <v>0</v>
      </c>
      <c r="CI270" s="682">
        <f t="shared" si="139"/>
        <v>0</v>
      </c>
    </row>
    <row r="271" spans="1:89" s="1362" customFormat="1" ht="14.4" thickBot="1" x14ac:dyDescent="0.3">
      <c r="A271" s="1353"/>
      <c r="B271" s="1110" t="s">
        <v>509</v>
      </c>
      <c r="C271" s="1111" t="s">
        <v>510</v>
      </c>
      <c r="D271" s="1112" t="s">
        <v>511</v>
      </c>
      <c r="E271" s="1111" t="s">
        <v>146</v>
      </c>
      <c r="F271" s="1113">
        <v>2</v>
      </c>
      <c r="G271" s="1120"/>
      <c r="H271" s="1121"/>
      <c r="I271" s="1121">
        <f t="shared" ref="I271:BS271" si="140">I206-I225</f>
        <v>0</v>
      </c>
      <c r="J271" s="1121">
        <f t="shared" si="140"/>
        <v>0</v>
      </c>
      <c r="K271" s="1121">
        <f t="shared" si="140"/>
        <v>0</v>
      </c>
      <c r="L271" s="1121">
        <f t="shared" si="140"/>
        <v>0</v>
      </c>
      <c r="M271" s="1121">
        <f t="shared" si="140"/>
        <v>0</v>
      </c>
      <c r="N271" s="1121">
        <f t="shared" si="140"/>
        <v>0</v>
      </c>
      <c r="O271" s="1121">
        <f t="shared" si="140"/>
        <v>0</v>
      </c>
      <c r="P271" s="1121">
        <f t="shared" si="140"/>
        <v>0</v>
      </c>
      <c r="Q271" s="1121">
        <f t="shared" si="140"/>
        <v>0</v>
      </c>
      <c r="R271" s="1121">
        <f t="shared" si="140"/>
        <v>0</v>
      </c>
      <c r="S271" s="1121">
        <f t="shared" si="140"/>
        <v>0</v>
      </c>
      <c r="T271" s="1121">
        <f t="shared" si="140"/>
        <v>0</v>
      </c>
      <c r="U271" s="1121">
        <f t="shared" si="140"/>
        <v>0</v>
      </c>
      <c r="V271" s="1121">
        <f t="shared" si="140"/>
        <v>0</v>
      </c>
      <c r="W271" s="1121">
        <f t="shared" si="140"/>
        <v>0</v>
      </c>
      <c r="X271" s="1121">
        <f t="shared" si="140"/>
        <v>0</v>
      </c>
      <c r="Y271" s="1121">
        <f t="shared" si="140"/>
        <v>0</v>
      </c>
      <c r="Z271" s="1121">
        <f t="shared" si="140"/>
        <v>0</v>
      </c>
      <c r="AA271" s="1121">
        <f t="shared" si="140"/>
        <v>0</v>
      </c>
      <c r="AB271" s="1121">
        <f t="shared" si="140"/>
        <v>0</v>
      </c>
      <c r="AC271" s="1121">
        <f t="shared" si="140"/>
        <v>0</v>
      </c>
      <c r="AD271" s="1121">
        <f t="shared" si="140"/>
        <v>0</v>
      </c>
      <c r="AE271" s="1121">
        <f t="shared" si="140"/>
        <v>0</v>
      </c>
      <c r="AF271" s="1121">
        <f t="shared" si="140"/>
        <v>0</v>
      </c>
      <c r="AG271" s="1121">
        <f t="shared" si="140"/>
        <v>0</v>
      </c>
      <c r="AH271" s="1121">
        <f t="shared" si="140"/>
        <v>0</v>
      </c>
      <c r="AI271" s="1121">
        <f t="shared" si="140"/>
        <v>0</v>
      </c>
      <c r="AJ271" s="1121">
        <f t="shared" si="140"/>
        <v>0</v>
      </c>
      <c r="AK271" s="1121">
        <f t="shared" si="140"/>
        <v>0</v>
      </c>
      <c r="AL271" s="1121">
        <f t="shared" si="140"/>
        <v>0</v>
      </c>
      <c r="AM271" s="1121">
        <f t="shared" si="140"/>
        <v>0</v>
      </c>
      <c r="AN271" s="1121">
        <f t="shared" si="140"/>
        <v>0</v>
      </c>
      <c r="AO271" s="1121">
        <f t="shared" si="140"/>
        <v>0</v>
      </c>
      <c r="AP271" s="1121">
        <f t="shared" si="140"/>
        <v>0</v>
      </c>
      <c r="AQ271" s="1121">
        <f t="shared" si="140"/>
        <v>0</v>
      </c>
      <c r="AR271" s="1121">
        <f t="shared" si="140"/>
        <v>0</v>
      </c>
      <c r="AS271" s="1121">
        <f t="shared" si="140"/>
        <v>0</v>
      </c>
      <c r="AT271" s="1121">
        <f t="shared" si="140"/>
        <v>0</v>
      </c>
      <c r="AU271" s="1121">
        <f t="shared" si="140"/>
        <v>0</v>
      </c>
      <c r="AV271" s="1121">
        <f t="shared" si="140"/>
        <v>0</v>
      </c>
      <c r="AW271" s="1121">
        <f t="shared" si="140"/>
        <v>0</v>
      </c>
      <c r="AX271" s="1121">
        <f t="shared" si="140"/>
        <v>0</v>
      </c>
      <c r="AY271" s="1121">
        <f t="shared" si="140"/>
        <v>0</v>
      </c>
      <c r="AZ271" s="1121">
        <f t="shared" si="140"/>
        <v>0</v>
      </c>
      <c r="BA271" s="1121">
        <f t="shared" si="140"/>
        <v>0</v>
      </c>
      <c r="BB271" s="1121">
        <f t="shared" si="140"/>
        <v>0</v>
      </c>
      <c r="BC271" s="1121">
        <f t="shared" si="140"/>
        <v>0</v>
      </c>
      <c r="BD271" s="1121">
        <f t="shared" si="140"/>
        <v>0</v>
      </c>
      <c r="BE271" s="1121">
        <f t="shared" si="140"/>
        <v>0</v>
      </c>
      <c r="BF271" s="1121">
        <f t="shared" si="140"/>
        <v>0</v>
      </c>
      <c r="BG271" s="1121">
        <f t="shared" si="140"/>
        <v>0</v>
      </c>
      <c r="BH271" s="1121">
        <f t="shared" si="140"/>
        <v>0</v>
      </c>
      <c r="BI271" s="1121">
        <f t="shared" si="140"/>
        <v>0</v>
      </c>
      <c r="BJ271" s="1121">
        <f t="shared" si="140"/>
        <v>0</v>
      </c>
      <c r="BK271" s="1121">
        <f t="shared" si="140"/>
        <v>0</v>
      </c>
      <c r="BL271" s="1121">
        <f t="shared" si="140"/>
        <v>0</v>
      </c>
      <c r="BM271" s="1121">
        <f t="shared" si="140"/>
        <v>0</v>
      </c>
      <c r="BN271" s="1121">
        <f t="shared" si="140"/>
        <v>0</v>
      </c>
      <c r="BO271" s="1121">
        <f t="shared" si="140"/>
        <v>0</v>
      </c>
      <c r="BP271" s="1121">
        <f t="shared" si="140"/>
        <v>0</v>
      </c>
      <c r="BQ271" s="1121">
        <f t="shared" si="140"/>
        <v>0</v>
      </c>
      <c r="BR271" s="1121">
        <f t="shared" si="140"/>
        <v>0</v>
      </c>
      <c r="BS271" s="1121">
        <f t="shared" si="140"/>
        <v>0</v>
      </c>
      <c r="BT271" s="1121">
        <f t="shared" ref="BT271:CI271" si="141">BT206-BT225</f>
        <v>0</v>
      </c>
      <c r="BU271" s="1121">
        <f t="shared" si="141"/>
        <v>0</v>
      </c>
      <c r="BV271" s="1121">
        <f t="shared" si="141"/>
        <v>0</v>
      </c>
      <c r="BW271" s="1121">
        <f t="shared" si="141"/>
        <v>0</v>
      </c>
      <c r="BX271" s="1121">
        <f t="shared" si="141"/>
        <v>0</v>
      </c>
      <c r="BY271" s="1121">
        <f t="shared" si="141"/>
        <v>0</v>
      </c>
      <c r="BZ271" s="1121">
        <f t="shared" si="141"/>
        <v>0</v>
      </c>
      <c r="CA271" s="1121">
        <f t="shared" si="141"/>
        <v>0</v>
      </c>
      <c r="CB271" s="1121">
        <f t="shared" si="141"/>
        <v>0</v>
      </c>
      <c r="CC271" s="1121">
        <f t="shared" si="141"/>
        <v>0</v>
      </c>
      <c r="CD271" s="1121">
        <f t="shared" si="141"/>
        <v>0</v>
      </c>
      <c r="CE271" s="1121">
        <f t="shared" si="141"/>
        <v>0</v>
      </c>
      <c r="CF271" s="1121">
        <f t="shared" si="141"/>
        <v>0</v>
      </c>
      <c r="CG271" s="1121">
        <f t="shared" si="141"/>
        <v>0</v>
      </c>
      <c r="CH271" s="1121">
        <f t="shared" si="141"/>
        <v>0</v>
      </c>
      <c r="CI271" s="1121">
        <f t="shared" si="141"/>
        <v>0</v>
      </c>
    </row>
    <row r="272" spans="1:89" s="1362" customFormat="1" ht="14.4" thickBot="1" x14ac:dyDescent="0.3">
      <c r="A272" s="1353"/>
      <c r="B272" s="937" t="s">
        <v>512</v>
      </c>
      <c r="C272" s="938" t="s">
        <v>303</v>
      </c>
      <c r="D272" s="939" t="s">
        <v>692</v>
      </c>
      <c r="E272" s="938" t="s">
        <v>146</v>
      </c>
      <c r="F272" s="940">
        <v>2</v>
      </c>
      <c r="G272" s="690"/>
      <c r="H272" s="690"/>
      <c r="I272" s="690">
        <f t="shared" ref="I272:BS272" si="142">I270-I269</f>
        <v>0</v>
      </c>
      <c r="J272" s="690">
        <f t="shared" si="142"/>
        <v>0</v>
      </c>
      <c r="K272" s="690">
        <f t="shared" si="142"/>
        <v>0</v>
      </c>
      <c r="L272" s="690">
        <f t="shared" si="142"/>
        <v>0</v>
      </c>
      <c r="M272" s="691">
        <f t="shared" si="142"/>
        <v>0</v>
      </c>
      <c r="N272" s="691">
        <f t="shared" si="142"/>
        <v>0</v>
      </c>
      <c r="O272" s="691">
        <f t="shared" si="142"/>
        <v>0</v>
      </c>
      <c r="P272" s="691">
        <f t="shared" si="142"/>
        <v>0</v>
      </c>
      <c r="Q272" s="691">
        <f t="shared" si="142"/>
        <v>0</v>
      </c>
      <c r="R272" s="691">
        <f t="shared" si="142"/>
        <v>0</v>
      </c>
      <c r="S272" s="691">
        <f t="shared" si="142"/>
        <v>0</v>
      </c>
      <c r="T272" s="691">
        <f t="shared" si="142"/>
        <v>0</v>
      </c>
      <c r="U272" s="691">
        <f t="shared" si="142"/>
        <v>0</v>
      </c>
      <c r="V272" s="691">
        <f t="shared" si="142"/>
        <v>0</v>
      </c>
      <c r="W272" s="691">
        <f t="shared" si="142"/>
        <v>0</v>
      </c>
      <c r="X272" s="691">
        <f t="shared" si="142"/>
        <v>0</v>
      </c>
      <c r="Y272" s="691">
        <f t="shared" si="142"/>
        <v>0</v>
      </c>
      <c r="Z272" s="691">
        <f t="shared" si="142"/>
        <v>0</v>
      </c>
      <c r="AA272" s="691">
        <f t="shared" si="142"/>
        <v>0</v>
      </c>
      <c r="AB272" s="691">
        <f t="shared" si="142"/>
        <v>0</v>
      </c>
      <c r="AC272" s="691">
        <f t="shared" si="142"/>
        <v>0</v>
      </c>
      <c r="AD272" s="691">
        <f t="shared" si="142"/>
        <v>0</v>
      </c>
      <c r="AE272" s="691">
        <f t="shared" si="142"/>
        <v>0</v>
      </c>
      <c r="AF272" s="691">
        <f t="shared" si="142"/>
        <v>0</v>
      </c>
      <c r="AG272" s="691">
        <f t="shared" si="142"/>
        <v>0</v>
      </c>
      <c r="AH272" s="691">
        <f t="shared" si="142"/>
        <v>0</v>
      </c>
      <c r="AI272" s="691">
        <f t="shared" si="142"/>
        <v>0</v>
      </c>
      <c r="AJ272" s="691">
        <f t="shared" si="142"/>
        <v>0</v>
      </c>
      <c r="AK272" s="691">
        <f t="shared" si="142"/>
        <v>0</v>
      </c>
      <c r="AL272" s="691">
        <f t="shared" si="142"/>
        <v>0</v>
      </c>
      <c r="AM272" s="691">
        <f t="shared" si="142"/>
        <v>0</v>
      </c>
      <c r="AN272" s="691">
        <f t="shared" si="142"/>
        <v>0</v>
      </c>
      <c r="AO272" s="691">
        <f t="shared" si="142"/>
        <v>0</v>
      </c>
      <c r="AP272" s="691">
        <f t="shared" si="142"/>
        <v>0</v>
      </c>
      <c r="AQ272" s="691">
        <f t="shared" si="142"/>
        <v>0</v>
      </c>
      <c r="AR272" s="691">
        <f t="shared" si="142"/>
        <v>0</v>
      </c>
      <c r="AS272" s="691">
        <f t="shared" si="142"/>
        <v>0</v>
      </c>
      <c r="AT272" s="691">
        <f t="shared" si="142"/>
        <v>0</v>
      </c>
      <c r="AU272" s="691">
        <f t="shared" si="142"/>
        <v>0</v>
      </c>
      <c r="AV272" s="691">
        <f t="shared" si="142"/>
        <v>0</v>
      </c>
      <c r="AW272" s="691">
        <f t="shared" si="142"/>
        <v>0</v>
      </c>
      <c r="AX272" s="691">
        <f t="shared" si="142"/>
        <v>0</v>
      </c>
      <c r="AY272" s="691">
        <f t="shared" si="142"/>
        <v>0</v>
      </c>
      <c r="AZ272" s="691">
        <f t="shared" si="142"/>
        <v>0</v>
      </c>
      <c r="BA272" s="691">
        <f t="shared" si="142"/>
        <v>0</v>
      </c>
      <c r="BB272" s="691">
        <f t="shared" si="142"/>
        <v>0</v>
      </c>
      <c r="BC272" s="691">
        <f t="shared" si="142"/>
        <v>0</v>
      </c>
      <c r="BD272" s="691">
        <f t="shared" si="142"/>
        <v>0</v>
      </c>
      <c r="BE272" s="691">
        <f t="shared" si="142"/>
        <v>0</v>
      </c>
      <c r="BF272" s="691">
        <f t="shared" si="142"/>
        <v>0</v>
      </c>
      <c r="BG272" s="691">
        <f t="shared" si="142"/>
        <v>0</v>
      </c>
      <c r="BH272" s="691">
        <f t="shared" si="142"/>
        <v>0</v>
      </c>
      <c r="BI272" s="691">
        <f t="shared" si="142"/>
        <v>0</v>
      </c>
      <c r="BJ272" s="691">
        <f t="shared" si="142"/>
        <v>0</v>
      </c>
      <c r="BK272" s="691">
        <f t="shared" si="142"/>
        <v>0</v>
      </c>
      <c r="BL272" s="691">
        <f t="shared" si="142"/>
        <v>0</v>
      </c>
      <c r="BM272" s="691">
        <f t="shared" si="142"/>
        <v>0</v>
      </c>
      <c r="BN272" s="691">
        <f t="shared" si="142"/>
        <v>0</v>
      </c>
      <c r="BO272" s="691">
        <f t="shared" si="142"/>
        <v>0</v>
      </c>
      <c r="BP272" s="691">
        <f t="shared" si="142"/>
        <v>0</v>
      </c>
      <c r="BQ272" s="691">
        <f t="shared" si="142"/>
        <v>0</v>
      </c>
      <c r="BR272" s="691">
        <f t="shared" si="142"/>
        <v>0</v>
      </c>
      <c r="BS272" s="691">
        <f t="shared" si="142"/>
        <v>0</v>
      </c>
      <c r="BT272" s="691">
        <f t="shared" ref="BT272:CI272" si="143">BT270-BT269</f>
        <v>0</v>
      </c>
      <c r="BU272" s="691">
        <f t="shared" si="143"/>
        <v>0</v>
      </c>
      <c r="BV272" s="691">
        <f t="shared" si="143"/>
        <v>0</v>
      </c>
      <c r="BW272" s="691">
        <f t="shared" si="143"/>
        <v>0</v>
      </c>
      <c r="BX272" s="691">
        <f t="shared" si="143"/>
        <v>0</v>
      </c>
      <c r="BY272" s="691">
        <f t="shared" si="143"/>
        <v>0</v>
      </c>
      <c r="BZ272" s="691">
        <f t="shared" si="143"/>
        <v>0</v>
      </c>
      <c r="CA272" s="691">
        <f t="shared" si="143"/>
        <v>0</v>
      </c>
      <c r="CB272" s="691">
        <f t="shared" si="143"/>
        <v>0</v>
      </c>
      <c r="CC272" s="691">
        <f t="shared" si="143"/>
        <v>0</v>
      </c>
      <c r="CD272" s="691">
        <f t="shared" si="143"/>
        <v>0</v>
      </c>
      <c r="CE272" s="691">
        <f t="shared" si="143"/>
        <v>0</v>
      </c>
      <c r="CF272" s="691">
        <f t="shared" si="143"/>
        <v>0</v>
      </c>
      <c r="CG272" s="691">
        <f t="shared" si="143"/>
        <v>0</v>
      </c>
      <c r="CH272" s="691">
        <f t="shared" si="143"/>
        <v>0</v>
      </c>
      <c r="CI272" s="692">
        <f t="shared" si="143"/>
        <v>0</v>
      </c>
    </row>
    <row r="273" spans="2:87" ht="14.4" thickBot="1" x14ac:dyDescent="0.3">
      <c r="B273" s="693"/>
      <c r="C273" s="694"/>
      <c r="D273" s="57"/>
      <c r="E273" s="694"/>
      <c r="F273" s="695"/>
      <c r="G273" s="696"/>
      <c r="H273" s="696"/>
      <c r="I273" s="696"/>
      <c r="J273" s="696"/>
      <c r="K273" s="696"/>
      <c r="L273" s="696"/>
      <c r="M273" s="696"/>
      <c r="N273" s="696"/>
      <c r="O273" s="696"/>
      <c r="P273" s="696"/>
      <c r="Q273" s="696"/>
      <c r="R273" s="696"/>
      <c r="S273" s="696"/>
      <c r="T273" s="696"/>
      <c r="U273" s="696"/>
      <c r="V273" s="696"/>
      <c r="W273" s="696"/>
      <c r="X273" s="696"/>
      <c r="Y273" s="696"/>
      <c r="Z273" s="696"/>
      <c r="AA273" s="696"/>
      <c r="AB273" s="696"/>
      <c r="AC273" s="696"/>
      <c r="AD273" s="696"/>
      <c r="AE273" s="696"/>
      <c r="AF273" s="696"/>
      <c r="AG273" s="696"/>
      <c r="AH273" s="696"/>
      <c r="AI273" s="696"/>
      <c r="AJ273" s="696"/>
      <c r="AK273" s="696"/>
      <c r="AL273" s="696"/>
      <c r="AM273" s="696"/>
      <c r="AN273" s="696"/>
      <c r="AO273" s="696"/>
      <c r="AP273" s="696"/>
      <c r="AQ273" s="696"/>
      <c r="AR273" s="696"/>
      <c r="AS273" s="696"/>
      <c r="AT273" s="696"/>
      <c r="AU273" s="696"/>
      <c r="AV273" s="696"/>
      <c r="AW273" s="696"/>
      <c r="AX273" s="696"/>
      <c r="AY273" s="696"/>
      <c r="AZ273" s="696"/>
      <c r="BA273" s="696"/>
      <c r="BB273" s="696"/>
      <c r="BC273" s="696"/>
      <c r="BD273" s="696"/>
      <c r="BE273" s="696"/>
      <c r="BF273" s="696"/>
      <c r="BG273" s="696"/>
      <c r="BH273" s="696"/>
      <c r="BI273" s="696"/>
      <c r="BJ273" s="696"/>
      <c r="BK273" s="696"/>
      <c r="BL273" s="696"/>
      <c r="BM273" s="696"/>
      <c r="BN273" s="696"/>
      <c r="BO273" s="696"/>
      <c r="BP273" s="696"/>
      <c r="BQ273" s="696"/>
      <c r="BR273" s="696"/>
      <c r="BS273" s="696"/>
      <c r="BT273" s="696"/>
      <c r="BU273" s="696"/>
      <c r="BV273" s="696"/>
      <c r="BW273" s="696"/>
      <c r="BX273" s="696"/>
      <c r="BY273" s="696"/>
      <c r="BZ273" s="696"/>
      <c r="CA273" s="696"/>
      <c r="CB273" s="696"/>
      <c r="CC273" s="696"/>
      <c r="CD273" s="696"/>
      <c r="CE273" s="696"/>
      <c r="CF273" s="696"/>
      <c r="CG273" s="696"/>
      <c r="CH273" s="696"/>
      <c r="CI273" s="696"/>
    </row>
    <row r="274" spans="2:87" ht="14.4" thickBot="1" x14ac:dyDescent="0.3">
      <c r="B274" s="941" t="s">
        <v>352</v>
      </c>
      <c r="C274" s="1379" t="s">
        <v>115</v>
      </c>
      <c r="D274" s="57"/>
      <c r="E274" s="694"/>
      <c r="F274" s="695"/>
      <c r="G274" s="696"/>
      <c r="H274" s="696"/>
      <c r="I274" s="696"/>
      <c r="J274" s="696"/>
      <c r="K274" s="696"/>
      <c r="L274" s="696"/>
      <c r="M274" s="696"/>
      <c r="N274" s="696"/>
      <c r="O274" s="696"/>
      <c r="P274" s="696"/>
      <c r="Q274" s="696"/>
      <c r="R274" s="696"/>
      <c r="S274" s="696"/>
      <c r="T274" s="696"/>
      <c r="U274" s="696"/>
      <c r="V274" s="696"/>
      <c r="W274" s="696"/>
      <c r="X274" s="696"/>
      <c r="Y274" s="696"/>
      <c r="Z274" s="696"/>
      <c r="AA274" s="696"/>
      <c r="AB274" s="696"/>
      <c r="AC274" s="696"/>
      <c r="AD274" s="696"/>
      <c r="AE274" s="696"/>
      <c r="AF274" s="696"/>
      <c r="AG274" s="696"/>
      <c r="AH274" s="696"/>
      <c r="AI274" s="696"/>
      <c r="AJ274" s="696"/>
      <c r="AK274" s="696"/>
      <c r="AL274" s="696"/>
      <c r="AM274" s="696"/>
      <c r="AN274" s="696"/>
      <c r="AO274" s="696"/>
      <c r="AP274" s="696"/>
      <c r="AQ274" s="696"/>
      <c r="AR274" s="696"/>
      <c r="AS274" s="696"/>
      <c r="AT274" s="696"/>
      <c r="AU274" s="696"/>
      <c r="AV274" s="696"/>
      <c r="AW274" s="696"/>
      <c r="AX274" s="696"/>
      <c r="AY274" s="696"/>
      <c r="AZ274" s="696"/>
      <c r="BA274" s="696"/>
      <c r="BB274" s="696"/>
      <c r="BC274" s="696"/>
      <c r="BD274" s="696"/>
      <c r="BE274" s="696"/>
      <c r="BF274" s="696"/>
      <c r="BG274" s="696"/>
      <c r="BH274" s="696"/>
      <c r="BI274" s="696"/>
      <c r="BJ274" s="696"/>
      <c r="BK274" s="696"/>
      <c r="BL274" s="696"/>
      <c r="BM274" s="696"/>
      <c r="BN274" s="696"/>
      <c r="BO274" s="696"/>
      <c r="BP274" s="696"/>
      <c r="BQ274" s="696"/>
      <c r="BR274" s="696"/>
      <c r="BS274" s="696"/>
      <c r="BT274" s="696"/>
      <c r="BU274" s="696"/>
      <c r="BV274" s="696"/>
      <c r="BW274" s="696"/>
      <c r="BX274" s="696"/>
      <c r="BY274" s="696"/>
      <c r="BZ274" s="696"/>
      <c r="CA274" s="696"/>
      <c r="CB274" s="696"/>
      <c r="CC274" s="696"/>
      <c r="CD274" s="696"/>
      <c r="CE274" s="696"/>
      <c r="CF274" s="696"/>
      <c r="CG274" s="696"/>
      <c r="CH274" s="696"/>
      <c r="CI274" s="696"/>
    </row>
    <row r="275" spans="2:87" ht="14.4" thickBot="1" x14ac:dyDescent="0.3">
      <c r="B275" s="942" t="s">
        <v>356</v>
      </c>
      <c r="C275" s="943" t="s">
        <v>514</v>
      </c>
      <c r="D275" s="943" t="s">
        <v>515</v>
      </c>
      <c r="E275" s="943" t="s">
        <v>117</v>
      </c>
      <c r="F275" s="944" t="s">
        <v>118</v>
      </c>
      <c r="G275" s="945" t="s">
        <v>119</v>
      </c>
      <c r="H275" s="945" t="s">
        <v>120</v>
      </c>
      <c r="I275" s="945" t="s">
        <v>121</v>
      </c>
      <c r="J275" s="945" t="s">
        <v>122</v>
      </c>
      <c r="K275" s="945" t="s">
        <v>123</v>
      </c>
      <c r="L275" s="945" t="s">
        <v>124</v>
      </c>
      <c r="M275" s="943" t="s">
        <v>125</v>
      </c>
      <c r="N275" s="943" t="s">
        <v>126</v>
      </c>
      <c r="O275" s="943" t="s">
        <v>127</v>
      </c>
      <c r="P275" s="943" t="s">
        <v>128</v>
      </c>
      <c r="Q275" s="943" t="s">
        <v>129</v>
      </c>
      <c r="R275" s="943" t="s">
        <v>130</v>
      </c>
      <c r="S275" s="943" t="s">
        <v>157</v>
      </c>
      <c r="T275" s="943" t="s">
        <v>158</v>
      </c>
      <c r="U275" s="943" t="s">
        <v>159</v>
      </c>
      <c r="V275" s="943" t="s">
        <v>160</v>
      </c>
      <c r="W275" s="943" t="s">
        <v>131</v>
      </c>
      <c r="X275" s="943" t="s">
        <v>161</v>
      </c>
      <c r="Y275" s="943" t="s">
        <v>162</v>
      </c>
      <c r="Z275" s="943" t="s">
        <v>163</v>
      </c>
      <c r="AA275" s="943" t="s">
        <v>164</v>
      </c>
      <c r="AB275" s="943" t="s">
        <v>132</v>
      </c>
      <c r="AC275" s="943" t="s">
        <v>165</v>
      </c>
      <c r="AD275" s="943" t="s">
        <v>166</v>
      </c>
      <c r="AE275" s="943" t="s">
        <v>167</v>
      </c>
      <c r="AF275" s="943" t="s">
        <v>168</v>
      </c>
      <c r="AG275" s="943" t="s">
        <v>133</v>
      </c>
      <c r="AH275" s="943" t="s">
        <v>169</v>
      </c>
      <c r="AI275" s="943" t="s">
        <v>170</v>
      </c>
      <c r="AJ275" s="943" t="s">
        <v>171</v>
      </c>
      <c r="AK275" s="943" t="s">
        <v>172</v>
      </c>
      <c r="AL275" s="943" t="s">
        <v>134</v>
      </c>
      <c r="AM275" s="943" t="s">
        <v>173</v>
      </c>
      <c r="AN275" s="943" t="s">
        <v>174</v>
      </c>
      <c r="AO275" s="943" t="s">
        <v>175</v>
      </c>
      <c r="AP275" s="943" t="s">
        <v>176</v>
      </c>
      <c r="AQ275" s="943" t="s">
        <v>135</v>
      </c>
      <c r="AR275" s="943" t="s">
        <v>177</v>
      </c>
      <c r="AS275" s="943" t="s">
        <v>178</v>
      </c>
      <c r="AT275" s="943" t="s">
        <v>179</v>
      </c>
      <c r="AU275" s="943" t="s">
        <v>180</v>
      </c>
      <c r="AV275" s="943" t="s">
        <v>136</v>
      </c>
      <c r="AW275" s="943" t="s">
        <v>181</v>
      </c>
      <c r="AX275" s="943" t="s">
        <v>182</v>
      </c>
      <c r="AY275" s="943" t="s">
        <v>183</v>
      </c>
      <c r="AZ275" s="943" t="s">
        <v>184</v>
      </c>
      <c r="BA275" s="943" t="s">
        <v>137</v>
      </c>
      <c r="BB275" s="943" t="s">
        <v>185</v>
      </c>
      <c r="BC275" s="943" t="s">
        <v>186</v>
      </c>
      <c r="BD275" s="943" t="s">
        <v>187</v>
      </c>
      <c r="BE275" s="943" t="s">
        <v>188</v>
      </c>
      <c r="BF275" s="943" t="s">
        <v>138</v>
      </c>
      <c r="BG275" s="943" t="s">
        <v>189</v>
      </c>
      <c r="BH275" s="943" t="s">
        <v>190</v>
      </c>
      <c r="BI275" s="943" t="s">
        <v>191</v>
      </c>
      <c r="BJ275" s="943" t="s">
        <v>192</v>
      </c>
      <c r="BK275" s="943" t="s">
        <v>139</v>
      </c>
      <c r="BL275" s="943" t="s">
        <v>193</v>
      </c>
      <c r="BM275" s="943" t="s">
        <v>194</v>
      </c>
      <c r="BN275" s="943" t="s">
        <v>195</v>
      </c>
      <c r="BO275" s="943" t="s">
        <v>196</v>
      </c>
      <c r="BP275" s="943" t="s">
        <v>140</v>
      </c>
      <c r="BQ275" s="943" t="s">
        <v>197</v>
      </c>
      <c r="BR275" s="943" t="s">
        <v>198</v>
      </c>
      <c r="BS275" s="943" t="s">
        <v>199</v>
      </c>
      <c r="BT275" s="943" t="s">
        <v>200</v>
      </c>
      <c r="BU275" s="943" t="s">
        <v>141</v>
      </c>
      <c r="BV275" s="943" t="s">
        <v>201</v>
      </c>
      <c r="BW275" s="943" t="s">
        <v>202</v>
      </c>
      <c r="BX275" s="943" t="s">
        <v>203</v>
      </c>
      <c r="BY275" s="943" t="s">
        <v>204</v>
      </c>
      <c r="BZ275" s="943" t="s">
        <v>142</v>
      </c>
      <c r="CA275" s="943" t="s">
        <v>205</v>
      </c>
      <c r="CB275" s="943" t="s">
        <v>206</v>
      </c>
      <c r="CC275" s="943" t="s">
        <v>207</v>
      </c>
      <c r="CD275" s="943" t="s">
        <v>208</v>
      </c>
      <c r="CE275" s="943" t="s">
        <v>143</v>
      </c>
      <c r="CF275" s="943" t="s">
        <v>209</v>
      </c>
      <c r="CG275" s="943" t="s">
        <v>210</v>
      </c>
      <c r="CH275" s="943" t="s">
        <v>211</v>
      </c>
      <c r="CI275" s="946" t="s">
        <v>212</v>
      </c>
    </row>
    <row r="276" spans="2:87" ht="27.6" x14ac:dyDescent="0.25">
      <c r="B276" s="950" t="s">
        <v>516</v>
      </c>
      <c r="C276" s="951" t="s">
        <v>517</v>
      </c>
      <c r="D276" s="951" t="s">
        <v>518</v>
      </c>
      <c r="E276" s="951" t="s">
        <v>146</v>
      </c>
      <c r="F276" s="952">
        <v>2</v>
      </c>
      <c r="G276" s="714"/>
      <c r="H276" s="715"/>
      <c r="I276" s="715"/>
      <c r="J276" s="715"/>
      <c r="K276" s="715"/>
      <c r="L276" s="715"/>
      <c r="M276" s="709"/>
      <c r="N276" s="709"/>
      <c r="O276" s="709"/>
      <c r="P276" s="709"/>
      <c r="Q276" s="709"/>
      <c r="R276" s="709"/>
      <c r="S276" s="709"/>
      <c r="T276" s="709"/>
      <c r="U276" s="709"/>
      <c r="V276" s="709"/>
      <c r="W276" s="709"/>
      <c r="X276" s="709"/>
      <c r="Y276" s="709"/>
      <c r="Z276" s="709"/>
      <c r="AA276" s="709"/>
      <c r="AB276" s="709"/>
      <c r="AC276" s="709"/>
      <c r="AD276" s="709"/>
      <c r="AE276" s="709"/>
      <c r="AF276" s="709"/>
      <c r="AG276" s="709"/>
      <c r="AH276" s="709"/>
      <c r="AI276" s="709"/>
      <c r="AJ276" s="709"/>
      <c r="AK276" s="709"/>
      <c r="AL276" s="709"/>
      <c r="AM276" s="709"/>
      <c r="AN276" s="709"/>
      <c r="AO276" s="709"/>
      <c r="AP276" s="709"/>
      <c r="AQ276" s="709"/>
      <c r="AR276" s="709"/>
      <c r="AS276" s="709"/>
      <c r="AT276" s="709"/>
      <c r="AU276" s="709"/>
      <c r="AV276" s="709"/>
      <c r="AW276" s="709"/>
      <c r="AX276" s="709"/>
      <c r="AY276" s="709"/>
      <c r="AZ276" s="709"/>
      <c r="BA276" s="709"/>
      <c r="BB276" s="709"/>
      <c r="BC276" s="709"/>
      <c r="BD276" s="709"/>
      <c r="BE276" s="709"/>
      <c r="BF276" s="709"/>
      <c r="BG276" s="709"/>
      <c r="BH276" s="709"/>
      <c r="BI276" s="709"/>
      <c r="BJ276" s="709"/>
      <c r="BK276" s="709"/>
      <c r="BL276" s="709"/>
      <c r="BM276" s="709"/>
      <c r="BN276" s="709"/>
      <c r="BO276" s="709"/>
      <c r="BP276" s="709"/>
      <c r="BQ276" s="709"/>
      <c r="BR276" s="709"/>
      <c r="BS276" s="709"/>
      <c r="BT276" s="709"/>
      <c r="BU276" s="709"/>
      <c r="BV276" s="709"/>
      <c r="BW276" s="709"/>
      <c r="BX276" s="709"/>
      <c r="BY276" s="709"/>
      <c r="BZ276" s="709"/>
      <c r="CA276" s="709"/>
      <c r="CB276" s="709"/>
      <c r="CC276" s="709"/>
      <c r="CD276" s="709"/>
      <c r="CE276" s="709"/>
      <c r="CF276" s="709"/>
      <c r="CG276" s="709"/>
      <c r="CH276" s="709"/>
      <c r="CI276" s="710"/>
    </row>
    <row r="277" spans="2:87" x14ac:dyDescent="0.25">
      <c r="B277" s="947" t="s">
        <v>519</v>
      </c>
      <c r="C277" s="948" t="s">
        <v>693</v>
      </c>
      <c r="D277" s="948" t="s">
        <v>521</v>
      </c>
      <c r="E277" s="948" t="s">
        <v>146</v>
      </c>
      <c r="F277" s="949">
        <v>2</v>
      </c>
      <c r="G277" s="714"/>
      <c r="H277" s="715"/>
      <c r="I277" s="715"/>
      <c r="J277" s="715"/>
      <c r="K277" s="715"/>
      <c r="L277" s="715"/>
      <c r="M277" s="709"/>
      <c r="N277" s="709"/>
      <c r="O277" s="709"/>
      <c r="P277" s="709"/>
      <c r="Q277" s="709"/>
      <c r="R277" s="709"/>
      <c r="S277" s="709"/>
      <c r="T277" s="709"/>
      <c r="U277" s="709"/>
      <c r="V277" s="709"/>
      <c r="W277" s="709"/>
      <c r="X277" s="709"/>
      <c r="Y277" s="709"/>
      <c r="Z277" s="709"/>
      <c r="AA277" s="709"/>
      <c r="AB277" s="709"/>
      <c r="AC277" s="709"/>
      <c r="AD277" s="709"/>
      <c r="AE277" s="709"/>
      <c r="AF277" s="709"/>
      <c r="AG277" s="709"/>
      <c r="AH277" s="709"/>
      <c r="AI277" s="709"/>
      <c r="AJ277" s="709"/>
      <c r="AK277" s="709"/>
      <c r="AL277" s="709"/>
      <c r="AM277" s="709"/>
      <c r="AN277" s="709"/>
      <c r="AO277" s="709"/>
      <c r="AP277" s="709"/>
      <c r="AQ277" s="709"/>
      <c r="AR277" s="709"/>
      <c r="AS277" s="709"/>
      <c r="AT277" s="709"/>
      <c r="AU277" s="709"/>
      <c r="AV277" s="709"/>
      <c r="AW277" s="709"/>
      <c r="AX277" s="709"/>
      <c r="AY277" s="709"/>
      <c r="AZ277" s="709"/>
      <c r="BA277" s="709"/>
      <c r="BB277" s="709"/>
      <c r="BC277" s="709"/>
      <c r="BD277" s="709"/>
      <c r="BE277" s="709"/>
      <c r="BF277" s="709"/>
      <c r="BG277" s="709"/>
      <c r="BH277" s="709"/>
      <c r="BI277" s="709"/>
      <c r="BJ277" s="709"/>
      <c r="BK277" s="709"/>
      <c r="BL277" s="709"/>
      <c r="BM277" s="709"/>
      <c r="BN277" s="709"/>
      <c r="BO277" s="709"/>
      <c r="BP277" s="709"/>
      <c r="BQ277" s="709"/>
      <c r="BR277" s="709"/>
      <c r="BS277" s="709"/>
      <c r="BT277" s="709"/>
      <c r="BU277" s="709"/>
      <c r="BV277" s="709"/>
      <c r="BW277" s="709"/>
      <c r="BX277" s="709"/>
      <c r="BY277" s="709"/>
      <c r="BZ277" s="709"/>
      <c r="CA277" s="709"/>
      <c r="CB277" s="709"/>
      <c r="CC277" s="709"/>
      <c r="CD277" s="709"/>
      <c r="CE277" s="709"/>
      <c r="CF277" s="709"/>
      <c r="CG277" s="709"/>
      <c r="CH277" s="709"/>
      <c r="CI277" s="710"/>
    </row>
    <row r="278" spans="2:87" x14ac:dyDescent="0.25">
      <c r="B278" s="950" t="s">
        <v>522</v>
      </c>
      <c r="C278" s="951" t="s">
        <v>523</v>
      </c>
      <c r="D278" s="951" t="s">
        <v>524</v>
      </c>
      <c r="E278" s="951" t="s">
        <v>146</v>
      </c>
      <c r="F278" s="952">
        <v>2</v>
      </c>
      <c r="G278" s="714"/>
      <c r="H278" s="715"/>
      <c r="I278" s="715"/>
      <c r="J278" s="715"/>
      <c r="K278" s="715"/>
      <c r="L278" s="715"/>
      <c r="M278" s="709"/>
      <c r="N278" s="709"/>
      <c r="O278" s="709"/>
      <c r="P278" s="709"/>
      <c r="Q278" s="709"/>
      <c r="R278" s="709"/>
      <c r="S278" s="709"/>
      <c r="T278" s="709"/>
      <c r="U278" s="709"/>
      <c r="V278" s="709"/>
      <c r="W278" s="709"/>
      <c r="X278" s="709"/>
      <c r="Y278" s="709"/>
      <c r="Z278" s="709"/>
      <c r="AA278" s="709"/>
      <c r="AB278" s="709"/>
      <c r="AC278" s="709"/>
      <c r="AD278" s="709"/>
      <c r="AE278" s="709"/>
      <c r="AF278" s="709"/>
      <c r="AG278" s="709"/>
      <c r="AH278" s="709"/>
      <c r="AI278" s="709"/>
      <c r="AJ278" s="709"/>
      <c r="AK278" s="709"/>
      <c r="AL278" s="709"/>
      <c r="AM278" s="709"/>
      <c r="AN278" s="709"/>
      <c r="AO278" s="709"/>
      <c r="AP278" s="709"/>
      <c r="AQ278" s="709"/>
      <c r="AR278" s="709"/>
      <c r="AS278" s="709"/>
      <c r="AT278" s="709"/>
      <c r="AU278" s="709"/>
      <c r="AV278" s="709"/>
      <c r="AW278" s="709"/>
      <c r="AX278" s="709"/>
      <c r="AY278" s="709"/>
      <c r="AZ278" s="709"/>
      <c r="BA278" s="709"/>
      <c r="BB278" s="709"/>
      <c r="BC278" s="709"/>
      <c r="BD278" s="709"/>
      <c r="BE278" s="709"/>
      <c r="BF278" s="709"/>
      <c r="BG278" s="709"/>
      <c r="BH278" s="709"/>
      <c r="BI278" s="709"/>
      <c r="BJ278" s="709"/>
      <c r="BK278" s="709"/>
      <c r="BL278" s="709"/>
      <c r="BM278" s="709"/>
      <c r="BN278" s="709"/>
      <c r="BO278" s="709"/>
      <c r="BP278" s="709"/>
      <c r="BQ278" s="709"/>
      <c r="BR278" s="709"/>
      <c r="BS278" s="709"/>
      <c r="BT278" s="709"/>
      <c r="BU278" s="709"/>
      <c r="BV278" s="709"/>
      <c r="BW278" s="709"/>
      <c r="BX278" s="709"/>
      <c r="BY278" s="709"/>
      <c r="BZ278" s="709"/>
      <c r="CA278" s="709"/>
      <c r="CB278" s="709"/>
      <c r="CC278" s="709"/>
      <c r="CD278" s="709"/>
      <c r="CE278" s="709"/>
      <c r="CF278" s="709"/>
      <c r="CG278" s="709"/>
      <c r="CH278" s="709"/>
      <c r="CI278" s="710"/>
    </row>
    <row r="279" spans="2:87" ht="27.6" x14ac:dyDescent="0.25">
      <c r="B279" s="950" t="s">
        <v>525</v>
      </c>
      <c r="C279" s="951" t="s">
        <v>526</v>
      </c>
      <c r="D279" s="951" t="s">
        <v>527</v>
      </c>
      <c r="E279" s="951" t="s">
        <v>146</v>
      </c>
      <c r="F279" s="952">
        <v>2</v>
      </c>
      <c r="G279" s="714"/>
      <c r="H279" s="715"/>
      <c r="I279" s="715"/>
      <c r="J279" s="715"/>
      <c r="K279" s="715"/>
      <c r="L279" s="715"/>
      <c r="M279" s="709"/>
      <c r="N279" s="709"/>
      <c r="O279" s="709"/>
      <c r="P279" s="709"/>
      <c r="Q279" s="709"/>
      <c r="R279" s="709"/>
      <c r="S279" s="709"/>
      <c r="T279" s="709"/>
      <c r="U279" s="709"/>
      <c r="V279" s="709"/>
      <c r="W279" s="709"/>
      <c r="X279" s="709"/>
      <c r="Y279" s="709"/>
      <c r="Z279" s="709"/>
      <c r="AA279" s="709"/>
      <c r="AB279" s="709"/>
      <c r="AC279" s="709"/>
      <c r="AD279" s="709"/>
      <c r="AE279" s="709"/>
      <c r="AF279" s="709"/>
      <c r="AG279" s="709"/>
      <c r="AH279" s="709"/>
      <c r="AI279" s="709"/>
      <c r="AJ279" s="709"/>
      <c r="AK279" s="709"/>
      <c r="AL279" s="709"/>
      <c r="AM279" s="709"/>
      <c r="AN279" s="709"/>
      <c r="AO279" s="709"/>
      <c r="AP279" s="709"/>
      <c r="AQ279" s="709"/>
      <c r="AR279" s="709"/>
      <c r="AS279" s="709"/>
      <c r="AT279" s="709"/>
      <c r="AU279" s="709"/>
      <c r="AV279" s="709"/>
      <c r="AW279" s="709"/>
      <c r="AX279" s="709"/>
      <c r="AY279" s="709"/>
      <c r="AZ279" s="709"/>
      <c r="BA279" s="709"/>
      <c r="BB279" s="709"/>
      <c r="BC279" s="709"/>
      <c r="BD279" s="709"/>
      <c r="BE279" s="709"/>
      <c r="BF279" s="709"/>
      <c r="BG279" s="709"/>
      <c r="BH279" s="709"/>
      <c r="BI279" s="709"/>
      <c r="BJ279" s="709"/>
      <c r="BK279" s="709"/>
      <c r="BL279" s="709"/>
      <c r="BM279" s="709"/>
      <c r="BN279" s="709"/>
      <c r="BO279" s="709"/>
      <c r="BP279" s="709"/>
      <c r="BQ279" s="709"/>
      <c r="BR279" s="709"/>
      <c r="BS279" s="709"/>
      <c r="BT279" s="709"/>
      <c r="BU279" s="709"/>
      <c r="BV279" s="709"/>
      <c r="BW279" s="709"/>
      <c r="BX279" s="709"/>
      <c r="BY279" s="709"/>
      <c r="BZ279" s="709"/>
      <c r="CA279" s="709"/>
      <c r="CB279" s="709"/>
      <c r="CC279" s="709"/>
      <c r="CD279" s="709"/>
      <c r="CE279" s="709"/>
      <c r="CF279" s="709"/>
      <c r="CG279" s="709"/>
      <c r="CH279" s="709"/>
      <c r="CI279" s="710"/>
    </row>
    <row r="280" spans="2:87" ht="27.6" x14ac:dyDescent="0.25">
      <c r="B280" s="950" t="s">
        <v>528</v>
      </c>
      <c r="C280" s="951" t="s">
        <v>529</v>
      </c>
      <c r="D280" s="951" t="s">
        <v>530</v>
      </c>
      <c r="E280" s="951" t="s">
        <v>146</v>
      </c>
      <c r="F280" s="952">
        <v>2</v>
      </c>
      <c r="G280" s="714"/>
      <c r="H280" s="715"/>
      <c r="I280" s="715"/>
      <c r="J280" s="715"/>
      <c r="K280" s="715"/>
      <c r="L280" s="715"/>
      <c r="M280" s="709"/>
      <c r="N280" s="709"/>
      <c r="O280" s="709"/>
      <c r="P280" s="709"/>
      <c r="Q280" s="709"/>
      <c r="R280" s="709"/>
      <c r="S280" s="709"/>
      <c r="T280" s="709"/>
      <c r="U280" s="709"/>
      <c r="V280" s="709"/>
      <c r="W280" s="709"/>
      <c r="X280" s="709"/>
      <c r="Y280" s="709"/>
      <c r="Z280" s="709"/>
      <c r="AA280" s="709"/>
      <c r="AB280" s="709"/>
      <c r="AC280" s="709"/>
      <c r="AD280" s="709"/>
      <c r="AE280" s="709"/>
      <c r="AF280" s="709"/>
      <c r="AG280" s="709"/>
      <c r="AH280" s="709"/>
      <c r="AI280" s="709"/>
      <c r="AJ280" s="709"/>
      <c r="AK280" s="709"/>
      <c r="AL280" s="709"/>
      <c r="AM280" s="709"/>
      <c r="AN280" s="709"/>
      <c r="AO280" s="709"/>
      <c r="AP280" s="709"/>
      <c r="AQ280" s="709"/>
      <c r="AR280" s="709"/>
      <c r="AS280" s="709"/>
      <c r="AT280" s="709"/>
      <c r="AU280" s="709"/>
      <c r="AV280" s="709"/>
      <c r="AW280" s="709"/>
      <c r="AX280" s="709"/>
      <c r="AY280" s="709"/>
      <c r="AZ280" s="709"/>
      <c r="BA280" s="709"/>
      <c r="BB280" s="709"/>
      <c r="BC280" s="709"/>
      <c r="BD280" s="709"/>
      <c r="BE280" s="709"/>
      <c r="BF280" s="709"/>
      <c r="BG280" s="709"/>
      <c r="BH280" s="709"/>
      <c r="BI280" s="709"/>
      <c r="BJ280" s="709"/>
      <c r="BK280" s="709"/>
      <c r="BL280" s="709"/>
      <c r="BM280" s="709"/>
      <c r="BN280" s="709"/>
      <c r="BO280" s="709"/>
      <c r="BP280" s="709"/>
      <c r="BQ280" s="709"/>
      <c r="BR280" s="709"/>
      <c r="BS280" s="709"/>
      <c r="BT280" s="709"/>
      <c r="BU280" s="709"/>
      <c r="BV280" s="709"/>
      <c r="BW280" s="709"/>
      <c r="BX280" s="709"/>
      <c r="BY280" s="709"/>
      <c r="BZ280" s="709"/>
      <c r="CA280" s="709"/>
      <c r="CB280" s="709"/>
      <c r="CC280" s="709"/>
      <c r="CD280" s="709"/>
      <c r="CE280" s="709"/>
      <c r="CF280" s="709"/>
      <c r="CG280" s="709"/>
      <c r="CH280" s="709"/>
      <c r="CI280" s="710"/>
    </row>
    <row r="281" spans="2:87" x14ac:dyDescent="0.25">
      <c r="B281" s="953" t="s">
        <v>531</v>
      </c>
      <c r="C281" s="954" t="s">
        <v>532</v>
      </c>
      <c r="D281" s="954" t="s">
        <v>533</v>
      </c>
      <c r="E281" s="954" t="s">
        <v>146</v>
      </c>
      <c r="F281" s="952">
        <v>2</v>
      </c>
      <c r="G281" s="714"/>
      <c r="H281" s="715"/>
      <c r="I281" s="715"/>
      <c r="J281" s="715"/>
      <c r="K281" s="715"/>
      <c r="L281" s="715"/>
      <c r="M281" s="709"/>
      <c r="N281" s="709"/>
      <c r="O281" s="709"/>
      <c r="P281" s="709"/>
      <c r="Q281" s="709"/>
      <c r="R281" s="709"/>
      <c r="S281" s="709"/>
      <c r="T281" s="709"/>
      <c r="U281" s="709"/>
      <c r="V281" s="709"/>
      <c r="W281" s="709"/>
      <c r="X281" s="709"/>
      <c r="Y281" s="709"/>
      <c r="Z281" s="709"/>
      <c r="AA281" s="709"/>
      <c r="AB281" s="709"/>
      <c r="AC281" s="709"/>
      <c r="AD281" s="709"/>
      <c r="AE281" s="709"/>
      <c r="AF281" s="709"/>
      <c r="AG281" s="709"/>
      <c r="AH281" s="709"/>
      <c r="AI281" s="709"/>
      <c r="AJ281" s="709"/>
      <c r="AK281" s="709"/>
      <c r="AL281" s="709"/>
      <c r="AM281" s="709"/>
      <c r="AN281" s="709"/>
      <c r="AO281" s="709"/>
      <c r="AP281" s="709"/>
      <c r="AQ281" s="709"/>
      <c r="AR281" s="709"/>
      <c r="AS281" s="709"/>
      <c r="AT281" s="709"/>
      <c r="AU281" s="709"/>
      <c r="AV281" s="709"/>
      <c r="AW281" s="709"/>
      <c r="AX281" s="709"/>
      <c r="AY281" s="709"/>
      <c r="AZ281" s="709"/>
      <c r="BA281" s="709"/>
      <c r="BB281" s="709"/>
      <c r="BC281" s="709"/>
      <c r="BD281" s="709"/>
      <c r="BE281" s="709"/>
      <c r="BF281" s="709"/>
      <c r="BG281" s="709"/>
      <c r="BH281" s="709"/>
      <c r="BI281" s="709"/>
      <c r="BJ281" s="709"/>
      <c r="BK281" s="709"/>
      <c r="BL281" s="709"/>
      <c r="BM281" s="709"/>
      <c r="BN281" s="709"/>
      <c r="BO281" s="709"/>
      <c r="BP281" s="709"/>
      <c r="BQ281" s="709"/>
      <c r="BR281" s="709"/>
      <c r="BS281" s="709"/>
      <c r="BT281" s="709"/>
      <c r="BU281" s="709"/>
      <c r="BV281" s="709"/>
      <c r="BW281" s="709"/>
      <c r="BX281" s="709"/>
      <c r="BY281" s="709"/>
      <c r="BZ281" s="709"/>
      <c r="CA281" s="709"/>
      <c r="CB281" s="709"/>
      <c r="CC281" s="709"/>
      <c r="CD281" s="709"/>
      <c r="CE281" s="709"/>
      <c r="CF281" s="709"/>
      <c r="CG281" s="709"/>
      <c r="CH281" s="709"/>
      <c r="CI281" s="710"/>
    </row>
    <row r="282" spans="2:87" x14ac:dyDescent="0.25">
      <c r="B282" s="950" t="s">
        <v>534</v>
      </c>
      <c r="C282" s="951" t="s">
        <v>535</v>
      </c>
      <c r="D282" s="951" t="s">
        <v>536</v>
      </c>
      <c r="E282" s="951" t="s">
        <v>146</v>
      </c>
      <c r="F282" s="952">
        <v>2</v>
      </c>
      <c r="G282" s="714"/>
      <c r="H282" s="715"/>
      <c r="I282" s="715"/>
      <c r="J282" s="715"/>
      <c r="K282" s="715"/>
      <c r="L282" s="715"/>
      <c r="M282" s="709"/>
      <c r="N282" s="709"/>
      <c r="O282" s="709"/>
      <c r="P282" s="709"/>
      <c r="Q282" s="709"/>
      <c r="R282" s="709"/>
      <c r="S282" s="709"/>
      <c r="T282" s="709"/>
      <c r="U282" s="709"/>
      <c r="V282" s="709"/>
      <c r="W282" s="709"/>
      <c r="X282" s="709"/>
      <c r="Y282" s="709"/>
      <c r="Z282" s="709"/>
      <c r="AA282" s="709"/>
      <c r="AB282" s="709"/>
      <c r="AC282" s="709"/>
      <c r="AD282" s="709"/>
      <c r="AE282" s="709"/>
      <c r="AF282" s="709"/>
      <c r="AG282" s="709"/>
      <c r="AH282" s="709"/>
      <c r="AI282" s="709"/>
      <c r="AJ282" s="709"/>
      <c r="AK282" s="709"/>
      <c r="AL282" s="709"/>
      <c r="AM282" s="709"/>
      <c r="AN282" s="709"/>
      <c r="AO282" s="709"/>
      <c r="AP282" s="709"/>
      <c r="AQ282" s="709"/>
      <c r="AR282" s="709"/>
      <c r="AS282" s="709"/>
      <c r="AT282" s="709"/>
      <c r="AU282" s="709"/>
      <c r="AV282" s="709"/>
      <c r="AW282" s="709"/>
      <c r="AX282" s="709"/>
      <c r="AY282" s="709"/>
      <c r="AZ282" s="709"/>
      <c r="BA282" s="709"/>
      <c r="BB282" s="709"/>
      <c r="BC282" s="709"/>
      <c r="BD282" s="709"/>
      <c r="BE282" s="709"/>
      <c r="BF282" s="709"/>
      <c r="BG282" s="709"/>
      <c r="BH282" s="709"/>
      <c r="BI282" s="709"/>
      <c r="BJ282" s="709"/>
      <c r="BK282" s="709"/>
      <c r="BL282" s="709"/>
      <c r="BM282" s="709"/>
      <c r="BN282" s="709"/>
      <c r="BO282" s="709"/>
      <c r="BP282" s="709"/>
      <c r="BQ282" s="709"/>
      <c r="BR282" s="709"/>
      <c r="BS282" s="709"/>
      <c r="BT282" s="709"/>
      <c r="BU282" s="709"/>
      <c r="BV282" s="709"/>
      <c r="BW282" s="709"/>
      <c r="BX282" s="709"/>
      <c r="BY282" s="709"/>
      <c r="BZ282" s="709"/>
      <c r="CA282" s="709"/>
      <c r="CB282" s="709"/>
      <c r="CC282" s="709"/>
      <c r="CD282" s="709"/>
      <c r="CE282" s="709"/>
      <c r="CF282" s="709"/>
      <c r="CG282" s="709"/>
      <c r="CH282" s="709"/>
      <c r="CI282" s="710"/>
    </row>
    <row r="283" spans="2:87" ht="30.6" customHeight="1" x14ac:dyDescent="0.25">
      <c r="B283" s="955" t="s">
        <v>537</v>
      </c>
      <c r="C283" s="956" t="s">
        <v>538</v>
      </c>
      <c r="D283" s="957" t="s">
        <v>539</v>
      </c>
      <c r="E283" s="956" t="s">
        <v>146</v>
      </c>
      <c r="F283" s="958">
        <v>2</v>
      </c>
      <c r="G283" s="714"/>
      <c r="H283" s="715"/>
      <c r="I283" s="715"/>
      <c r="J283" s="715"/>
      <c r="K283" s="715"/>
      <c r="L283" s="715"/>
      <c r="M283" s="709"/>
      <c r="N283" s="709"/>
      <c r="O283" s="709"/>
      <c r="P283" s="709"/>
      <c r="Q283" s="709"/>
      <c r="R283" s="709"/>
      <c r="S283" s="709"/>
      <c r="T283" s="709"/>
      <c r="U283" s="709"/>
      <c r="V283" s="709"/>
      <c r="W283" s="709"/>
      <c r="X283" s="709"/>
      <c r="Y283" s="709"/>
      <c r="Z283" s="709"/>
      <c r="AA283" s="709"/>
      <c r="AB283" s="709"/>
      <c r="AC283" s="709"/>
      <c r="AD283" s="709"/>
      <c r="AE283" s="709"/>
      <c r="AF283" s="709"/>
      <c r="AG283" s="709"/>
      <c r="AH283" s="709"/>
      <c r="AI283" s="709"/>
      <c r="AJ283" s="709"/>
      <c r="AK283" s="709"/>
      <c r="AL283" s="709"/>
      <c r="AM283" s="709"/>
      <c r="AN283" s="709"/>
      <c r="AO283" s="709"/>
      <c r="AP283" s="709"/>
      <c r="AQ283" s="709"/>
      <c r="AR283" s="709"/>
      <c r="AS283" s="709"/>
      <c r="AT283" s="709"/>
      <c r="AU283" s="709"/>
      <c r="AV283" s="709"/>
      <c r="AW283" s="709"/>
      <c r="AX283" s="709"/>
      <c r="AY283" s="709"/>
      <c r="AZ283" s="709"/>
      <c r="BA283" s="709"/>
      <c r="BB283" s="709"/>
      <c r="BC283" s="709"/>
      <c r="BD283" s="709"/>
      <c r="BE283" s="709"/>
      <c r="BF283" s="709"/>
      <c r="BG283" s="709"/>
      <c r="BH283" s="709"/>
      <c r="BI283" s="709"/>
      <c r="BJ283" s="709"/>
      <c r="BK283" s="709"/>
      <c r="BL283" s="709"/>
      <c r="BM283" s="709"/>
      <c r="BN283" s="709"/>
      <c r="BO283" s="709"/>
      <c r="BP283" s="709"/>
      <c r="BQ283" s="709"/>
      <c r="BR283" s="709"/>
      <c r="BS283" s="709"/>
      <c r="BT283" s="709"/>
      <c r="BU283" s="709"/>
      <c r="BV283" s="709"/>
      <c r="BW283" s="709"/>
      <c r="BX283" s="709"/>
      <c r="BY283" s="709"/>
      <c r="BZ283" s="709"/>
      <c r="CA283" s="709"/>
      <c r="CB283" s="709"/>
      <c r="CC283" s="709"/>
      <c r="CD283" s="709"/>
      <c r="CE283" s="709"/>
      <c r="CF283" s="709"/>
      <c r="CG283" s="709"/>
      <c r="CH283" s="709"/>
      <c r="CI283" s="710"/>
    </row>
    <row r="284" spans="2:87" ht="30.6" customHeight="1" x14ac:dyDescent="0.25">
      <c r="B284" s="955" t="s">
        <v>540</v>
      </c>
      <c r="C284" s="956" t="s">
        <v>694</v>
      </c>
      <c r="D284" s="957" t="s">
        <v>542</v>
      </c>
      <c r="E284" s="956" t="s">
        <v>146</v>
      </c>
      <c r="F284" s="958">
        <v>2</v>
      </c>
      <c r="G284" s="714"/>
      <c r="H284" s="715"/>
      <c r="I284" s="715"/>
      <c r="J284" s="715"/>
      <c r="K284" s="715"/>
      <c r="L284" s="715"/>
      <c r="M284" s="709"/>
      <c r="N284" s="709"/>
      <c r="O284" s="709"/>
      <c r="P284" s="709"/>
      <c r="Q284" s="709"/>
      <c r="R284" s="709"/>
      <c r="S284" s="709"/>
      <c r="T284" s="709"/>
      <c r="U284" s="709"/>
      <c r="V284" s="709"/>
      <c r="W284" s="709"/>
      <c r="X284" s="709"/>
      <c r="Y284" s="709"/>
      <c r="Z284" s="709"/>
      <c r="AA284" s="709"/>
      <c r="AB284" s="709"/>
      <c r="AC284" s="709"/>
      <c r="AD284" s="709"/>
      <c r="AE284" s="709"/>
      <c r="AF284" s="709"/>
      <c r="AG284" s="709"/>
      <c r="AH284" s="709"/>
      <c r="AI284" s="709"/>
      <c r="AJ284" s="709"/>
      <c r="AK284" s="709"/>
      <c r="AL284" s="709"/>
      <c r="AM284" s="709"/>
      <c r="AN284" s="709"/>
      <c r="AO284" s="709"/>
      <c r="AP284" s="709"/>
      <c r="AQ284" s="709"/>
      <c r="AR284" s="709"/>
      <c r="AS284" s="709"/>
      <c r="AT284" s="709"/>
      <c r="AU284" s="709"/>
      <c r="AV284" s="709"/>
      <c r="AW284" s="709"/>
      <c r="AX284" s="709"/>
      <c r="AY284" s="709"/>
      <c r="AZ284" s="709"/>
      <c r="BA284" s="709"/>
      <c r="BB284" s="709"/>
      <c r="BC284" s="709"/>
      <c r="BD284" s="709"/>
      <c r="BE284" s="709"/>
      <c r="BF284" s="709"/>
      <c r="BG284" s="709"/>
      <c r="BH284" s="709"/>
      <c r="BI284" s="709"/>
      <c r="BJ284" s="709"/>
      <c r="BK284" s="709"/>
      <c r="BL284" s="709"/>
      <c r="BM284" s="709"/>
      <c r="BN284" s="709"/>
      <c r="BO284" s="709"/>
      <c r="BP284" s="709"/>
      <c r="BQ284" s="709"/>
      <c r="BR284" s="709"/>
      <c r="BS284" s="709"/>
      <c r="BT284" s="709"/>
      <c r="BU284" s="709"/>
      <c r="BV284" s="709"/>
      <c r="BW284" s="709"/>
      <c r="BX284" s="709"/>
      <c r="BY284" s="709"/>
      <c r="BZ284" s="709"/>
      <c r="CA284" s="709"/>
      <c r="CB284" s="709"/>
      <c r="CC284" s="709"/>
      <c r="CD284" s="709"/>
      <c r="CE284" s="709"/>
      <c r="CF284" s="709"/>
      <c r="CG284" s="709"/>
      <c r="CH284" s="709"/>
      <c r="CI284" s="710"/>
    </row>
    <row r="285" spans="2:87" ht="27.6" x14ac:dyDescent="0.25">
      <c r="B285" s="950" t="s">
        <v>543</v>
      </c>
      <c r="C285" s="951" t="s">
        <v>544</v>
      </c>
      <c r="D285" s="951" t="s">
        <v>545</v>
      </c>
      <c r="E285" s="951" t="s">
        <v>146</v>
      </c>
      <c r="F285" s="952">
        <v>2</v>
      </c>
      <c r="G285" s="714"/>
      <c r="H285" s="715"/>
      <c r="I285" s="715"/>
      <c r="J285" s="715"/>
      <c r="K285" s="715"/>
      <c r="L285" s="715"/>
      <c r="M285" s="709"/>
      <c r="N285" s="709"/>
      <c r="O285" s="709"/>
      <c r="P285" s="709"/>
      <c r="Q285" s="709"/>
      <c r="R285" s="709"/>
      <c r="S285" s="709"/>
      <c r="T285" s="709"/>
      <c r="U285" s="709"/>
      <c r="V285" s="709"/>
      <c r="W285" s="709"/>
      <c r="X285" s="709"/>
      <c r="Y285" s="709"/>
      <c r="Z285" s="709"/>
      <c r="AA285" s="709"/>
      <c r="AB285" s="709"/>
      <c r="AC285" s="709"/>
      <c r="AD285" s="709"/>
      <c r="AE285" s="709"/>
      <c r="AF285" s="709"/>
      <c r="AG285" s="709"/>
      <c r="AH285" s="709"/>
      <c r="AI285" s="709"/>
      <c r="AJ285" s="709"/>
      <c r="AK285" s="709"/>
      <c r="AL285" s="709"/>
      <c r="AM285" s="709"/>
      <c r="AN285" s="709"/>
      <c r="AO285" s="709"/>
      <c r="AP285" s="709"/>
      <c r="AQ285" s="709"/>
      <c r="AR285" s="709"/>
      <c r="AS285" s="709"/>
      <c r="AT285" s="709"/>
      <c r="AU285" s="709"/>
      <c r="AV285" s="709"/>
      <c r="AW285" s="709"/>
      <c r="AX285" s="709"/>
      <c r="AY285" s="709"/>
      <c r="AZ285" s="709"/>
      <c r="BA285" s="709"/>
      <c r="BB285" s="709"/>
      <c r="BC285" s="709"/>
      <c r="BD285" s="709"/>
      <c r="BE285" s="709"/>
      <c r="BF285" s="709"/>
      <c r="BG285" s="709"/>
      <c r="BH285" s="709"/>
      <c r="BI285" s="709"/>
      <c r="BJ285" s="709"/>
      <c r="BK285" s="709"/>
      <c r="BL285" s="709"/>
      <c r="BM285" s="709"/>
      <c r="BN285" s="709"/>
      <c r="BO285" s="709"/>
      <c r="BP285" s="709"/>
      <c r="BQ285" s="709"/>
      <c r="BR285" s="709"/>
      <c r="BS285" s="709"/>
      <c r="BT285" s="709"/>
      <c r="BU285" s="709"/>
      <c r="BV285" s="709"/>
      <c r="BW285" s="709"/>
      <c r="BX285" s="709"/>
      <c r="BY285" s="709"/>
      <c r="BZ285" s="709"/>
      <c r="CA285" s="709"/>
      <c r="CB285" s="709"/>
      <c r="CC285" s="709"/>
      <c r="CD285" s="709"/>
      <c r="CE285" s="709"/>
      <c r="CF285" s="709"/>
      <c r="CG285" s="709"/>
      <c r="CH285" s="709"/>
      <c r="CI285" s="710"/>
    </row>
    <row r="286" spans="2:87" x14ac:dyDescent="0.25">
      <c r="B286" s="950" t="s">
        <v>546</v>
      </c>
      <c r="C286" s="951" t="s">
        <v>547</v>
      </c>
      <c r="D286" s="951" t="s">
        <v>548</v>
      </c>
      <c r="E286" s="951" t="s">
        <v>146</v>
      </c>
      <c r="F286" s="952">
        <v>2</v>
      </c>
      <c r="G286" s="714"/>
      <c r="H286" s="715"/>
      <c r="I286" s="715"/>
      <c r="J286" s="715"/>
      <c r="K286" s="715"/>
      <c r="L286" s="715"/>
      <c r="M286" s="709"/>
      <c r="N286" s="709"/>
      <c r="O286" s="709"/>
      <c r="P286" s="709"/>
      <c r="Q286" s="709"/>
      <c r="R286" s="709"/>
      <c r="S286" s="709"/>
      <c r="T286" s="709"/>
      <c r="U286" s="709"/>
      <c r="V286" s="709"/>
      <c r="W286" s="709"/>
      <c r="X286" s="709"/>
      <c r="Y286" s="709"/>
      <c r="Z286" s="709"/>
      <c r="AA286" s="709"/>
      <c r="AB286" s="709"/>
      <c r="AC286" s="709"/>
      <c r="AD286" s="709"/>
      <c r="AE286" s="709"/>
      <c r="AF286" s="709"/>
      <c r="AG286" s="709"/>
      <c r="AH286" s="709"/>
      <c r="AI286" s="709"/>
      <c r="AJ286" s="709"/>
      <c r="AK286" s="709"/>
      <c r="AL286" s="709"/>
      <c r="AM286" s="709"/>
      <c r="AN286" s="709"/>
      <c r="AO286" s="709"/>
      <c r="AP286" s="709"/>
      <c r="AQ286" s="709"/>
      <c r="AR286" s="709"/>
      <c r="AS286" s="709"/>
      <c r="AT286" s="709"/>
      <c r="AU286" s="709"/>
      <c r="AV286" s="709"/>
      <c r="AW286" s="709"/>
      <c r="AX286" s="709"/>
      <c r="AY286" s="709"/>
      <c r="AZ286" s="709"/>
      <c r="BA286" s="709"/>
      <c r="BB286" s="709"/>
      <c r="BC286" s="709"/>
      <c r="BD286" s="709"/>
      <c r="BE286" s="709"/>
      <c r="BF286" s="709"/>
      <c r="BG286" s="709"/>
      <c r="BH286" s="709"/>
      <c r="BI286" s="709"/>
      <c r="BJ286" s="709"/>
      <c r="BK286" s="709"/>
      <c r="BL286" s="709"/>
      <c r="BM286" s="709"/>
      <c r="BN286" s="709"/>
      <c r="BO286" s="709"/>
      <c r="BP286" s="709"/>
      <c r="BQ286" s="709"/>
      <c r="BR286" s="709"/>
      <c r="BS286" s="709"/>
      <c r="BT286" s="709"/>
      <c r="BU286" s="709"/>
      <c r="BV286" s="709"/>
      <c r="BW286" s="709"/>
      <c r="BX286" s="709"/>
      <c r="BY286" s="709"/>
      <c r="BZ286" s="709"/>
      <c r="CA286" s="709"/>
      <c r="CB286" s="709"/>
      <c r="CC286" s="709"/>
      <c r="CD286" s="709"/>
      <c r="CE286" s="709"/>
      <c r="CF286" s="709"/>
      <c r="CG286" s="709"/>
      <c r="CH286" s="709"/>
      <c r="CI286" s="710"/>
    </row>
    <row r="287" spans="2:87" ht="14.4" thickBot="1" x14ac:dyDescent="0.3">
      <c r="B287" s="959" t="s">
        <v>549</v>
      </c>
      <c r="C287" s="960" t="s">
        <v>550</v>
      </c>
      <c r="D287" s="960" t="s">
        <v>551</v>
      </c>
      <c r="E287" s="960" t="s">
        <v>146</v>
      </c>
      <c r="F287" s="961">
        <v>2</v>
      </c>
      <c r="G287" s="725"/>
      <c r="H287" s="726"/>
      <c r="I287" s="726"/>
      <c r="J287" s="726"/>
      <c r="K287" s="726"/>
      <c r="L287" s="726"/>
      <c r="M287" s="727"/>
      <c r="N287" s="727"/>
      <c r="O287" s="727"/>
      <c r="P287" s="727"/>
      <c r="Q287" s="727"/>
      <c r="R287" s="727"/>
      <c r="S287" s="727"/>
      <c r="T287" s="727"/>
      <c r="U287" s="727"/>
      <c r="V287" s="727"/>
      <c r="W287" s="727"/>
      <c r="X287" s="727"/>
      <c r="Y287" s="727"/>
      <c r="Z287" s="727"/>
      <c r="AA287" s="727"/>
      <c r="AB287" s="727"/>
      <c r="AC287" s="727"/>
      <c r="AD287" s="727"/>
      <c r="AE287" s="727"/>
      <c r="AF287" s="727"/>
      <c r="AG287" s="727"/>
      <c r="AH287" s="727"/>
      <c r="AI287" s="727"/>
      <c r="AJ287" s="727"/>
      <c r="AK287" s="727"/>
      <c r="AL287" s="727"/>
      <c r="AM287" s="727"/>
      <c r="AN287" s="727"/>
      <c r="AO287" s="727"/>
      <c r="AP287" s="727"/>
      <c r="AQ287" s="727"/>
      <c r="AR287" s="727"/>
      <c r="AS287" s="727"/>
      <c r="AT287" s="727"/>
      <c r="AU287" s="727"/>
      <c r="AV287" s="727"/>
      <c r="AW287" s="727"/>
      <c r="AX287" s="727"/>
      <c r="AY287" s="727"/>
      <c r="AZ287" s="727"/>
      <c r="BA287" s="727"/>
      <c r="BB287" s="727"/>
      <c r="BC287" s="727"/>
      <c r="BD287" s="727"/>
      <c r="BE287" s="727"/>
      <c r="BF287" s="727"/>
      <c r="BG287" s="727"/>
      <c r="BH287" s="727"/>
      <c r="BI287" s="727"/>
      <c r="BJ287" s="727"/>
      <c r="BK287" s="727"/>
      <c r="BL287" s="727"/>
      <c r="BM287" s="727"/>
      <c r="BN287" s="727"/>
      <c r="BO287" s="727"/>
      <c r="BP287" s="727"/>
      <c r="BQ287" s="727"/>
      <c r="BR287" s="727"/>
      <c r="BS287" s="727"/>
      <c r="BT287" s="727"/>
      <c r="BU287" s="727"/>
      <c r="BV287" s="727"/>
      <c r="BW287" s="727"/>
      <c r="BX287" s="727"/>
      <c r="BY287" s="727"/>
      <c r="BZ287" s="727"/>
      <c r="CA287" s="727"/>
      <c r="CB287" s="727"/>
      <c r="CC287" s="727"/>
      <c r="CD287" s="727"/>
      <c r="CE287" s="727"/>
      <c r="CF287" s="727"/>
      <c r="CG287" s="727"/>
      <c r="CH287" s="727"/>
      <c r="CI287" s="728"/>
    </row>
    <row r="288" spans="2:87" ht="41.4" x14ac:dyDescent="0.25">
      <c r="B288" s="962" t="s">
        <v>552</v>
      </c>
      <c r="C288" s="963" t="s">
        <v>553</v>
      </c>
      <c r="D288" s="964" t="s">
        <v>554</v>
      </c>
      <c r="E288" s="963" t="s">
        <v>146</v>
      </c>
      <c r="F288" s="965">
        <v>2</v>
      </c>
      <c r="G288" s="706"/>
      <c r="H288" s="707"/>
      <c r="I288" s="707"/>
      <c r="J288" s="707"/>
      <c r="K288" s="707"/>
      <c r="L288" s="707"/>
      <c r="M288" s="708"/>
      <c r="N288" s="708"/>
      <c r="O288" s="708"/>
      <c r="P288" s="708"/>
      <c r="Q288" s="708"/>
      <c r="R288" s="708"/>
      <c r="S288" s="708"/>
      <c r="T288" s="708"/>
      <c r="U288" s="708"/>
      <c r="V288" s="708"/>
      <c r="W288" s="708"/>
      <c r="X288" s="708"/>
      <c r="Y288" s="708"/>
      <c r="Z288" s="708"/>
      <c r="AA288" s="708"/>
      <c r="AB288" s="708"/>
      <c r="AC288" s="708"/>
      <c r="AD288" s="708"/>
      <c r="AE288" s="708"/>
      <c r="AF288" s="708"/>
      <c r="AG288" s="708"/>
      <c r="AH288" s="708"/>
      <c r="AI288" s="708"/>
      <c r="AJ288" s="708"/>
      <c r="AK288" s="708"/>
      <c r="AL288" s="708"/>
      <c r="AM288" s="708"/>
      <c r="AN288" s="708"/>
      <c r="AO288" s="708"/>
      <c r="AP288" s="708"/>
      <c r="AQ288" s="708"/>
      <c r="AR288" s="708"/>
      <c r="AS288" s="708"/>
      <c r="AT288" s="708"/>
      <c r="AU288" s="708"/>
      <c r="AV288" s="708"/>
      <c r="AW288" s="708"/>
      <c r="AX288" s="708"/>
      <c r="AY288" s="708"/>
      <c r="AZ288" s="708"/>
      <c r="BA288" s="708"/>
      <c r="BB288" s="708"/>
      <c r="BC288" s="708"/>
      <c r="BD288" s="708"/>
      <c r="BE288" s="708"/>
      <c r="BF288" s="708"/>
      <c r="BG288" s="708"/>
      <c r="BH288" s="708"/>
      <c r="BI288" s="708"/>
      <c r="BJ288" s="708"/>
      <c r="BK288" s="708"/>
      <c r="BL288" s="708"/>
      <c r="BM288" s="708"/>
      <c r="BN288" s="708"/>
      <c r="BO288" s="708"/>
      <c r="BP288" s="708"/>
      <c r="BQ288" s="708"/>
      <c r="BR288" s="708"/>
      <c r="BS288" s="708"/>
      <c r="BT288" s="708"/>
      <c r="BU288" s="708"/>
      <c r="BV288" s="708"/>
      <c r="BW288" s="708"/>
      <c r="BX288" s="708"/>
      <c r="BY288" s="708"/>
      <c r="BZ288" s="708"/>
      <c r="CA288" s="708"/>
      <c r="CB288" s="708"/>
      <c r="CC288" s="708"/>
      <c r="CD288" s="708"/>
      <c r="CE288" s="708"/>
      <c r="CF288" s="708"/>
      <c r="CG288" s="708"/>
      <c r="CH288" s="708"/>
      <c r="CI288" s="733"/>
    </row>
    <row r="289" spans="2:89" ht="55.2" x14ac:dyDescent="0.25">
      <c r="B289" s="966" t="s">
        <v>555</v>
      </c>
      <c r="C289" s="967" t="s">
        <v>556</v>
      </c>
      <c r="D289" s="968" t="s">
        <v>557</v>
      </c>
      <c r="E289" s="967" t="s">
        <v>146</v>
      </c>
      <c r="F289" s="969">
        <v>2</v>
      </c>
      <c r="G289" s="714"/>
      <c r="H289" s="715"/>
      <c r="I289" s="715"/>
      <c r="J289" s="715"/>
      <c r="K289" s="715"/>
      <c r="L289" s="715"/>
      <c r="M289" s="709"/>
      <c r="N289" s="709"/>
      <c r="O289" s="709"/>
      <c r="P289" s="709"/>
      <c r="Q289" s="709"/>
      <c r="R289" s="709"/>
      <c r="S289" s="709"/>
      <c r="T289" s="709"/>
      <c r="U289" s="709"/>
      <c r="V289" s="709"/>
      <c r="W289" s="709"/>
      <c r="X289" s="709"/>
      <c r="Y289" s="709"/>
      <c r="Z289" s="709"/>
      <c r="AA289" s="709"/>
      <c r="AB289" s="709"/>
      <c r="AC289" s="709"/>
      <c r="AD289" s="709"/>
      <c r="AE289" s="709"/>
      <c r="AF289" s="709"/>
      <c r="AG289" s="709"/>
      <c r="AH289" s="709"/>
      <c r="AI289" s="709"/>
      <c r="AJ289" s="709"/>
      <c r="AK289" s="709"/>
      <c r="AL289" s="709"/>
      <c r="AM289" s="709"/>
      <c r="AN289" s="709"/>
      <c r="AO289" s="709"/>
      <c r="AP289" s="709"/>
      <c r="AQ289" s="709"/>
      <c r="AR289" s="709"/>
      <c r="AS289" s="709"/>
      <c r="AT289" s="709"/>
      <c r="AU289" s="709"/>
      <c r="AV289" s="709"/>
      <c r="AW289" s="709"/>
      <c r="AX289" s="709"/>
      <c r="AY289" s="709"/>
      <c r="AZ289" s="709"/>
      <c r="BA289" s="709"/>
      <c r="BB289" s="709"/>
      <c r="BC289" s="709"/>
      <c r="BD289" s="709"/>
      <c r="BE289" s="709"/>
      <c r="BF289" s="709"/>
      <c r="BG289" s="709"/>
      <c r="BH289" s="709"/>
      <c r="BI289" s="709"/>
      <c r="BJ289" s="709"/>
      <c r="BK289" s="709"/>
      <c r="BL289" s="709"/>
      <c r="BM289" s="709"/>
      <c r="BN289" s="709"/>
      <c r="BO289" s="709"/>
      <c r="BP289" s="709"/>
      <c r="BQ289" s="709"/>
      <c r="BR289" s="709"/>
      <c r="BS289" s="709"/>
      <c r="BT289" s="709"/>
      <c r="BU289" s="709"/>
      <c r="BV289" s="709"/>
      <c r="BW289" s="709"/>
      <c r="BX289" s="709"/>
      <c r="BY289" s="709"/>
      <c r="BZ289" s="709"/>
      <c r="CA289" s="709"/>
      <c r="CB289" s="709"/>
      <c r="CC289" s="709"/>
      <c r="CD289" s="709"/>
      <c r="CE289" s="709"/>
      <c r="CF289" s="709"/>
      <c r="CG289" s="709"/>
      <c r="CH289" s="709"/>
      <c r="CI289" s="710"/>
    </row>
    <row r="290" spans="2:89" ht="41.4" x14ac:dyDescent="0.25">
      <c r="B290" s="966" t="s">
        <v>558</v>
      </c>
      <c r="C290" s="967" t="s">
        <v>559</v>
      </c>
      <c r="D290" s="968" t="s">
        <v>560</v>
      </c>
      <c r="E290" s="967" t="s">
        <v>146</v>
      </c>
      <c r="F290" s="969">
        <v>2</v>
      </c>
      <c r="G290" s="714"/>
      <c r="H290" s="715"/>
      <c r="I290" s="715"/>
      <c r="J290" s="715"/>
      <c r="K290" s="715"/>
      <c r="L290" s="715"/>
      <c r="M290" s="709"/>
      <c r="N290" s="709"/>
      <c r="O290" s="709"/>
      <c r="P290" s="709"/>
      <c r="Q290" s="709"/>
      <c r="R290" s="709"/>
      <c r="S290" s="709"/>
      <c r="T290" s="709"/>
      <c r="U290" s="709"/>
      <c r="V290" s="709"/>
      <c r="W290" s="709"/>
      <c r="X290" s="709"/>
      <c r="Y290" s="709"/>
      <c r="Z290" s="709"/>
      <c r="AA290" s="709"/>
      <c r="AB290" s="709"/>
      <c r="AC290" s="709"/>
      <c r="AD290" s="709"/>
      <c r="AE290" s="709"/>
      <c r="AF290" s="709"/>
      <c r="AG290" s="709"/>
      <c r="AH290" s="709"/>
      <c r="AI290" s="709"/>
      <c r="AJ290" s="709"/>
      <c r="AK290" s="709"/>
      <c r="AL290" s="709"/>
      <c r="AM290" s="709"/>
      <c r="AN290" s="709"/>
      <c r="AO290" s="709"/>
      <c r="AP290" s="709"/>
      <c r="AQ290" s="709"/>
      <c r="AR290" s="709"/>
      <c r="AS290" s="709"/>
      <c r="AT290" s="709"/>
      <c r="AU290" s="709"/>
      <c r="AV290" s="709"/>
      <c r="AW290" s="709"/>
      <c r="AX290" s="709"/>
      <c r="AY290" s="709"/>
      <c r="AZ290" s="709"/>
      <c r="BA290" s="709"/>
      <c r="BB290" s="709"/>
      <c r="BC290" s="709"/>
      <c r="BD290" s="709"/>
      <c r="BE290" s="709"/>
      <c r="BF290" s="709"/>
      <c r="BG290" s="709"/>
      <c r="BH290" s="709"/>
      <c r="BI290" s="709"/>
      <c r="BJ290" s="709"/>
      <c r="BK290" s="709"/>
      <c r="BL290" s="709"/>
      <c r="BM290" s="709"/>
      <c r="BN290" s="709"/>
      <c r="BO290" s="709"/>
      <c r="BP290" s="709"/>
      <c r="BQ290" s="709"/>
      <c r="BR290" s="709"/>
      <c r="BS290" s="709"/>
      <c r="BT290" s="709"/>
      <c r="BU290" s="709"/>
      <c r="BV290" s="709"/>
      <c r="BW290" s="709"/>
      <c r="BX290" s="709"/>
      <c r="BY290" s="709"/>
      <c r="BZ290" s="709"/>
      <c r="CA290" s="709"/>
      <c r="CB290" s="709"/>
      <c r="CC290" s="709"/>
      <c r="CD290" s="709"/>
      <c r="CE290" s="709"/>
      <c r="CF290" s="709"/>
      <c r="CG290" s="709"/>
      <c r="CH290" s="709"/>
      <c r="CI290" s="710"/>
    </row>
    <row r="291" spans="2:89" ht="41.4" x14ac:dyDescent="0.25">
      <c r="B291" s="966" t="s">
        <v>561</v>
      </c>
      <c r="C291" s="967" t="s">
        <v>562</v>
      </c>
      <c r="D291" s="968" t="s">
        <v>563</v>
      </c>
      <c r="E291" s="967" t="s">
        <v>146</v>
      </c>
      <c r="F291" s="969">
        <v>2</v>
      </c>
      <c r="G291" s="714"/>
      <c r="H291" s="715"/>
      <c r="I291" s="715"/>
      <c r="J291" s="715"/>
      <c r="K291" s="715"/>
      <c r="L291" s="715"/>
      <c r="M291" s="709"/>
      <c r="N291" s="709"/>
      <c r="O291" s="709"/>
      <c r="P291" s="709"/>
      <c r="Q291" s="709"/>
      <c r="R291" s="709"/>
      <c r="S291" s="709"/>
      <c r="T291" s="709"/>
      <c r="U291" s="709"/>
      <c r="V291" s="709"/>
      <c r="W291" s="709"/>
      <c r="X291" s="709"/>
      <c r="Y291" s="709"/>
      <c r="Z291" s="709"/>
      <c r="AA291" s="709"/>
      <c r="AB291" s="709"/>
      <c r="AC291" s="709"/>
      <c r="AD291" s="709"/>
      <c r="AE291" s="709"/>
      <c r="AF291" s="709"/>
      <c r="AG291" s="709"/>
      <c r="AH291" s="709"/>
      <c r="AI291" s="709"/>
      <c r="AJ291" s="709"/>
      <c r="AK291" s="709"/>
      <c r="AL291" s="709"/>
      <c r="AM291" s="709"/>
      <c r="AN291" s="709"/>
      <c r="AO291" s="709"/>
      <c r="AP291" s="709"/>
      <c r="AQ291" s="709"/>
      <c r="AR291" s="709"/>
      <c r="AS291" s="709"/>
      <c r="AT291" s="709"/>
      <c r="AU291" s="709"/>
      <c r="AV291" s="709"/>
      <c r="AW291" s="709"/>
      <c r="AX291" s="709"/>
      <c r="AY291" s="709"/>
      <c r="AZ291" s="709"/>
      <c r="BA291" s="709"/>
      <c r="BB291" s="709"/>
      <c r="BC291" s="709"/>
      <c r="BD291" s="709"/>
      <c r="BE291" s="709"/>
      <c r="BF291" s="709"/>
      <c r="BG291" s="709"/>
      <c r="BH291" s="709"/>
      <c r="BI291" s="709"/>
      <c r="BJ291" s="709"/>
      <c r="BK291" s="709"/>
      <c r="BL291" s="709"/>
      <c r="BM291" s="709"/>
      <c r="BN291" s="709"/>
      <c r="BO291" s="709"/>
      <c r="BP291" s="709"/>
      <c r="BQ291" s="709"/>
      <c r="BR291" s="709"/>
      <c r="BS291" s="709"/>
      <c r="BT291" s="709"/>
      <c r="BU291" s="709"/>
      <c r="BV291" s="709"/>
      <c r="BW291" s="709"/>
      <c r="BX291" s="709"/>
      <c r="BY291" s="709"/>
      <c r="BZ291" s="709"/>
      <c r="CA291" s="709"/>
      <c r="CB291" s="709"/>
      <c r="CC291" s="709"/>
      <c r="CD291" s="709"/>
      <c r="CE291" s="709"/>
      <c r="CF291" s="709"/>
      <c r="CG291" s="709"/>
      <c r="CH291" s="709"/>
      <c r="CI291" s="710"/>
    </row>
    <row r="292" spans="2:89" x14ac:dyDescent="0.25">
      <c r="B292" s="966" t="s">
        <v>564</v>
      </c>
      <c r="C292" s="967" t="s">
        <v>565</v>
      </c>
      <c r="D292" s="968" t="s">
        <v>566</v>
      </c>
      <c r="E292" s="967" t="s">
        <v>146</v>
      </c>
      <c r="F292" s="969">
        <v>2</v>
      </c>
      <c r="G292" s="714"/>
      <c r="H292" s="715"/>
      <c r="I292" s="715"/>
      <c r="J292" s="715"/>
      <c r="K292" s="715"/>
      <c r="L292" s="715"/>
      <c r="M292" s="709"/>
      <c r="N292" s="709"/>
      <c r="O292" s="709"/>
      <c r="P292" s="709"/>
      <c r="Q292" s="709"/>
      <c r="R292" s="709"/>
      <c r="S292" s="709"/>
      <c r="T292" s="709"/>
      <c r="U292" s="709"/>
      <c r="V292" s="709"/>
      <c r="W292" s="709"/>
      <c r="X292" s="709"/>
      <c r="Y292" s="709"/>
      <c r="Z292" s="709"/>
      <c r="AA292" s="709"/>
      <c r="AB292" s="709"/>
      <c r="AC292" s="709"/>
      <c r="AD292" s="709"/>
      <c r="AE292" s="709"/>
      <c r="AF292" s="709"/>
      <c r="AG292" s="709"/>
      <c r="AH292" s="709"/>
      <c r="AI292" s="709"/>
      <c r="AJ292" s="709"/>
      <c r="AK292" s="709"/>
      <c r="AL292" s="709"/>
      <c r="AM292" s="709"/>
      <c r="AN292" s="709"/>
      <c r="AO292" s="709"/>
      <c r="AP292" s="709"/>
      <c r="AQ292" s="709"/>
      <c r="AR292" s="709"/>
      <c r="AS292" s="709"/>
      <c r="AT292" s="709"/>
      <c r="AU292" s="709"/>
      <c r="AV292" s="709"/>
      <c r="AW292" s="709"/>
      <c r="AX292" s="709"/>
      <c r="AY292" s="709"/>
      <c r="AZ292" s="709"/>
      <c r="BA292" s="709"/>
      <c r="BB292" s="709"/>
      <c r="BC292" s="709"/>
      <c r="BD292" s="709"/>
      <c r="BE292" s="709"/>
      <c r="BF292" s="709"/>
      <c r="BG292" s="709"/>
      <c r="BH292" s="709"/>
      <c r="BI292" s="709"/>
      <c r="BJ292" s="709"/>
      <c r="BK292" s="709"/>
      <c r="BL292" s="709"/>
      <c r="BM292" s="709"/>
      <c r="BN292" s="709"/>
      <c r="BO292" s="709"/>
      <c r="BP292" s="709"/>
      <c r="BQ292" s="709"/>
      <c r="BR292" s="709"/>
      <c r="BS292" s="709"/>
      <c r="BT292" s="709"/>
      <c r="BU292" s="709"/>
      <c r="BV292" s="709"/>
      <c r="BW292" s="709"/>
      <c r="BX292" s="709"/>
      <c r="BY292" s="709"/>
      <c r="BZ292" s="709"/>
      <c r="CA292" s="709"/>
      <c r="CB292" s="709"/>
      <c r="CC292" s="709"/>
      <c r="CD292" s="709"/>
      <c r="CE292" s="709"/>
      <c r="CF292" s="709"/>
      <c r="CG292" s="709"/>
      <c r="CH292" s="709"/>
      <c r="CI292" s="710"/>
    </row>
    <row r="293" spans="2:89" ht="28.2" thickBot="1" x14ac:dyDescent="0.3">
      <c r="B293" s="970" t="s">
        <v>567</v>
      </c>
      <c r="C293" s="971" t="s">
        <v>568</v>
      </c>
      <c r="D293" s="971" t="s">
        <v>569</v>
      </c>
      <c r="E293" s="971" t="s">
        <v>146</v>
      </c>
      <c r="F293" s="972">
        <v>2</v>
      </c>
      <c r="G293" s="741"/>
      <c r="H293" s="742"/>
      <c r="I293" s="742"/>
      <c r="J293" s="742"/>
      <c r="K293" s="742"/>
      <c r="L293" s="742"/>
      <c r="M293" s="743"/>
      <c r="N293" s="743"/>
      <c r="O293" s="743"/>
      <c r="P293" s="743"/>
      <c r="Q293" s="743"/>
      <c r="R293" s="743"/>
      <c r="S293" s="743"/>
      <c r="T293" s="743"/>
      <c r="U293" s="743"/>
      <c r="V293" s="743"/>
      <c r="W293" s="743"/>
      <c r="X293" s="743"/>
      <c r="Y293" s="743"/>
      <c r="Z293" s="743"/>
      <c r="AA293" s="743"/>
      <c r="AB293" s="743"/>
      <c r="AC293" s="743"/>
      <c r="AD293" s="743"/>
      <c r="AE293" s="743"/>
      <c r="AF293" s="743"/>
      <c r="AG293" s="743"/>
      <c r="AH293" s="743"/>
      <c r="AI293" s="743"/>
      <c r="AJ293" s="743"/>
      <c r="AK293" s="743"/>
      <c r="AL293" s="743"/>
      <c r="AM293" s="743"/>
      <c r="AN293" s="743"/>
      <c r="AO293" s="743"/>
      <c r="AP293" s="743"/>
      <c r="AQ293" s="743"/>
      <c r="AR293" s="743"/>
      <c r="AS293" s="743"/>
      <c r="AT293" s="743"/>
      <c r="AU293" s="743"/>
      <c r="AV293" s="743"/>
      <c r="AW293" s="743"/>
      <c r="AX293" s="743"/>
      <c r="AY293" s="743"/>
      <c r="AZ293" s="743"/>
      <c r="BA293" s="743"/>
      <c r="BB293" s="743"/>
      <c r="BC293" s="743"/>
      <c r="BD293" s="743"/>
      <c r="BE293" s="743"/>
      <c r="BF293" s="743"/>
      <c r="BG293" s="743"/>
      <c r="BH293" s="743"/>
      <c r="BI293" s="743"/>
      <c r="BJ293" s="743"/>
      <c r="BK293" s="743"/>
      <c r="BL293" s="743"/>
      <c r="BM293" s="743"/>
      <c r="BN293" s="743"/>
      <c r="BO293" s="743"/>
      <c r="BP293" s="743"/>
      <c r="BQ293" s="743"/>
      <c r="BR293" s="743"/>
      <c r="BS293" s="743"/>
      <c r="BT293" s="743"/>
      <c r="BU293" s="743"/>
      <c r="BV293" s="743"/>
      <c r="BW293" s="743"/>
      <c r="BX293" s="743"/>
      <c r="BY293" s="743"/>
      <c r="BZ293" s="743"/>
      <c r="CA293" s="743"/>
      <c r="CB293" s="743"/>
      <c r="CC293" s="743"/>
      <c r="CD293" s="743"/>
      <c r="CE293" s="743"/>
      <c r="CF293" s="743"/>
      <c r="CG293" s="743"/>
      <c r="CH293" s="743"/>
      <c r="CI293" s="744"/>
    </row>
    <row r="294" spans="2:89" ht="27.6" x14ac:dyDescent="0.25">
      <c r="B294" s="973" t="s">
        <v>570</v>
      </c>
      <c r="C294" s="974" t="s">
        <v>571</v>
      </c>
      <c r="D294" s="975" t="s">
        <v>572</v>
      </c>
      <c r="E294" s="974" t="s">
        <v>146</v>
      </c>
      <c r="F294" s="976">
        <v>2</v>
      </c>
      <c r="G294" s="706"/>
      <c r="H294" s="707"/>
      <c r="I294" s="707"/>
      <c r="J294" s="707"/>
      <c r="K294" s="707"/>
      <c r="L294" s="707"/>
      <c r="M294" s="708"/>
      <c r="N294" s="708"/>
      <c r="O294" s="708"/>
      <c r="P294" s="708"/>
      <c r="Q294" s="708"/>
      <c r="R294" s="708"/>
      <c r="S294" s="708"/>
      <c r="T294" s="708"/>
      <c r="U294" s="708"/>
      <c r="V294" s="708"/>
      <c r="W294" s="708"/>
      <c r="X294" s="708"/>
      <c r="Y294" s="708"/>
      <c r="Z294" s="708"/>
      <c r="AA294" s="708"/>
      <c r="AB294" s="708"/>
      <c r="AC294" s="708"/>
      <c r="AD294" s="708"/>
      <c r="AE294" s="708"/>
      <c r="AF294" s="708"/>
      <c r="AG294" s="708"/>
      <c r="AH294" s="708"/>
      <c r="AI294" s="708"/>
      <c r="AJ294" s="708"/>
      <c r="AK294" s="708"/>
      <c r="AL294" s="708"/>
      <c r="AM294" s="708"/>
      <c r="AN294" s="708"/>
      <c r="AO294" s="708"/>
      <c r="AP294" s="708"/>
      <c r="AQ294" s="708"/>
      <c r="AR294" s="708"/>
      <c r="AS294" s="708"/>
      <c r="AT294" s="708"/>
      <c r="AU294" s="708"/>
      <c r="AV294" s="708"/>
      <c r="AW294" s="708"/>
      <c r="AX294" s="708"/>
      <c r="AY294" s="708"/>
      <c r="AZ294" s="708"/>
      <c r="BA294" s="708"/>
      <c r="BB294" s="708"/>
      <c r="BC294" s="708"/>
      <c r="BD294" s="708"/>
      <c r="BE294" s="708"/>
      <c r="BF294" s="708"/>
      <c r="BG294" s="708"/>
      <c r="BH294" s="708"/>
      <c r="BI294" s="708"/>
      <c r="BJ294" s="708"/>
      <c r="BK294" s="708"/>
      <c r="BL294" s="708"/>
      <c r="BM294" s="708"/>
      <c r="BN294" s="708"/>
      <c r="BO294" s="708"/>
      <c r="BP294" s="708"/>
      <c r="BQ294" s="708"/>
      <c r="BR294" s="708"/>
      <c r="BS294" s="708"/>
      <c r="BT294" s="708"/>
      <c r="BU294" s="708"/>
      <c r="BV294" s="708"/>
      <c r="BW294" s="708"/>
      <c r="BX294" s="708"/>
      <c r="BY294" s="708"/>
      <c r="BZ294" s="708"/>
      <c r="CA294" s="708"/>
      <c r="CB294" s="708"/>
      <c r="CC294" s="708"/>
      <c r="CD294" s="708"/>
      <c r="CE294" s="708"/>
      <c r="CF294" s="708"/>
      <c r="CG294" s="708"/>
      <c r="CH294" s="708"/>
      <c r="CI294" s="733"/>
    </row>
    <row r="295" spans="2:89" ht="27.6" x14ac:dyDescent="0.25">
      <c r="B295" s="955" t="s">
        <v>573</v>
      </c>
      <c r="C295" s="956" t="s">
        <v>574</v>
      </c>
      <c r="D295" s="957" t="s">
        <v>575</v>
      </c>
      <c r="E295" s="956" t="s">
        <v>146</v>
      </c>
      <c r="F295" s="958">
        <v>2</v>
      </c>
      <c r="G295" s="714"/>
      <c r="H295" s="715"/>
      <c r="I295" s="715"/>
      <c r="J295" s="715"/>
      <c r="K295" s="715"/>
      <c r="L295" s="715"/>
      <c r="M295" s="709"/>
      <c r="N295" s="709"/>
      <c r="O295" s="709"/>
      <c r="P295" s="709"/>
      <c r="Q295" s="709"/>
      <c r="R295" s="709"/>
      <c r="S295" s="709"/>
      <c r="T295" s="709"/>
      <c r="U295" s="709"/>
      <c r="V295" s="709"/>
      <c r="W295" s="709"/>
      <c r="X295" s="709"/>
      <c r="Y295" s="709"/>
      <c r="Z295" s="709"/>
      <c r="AA295" s="709"/>
      <c r="AB295" s="709"/>
      <c r="AC295" s="709"/>
      <c r="AD295" s="709"/>
      <c r="AE295" s="709"/>
      <c r="AF295" s="709"/>
      <c r="AG295" s="709"/>
      <c r="AH295" s="709"/>
      <c r="AI295" s="709"/>
      <c r="AJ295" s="709"/>
      <c r="AK295" s="709"/>
      <c r="AL295" s="709"/>
      <c r="AM295" s="709"/>
      <c r="AN295" s="709"/>
      <c r="AO295" s="709"/>
      <c r="AP295" s="709"/>
      <c r="AQ295" s="709"/>
      <c r="AR295" s="709"/>
      <c r="AS295" s="709"/>
      <c r="AT295" s="709"/>
      <c r="AU295" s="709"/>
      <c r="AV295" s="709"/>
      <c r="AW295" s="709"/>
      <c r="AX295" s="709"/>
      <c r="AY295" s="709"/>
      <c r="AZ295" s="709"/>
      <c r="BA295" s="709"/>
      <c r="BB295" s="709"/>
      <c r="BC295" s="709"/>
      <c r="BD295" s="709"/>
      <c r="BE295" s="709"/>
      <c r="BF295" s="709"/>
      <c r="BG295" s="709"/>
      <c r="BH295" s="709"/>
      <c r="BI295" s="709"/>
      <c r="BJ295" s="709"/>
      <c r="BK295" s="709"/>
      <c r="BL295" s="709"/>
      <c r="BM295" s="709"/>
      <c r="BN295" s="709"/>
      <c r="BO295" s="709"/>
      <c r="BP295" s="709"/>
      <c r="BQ295" s="709"/>
      <c r="BR295" s="709"/>
      <c r="BS295" s="709"/>
      <c r="BT295" s="709"/>
      <c r="BU295" s="709"/>
      <c r="BV295" s="709"/>
      <c r="BW295" s="709"/>
      <c r="BX295" s="709"/>
      <c r="BY295" s="709"/>
      <c r="BZ295" s="709"/>
      <c r="CA295" s="709"/>
      <c r="CB295" s="709"/>
      <c r="CC295" s="709"/>
      <c r="CD295" s="709"/>
      <c r="CE295" s="709"/>
      <c r="CF295" s="709"/>
      <c r="CG295" s="709"/>
      <c r="CH295" s="709"/>
      <c r="CI295" s="710"/>
    </row>
    <row r="296" spans="2:89" ht="27.6" x14ac:dyDescent="0.25">
      <c r="B296" s="955" t="s">
        <v>576</v>
      </c>
      <c r="C296" s="956" t="s">
        <v>577</v>
      </c>
      <c r="D296" s="957" t="s">
        <v>578</v>
      </c>
      <c r="E296" s="956" t="s">
        <v>146</v>
      </c>
      <c r="F296" s="958">
        <v>2</v>
      </c>
      <c r="G296" s="714"/>
      <c r="H296" s="715"/>
      <c r="I296" s="715"/>
      <c r="J296" s="715"/>
      <c r="K296" s="715"/>
      <c r="L296" s="715"/>
      <c r="M296" s="709"/>
      <c r="N296" s="709"/>
      <c r="O296" s="709"/>
      <c r="P296" s="709"/>
      <c r="Q296" s="709"/>
      <c r="R296" s="709"/>
      <c r="S296" s="709"/>
      <c r="T296" s="709"/>
      <c r="U296" s="709"/>
      <c r="V296" s="709"/>
      <c r="W296" s="709"/>
      <c r="X296" s="709"/>
      <c r="Y296" s="709"/>
      <c r="Z296" s="709"/>
      <c r="AA296" s="709"/>
      <c r="AB296" s="709"/>
      <c r="AC296" s="709"/>
      <c r="AD296" s="709"/>
      <c r="AE296" s="709"/>
      <c r="AF296" s="709"/>
      <c r="AG296" s="709"/>
      <c r="AH296" s="709"/>
      <c r="AI296" s="709"/>
      <c r="AJ296" s="709"/>
      <c r="AK296" s="709"/>
      <c r="AL296" s="709"/>
      <c r="AM296" s="709"/>
      <c r="AN296" s="709"/>
      <c r="AO296" s="709"/>
      <c r="AP296" s="709"/>
      <c r="AQ296" s="709"/>
      <c r="AR296" s="709"/>
      <c r="AS296" s="709"/>
      <c r="AT296" s="709"/>
      <c r="AU296" s="709"/>
      <c r="AV296" s="709"/>
      <c r="AW296" s="709"/>
      <c r="AX296" s="709"/>
      <c r="AY296" s="709"/>
      <c r="AZ296" s="709"/>
      <c r="BA296" s="709"/>
      <c r="BB296" s="709"/>
      <c r="BC296" s="709"/>
      <c r="BD296" s="709"/>
      <c r="BE296" s="709"/>
      <c r="BF296" s="709"/>
      <c r="BG296" s="709"/>
      <c r="BH296" s="709"/>
      <c r="BI296" s="709"/>
      <c r="BJ296" s="709"/>
      <c r="BK296" s="709"/>
      <c r="BL296" s="709"/>
      <c r="BM296" s="709"/>
      <c r="BN296" s="709"/>
      <c r="BO296" s="709"/>
      <c r="BP296" s="709"/>
      <c r="BQ296" s="709"/>
      <c r="BR296" s="709"/>
      <c r="BS296" s="709"/>
      <c r="BT296" s="709"/>
      <c r="BU296" s="709"/>
      <c r="BV296" s="709"/>
      <c r="BW296" s="709"/>
      <c r="BX296" s="709"/>
      <c r="BY296" s="709"/>
      <c r="BZ296" s="709"/>
      <c r="CA296" s="709"/>
      <c r="CB296" s="709"/>
      <c r="CC296" s="709"/>
      <c r="CD296" s="709"/>
      <c r="CE296" s="709"/>
      <c r="CF296" s="709"/>
      <c r="CG296" s="709"/>
      <c r="CH296" s="709"/>
      <c r="CI296" s="710"/>
    </row>
    <row r="297" spans="2:89" ht="27.6" x14ac:dyDescent="0.25">
      <c r="B297" s="955" t="s">
        <v>579</v>
      </c>
      <c r="C297" s="956" t="s">
        <v>580</v>
      </c>
      <c r="D297" s="957" t="s">
        <v>581</v>
      </c>
      <c r="E297" s="956" t="s">
        <v>146</v>
      </c>
      <c r="F297" s="958">
        <v>2</v>
      </c>
      <c r="G297" s="714"/>
      <c r="H297" s="715"/>
      <c r="I297" s="715"/>
      <c r="J297" s="715"/>
      <c r="K297" s="715"/>
      <c r="L297" s="715"/>
      <c r="M297" s="709"/>
      <c r="N297" s="709"/>
      <c r="O297" s="709"/>
      <c r="P297" s="709"/>
      <c r="Q297" s="709"/>
      <c r="R297" s="709"/>
      <c r="S297" s="709"/>
      <c r="T297" s="709"/>
      <c r="U297" s="709"/>
      <c r="V297" s="709"/>
      <c r="W297" s="709"/>
      <c r="X297" s="709"/>
      <c r="Y297" s="709"/>
      <c r="Z297" s="709"/>
      <c r="AA297" s="709"/>
      <c r="AB297" s="709"/>
      <c r="AC297" s="709"/>
      <c r="AD297" s="709"/>
      <c r="AE297" s="709"/>
      <c r="AF297" s="709"/>
      <c r="AG297" s="709"/>
      <c r="AH297" s="709"/>
      <c r="AI297" s="709"/>
      <c r="AJ297" s="709"/>
      <c r="AK297" s="709"/>
      <c r="AL297" s="709"/>
      <c r="AM297" s="709"/>
      <c r="AN297" s="709"/>
      <c r="AO297" s="709"/>
      <c r="AP297" s="709"/>
      <c r="AQ297" s="709"/>
      <c r="AR297" s="709"/>
      <c r="AS297" s="709"/>
      <c r="AT297" s="709"/>
      <c r="AU297" s="709"/>
      <c r="AV297" s="709"/>
      <c r="AW297" s="709"/>
      <c r="AX297" s="709"/>
      <c r="AY297" s="709"/>
      <c r="AZ297" s="709"/>
      <c r="BA297" s="709"/>
      <c r="BB297" s="709"/>
      <c r="BC297" s="709"/>
      <c r="BD297" s="709"/>
      <c r="BE297" s="709"/>
      <c r="BF297" s="709"/>
      <c r="BG297" s="709"/>
      <c r="BH297" s="709"/>
      <c r="BI297" s="709"/>
      <c r="BJ297" s="709"/>
      <c r="BK297" s="709"/>
      <c r="BL297" s="709"/>
      <c r="BM297" s="709"/>
      <c r="BN297" s="709"/>
      <c r="BO297" s="709"/>
      <c r="BP297" s="709"/>
      <c r="BQ297" s="709"/>
      <c r="BR297" s="709"/>
      <c r="BS297" s="709"/>
      <c r="BT297" s="709"/>
      <c r="BU297" s="709"/>
      <c r="BV297" s="709"/>
      <c r="BW297" s="709"/>
      <c r="BX297" s="709"/>
      <c r="BY297" s="709"/>
      <c r="BZ297" s="709"/>
      <c r="CA297" s="709"/>
      <c r="CB297" s="709"/>
      <c r="CC297" s="709"/>
      <c r="CD297" s="709"/>
      <c r="CE297" s="709"/>
      <c r="CF297" s="709"/>
      <c r="CG297" s="709"/>
      <c r="CH297" s="709"/>
      <c r="CI297" s="710"/>
    </row>
    <row r="298" spans="2:89" ht="27.6" x14ac:dyDescent="0.25">
      <c r="B298" s="955" t="s">
        <v>582</v>
      </c>
      <c r="C298" s="956" t="s">
        <v>583</v>
      </c>
      <c r="D298" s="957" t="s">
        <v>584</v>
      </c>
      <c r="E298" s="956" t="s">
        <v>146</v>
      </c>
      <c r="F298" s="958">
        <v>2</v>
      </c>
      <c r="G298" s="714"/>
      <c r="H298" s="715"/>
      <c r="I298" s="715"/>
      <c r="J298" s="715"/>
      <c r="K298" s="715"/>
      <c r="L298" s="715"/>
      <c r="M298" s="709"/>
      <c r="N298" s="709"/>
      <c r="O298" s="709"/>
      <c r="P298" s="709"/>
      <c r="Q298" s="709"/>
      <c r="R298" s="709"/>
      <c r="S298" s="709"/>
      <c r="T298" s="709"/>
      <c r="U298" s="709"/>
      <c r="V298" s="709"/>
      <c r="W298" s="709"/>
      <c r="X298" s="709"/>
      <c r="Y298" s="709"/>
      <c r="Z298" s="709"/>
      <c r="AA298" s="709"/>
      <c r="AB298" s="709"/>
      <c r="AC298" s="709"/>
      <c r="AD298" s="709"/>
      <c r="AE298" s="709"/>
      <c r="AF298" s="709"/>
      <c r="AG298" s="709"/>
      <c r="AH298" s="709"/>
      <c r="AI298" s="709"/>
      <c r="AJ298" s="709"/>
      <c r="AK298" s="709"/>
      <c r="AL298" s="709"/>
      <c r="AM298" s="709"/>
      <c r="AN298" s="709"/>
      <c r="AO298" s="709"/>
      <c r="AP298" s="709"/>
      <c r="AQ298" s="709"/>
      <c r="AR298" s="709"/>
      <c r="AS298" s="709"/>
      <c r="AT298" s="709"/>
      <c r="AU298" s="709"/>
      <c r="AV298" s="709"/>
      <c r="AW298" s="709"/>
      <c r="AX298" s="709"/>
      <c r="AY298" s="709"/>
      <c r="AZ298" s="709"/>
      <c r="BA298" s="709"/>
      <c r="BB298" s="709"/>
      <c r="BC298" s="709"/>
      <c r="BD298" s="709"/>
      <c r="BE298" s="709"/>
      <c r="BF298" s="709"/>
      <c r="BG298" s="709"/>
      <c r="BH298" s="709"/>
      <c r="BI298" s="709"/>
      <c r="BJ298" s="709"/>
      <c r="BK298" s="709"/>
      <c r="BL298" s="709"/>
      <c r="BM298" s="709"/>
      <c r="BN298" s="709"/>
      <c r="BO298" s="709"/>
      <c r="BP298" s="709"/>
      <c r="BQ298" s="709"/>
      <c r="BR298" s="709"/>
      <c r="BS298" s="709"/>
      <c r="BT298" s="709"/>
      <c r="BU298" s="709"/>
      <c r="BV298" s="709"/>
      <c r="BW298" s="709"/>
      <c r="BX298" s="709"/>
      <c r="BY298" s="709"/>
      <c r="BZ298" s="709"/>
      <c r="CA298" s="709"/>
      <c r="CB298" s="709"/>
      <c r="CC298" s="709"/>
      <c r="CD298" s="709"/>
      <c r="CE298" s="709"/>
      <c r="CF298" s="709"/>
      <c r="CG298" s="709"/>
      <c r="CH298" s="709"/>
      <c r="CI298" s="710"/>
    </row>
    <row r="299" spans="2:89" x14ac:dyDescent="0.25">
      <c r="B299" s="977" t="s">
        <v>585</v>
      </c>
      <c r="C299" s="978" t="s">
        <v>586</v>
      </c>
      <c r="D299" s="978" t="s">
        <v>587</v>
      </c>
      <c r="E299" s="978" t="s">
        <v>146</v>
      </c>
      <c r="F299" s="979">
        <v>2</v>
      </c>
      <c r="G299" s="741"/>
      <c r="H299" s="742"/>
      <c r="I299" s="742"/>
      <c r="J299" s="742"/>
      <c r="K299" s="742"/>
      <c r="L299" s="742"/>
      <c r="M299" s="743"/>
      <c r="N299" s="743"/>
      <c r="O299" s="743"/>
      <c r="P299" s="743"/>
      <c r="Q299" s="743"/>
      <c r="R299" s="743"/>
      <c r="S299" s="743"/>
      <c r="T299" s="743"/>
      <c r="U299" s="743"/>
      <c r="V299" s="743"/>
      <c r="W299" s="743"/>
      <c r="X299" s="743"/>
      <c r="Y299" s="743"/>
      <c r="Z299" s="743"/>
      <c r="AA299" s="743"/>
      <c r="AB299" s="743"/>
      <c r="AC299" s="743"/>
      <c r="AD299" s="743"/>
      <c r="AE299" s="743"/>
      <c r="AF299" s="743"/>
      <c r="AG299" s="743"/>
      <c r="AH299" s="743"/>
      <c r="AI299" s="743"/>
      <c r="AJ299" s="743"/>
      <c r="AK299" s="743"/>
      <c r="AL299" s="743"/>
      <c r="AM299" s="743"/>
      <c r="AN299" s="743"/>
      <c r="AO299" s="743"/>
      <c r="AP299" s="743"/>
      <c r="AQ299" s="743"/>
      <c r="AR299" s="743"/>
      <c r="AS299" s="743"/>
      <c r="AT299" s="743"/>
      <c r="AU299" s="743"/>
      <c r="AV299" s="743"/>
      <c r="AW299" s="743"/>
      <c r="AX299" s="743"/>
      <c r="AY299" s="743"/>
      <c r="AZ299" s="743"/>
      <c r="BA299" s="743"/>
      <c r="BB299" s="743"/>
      <c r="BC299" s="743"/>
      <c r="BD299" s="743"/>
      <c r="BE299" s="743"/>
      <c r="BF299" s="743"/>
      <c r="BG299" s="743"/>
      <c r="BH299" s="743"/>
      <c r="BI299" s="743"/>
      <c r="BJ299" s="743"/>
      <c r="BK299" s="743"/>
      <c r="BL299" s="743"/>
      <c r="BM299" s="743"/>
      <c r="BN299" s="743"/>
      <c r="BO299" s="743"/>
      <c r="BP299" s="743"/>
      <c r="BQ299" s="743"/>
      <c r="BR299" s="743"/>
      <c r="BS299" s="743"/>
      <c r="BT299" s="743"/>
      <c r="BU299" s="743"/>
      <c r="BV299" s="743"/>
      <c r="BW299" s="743"/>
      <c r="BX299" s="743"/>
      <c r="BY299" s="743"/>
      <c r="BZ299" s="743"/>
      <c r="CA299" s="743"/>
      <c r="CB299" s="743"/>
      <c r="CC299" s="743"/>
      <c r="CD299" s="743"/>
      <c r="CE299" s="743"/>
      <c r="CF299" s="743"/>
      <c r="CG299" s="743"/>
      <c r="CH299" s="743"/>
      <c r="CI299" s="744"/>
    </row>
    <row r="300" spans="2:89" ht="14.4" thickBot="1" x14ac:dyDescent="0.3">
      <c r="B300" s="752"/>
      <c r="C300" s="752"/>
      <c r="D300" s="752"/>
      <c r="E300" s="752"/>
      <c r="F300" s="695"/>
      <c r="G300" s="696"/>
      <c r="H300" s="696"/>
      <c r="I300" s="696"/>
      <c r="J300" s="696"/>
      <c r="K300" s="696"/>
      <c r="L300" s="696"/>
      <c r="M300" s="696"/>
      <c r="N300" s="696"/>
      <c r="O300" s="696"/>
      <c r="P300" s="696"/>
      <c r="Q300" s="696"/>
      <c r="R300" s="696"/>
      <c r="S300" s="696"/>
      <c r="T300" s="696"/>
      <c r="U300" s="696"/>
      <c r="V300" s="696"/>
      <c r="W300" s="696"/>
      <c r="X300" s="696"/>
      <c r="Y300" s="696"/>
      <c r="Z300" s="696"/>
      <c r="AA300" s="696"/>
      <c r="AB300" s="696"/>
      <c r="AC300" s="696"/>
      <c r="AD300" s="696"/>
      <c r="AE300" s="696"/>
      <c r="AF300" s="696"/>
      <c r="AG300" s="696"/>
      <c r="AH300" s="696"/>
      <c r="AI300" s="696"/>
      <c r="AJ300" s="696"/>
      <c r="AK300" s="696"/>
      <c r="AL300" s="696"/>
      <c r="AM300" s="696"/>
      <c r="AN300" s="696"/>
      <c r="AO300" s="696"/>
      <c r="AP300" s="696"/>
      <c r="AQ300" s="696"/>
      <c r="AR300" s="696"/>
      <c r="AS300" s="696"/>
      <c r="AT300" s="696"/>
      <c r="AU300" s="696"/>
      <c r="AV300" s="696"/>
      <c r="AW300" s="696"/>
      <c r="AX300" s="696"/>
      <c r="AY300" s="696"/>
      <c r="AZ300" s="696"/>
      <c r="BA300" s="696"/>
      <c r="BB300" s="696"/>
      <c r="BC300" s="696"/>
      <c r="BD300" s="696"/>
      <c r="BE300" s="696"/>
      <c r="BF300" s="696"/>
      <c r="BG300" s="696"/>
      <c r="BH300" s="696"/>
      <c r="BI300" s="696"/>
      <c r="BJ300" s="696"/>
      <c r="BK300" s="696"/>
      <c r="BL300" s="696"/>
      <c r="BM300" s="696"/>
      <c r="BN300" s="696"/>
      <c r="BO300" s="696"/>
      <c r="BP300" s="696"/>
      <c r="BQ300" s="696"/>
      <c r="BR300" s="696"/>
      <c r="BS300" s="696"/>
      <c r="BT300" s="696"/>
      <c r="BU300" s="696"/>
      <c r="BV300" s="696"/>
      <c r="BW300" s="696"/>
      <c r="BX300" s="696"/>
      <c r="BY300" s="696"/>
      <c r="BZ300" s="696"/>
      <c r="CA300" s="696"/>
      <c r="CB300" s="696"/>
      <c r="CC300" s="696"/>
      <c r="CD300" s="696"/>
      <c r="CE300" s="696"/>
      <c r="CF300" s="696"/>
      <c r="CG300" s="696"/>
      <c r="CH300" s="696"/>
      <c r="CI300" s="696"/>
      <c r="CJ300" s="1118"/>
    </row>
    <row r="301" spans="2:89" ht="14.4" thickBot="1" x14ac:dyDescent="0.3">
      <c r="B301" s="941" t="s">
        <v>353</v>
      </c>
      <c r="C301" s="1378" t="s">
        <v>115</v>
      </c>
      <c r="D301" s="559"/>
      <c r="E301" s="559"/>
      <c r="F301" s="559"/>
      <c r="G301" s="559"/>
      <c r="H301" s="559"/>
      <c r="I301" s="559"/>
      <c r="J301" s="559"/>
      <c r="K301" s="559"/>
      <c r="L301" s="559"/>
      <c r="M301" s="559"/>
      <c r="N301" s="559"/>
      <c r="O301" s="559"/>
      <c r="P301" s="559"/>
      <c r="Q301" s="559"/>
      <c r="R301" s="559"/>
      <c r="S301" s="559"/>
      <c r="T301" s="559"/>
      <c r="U301" s="559"/>
      <c r="V301" s="559"/>
      <c r="W301" s="559"/>
      <c r="X301" s="559"/>
      <c r="Y301" s="559"/>
      <c r="Z301" s="559"/>
      <c r="AA301" s="559"/>
      <c r="AB301" s="559"/>
      <c r="AC301" s="559"/>
      <c r="AD301" s="559"/>
      <c r="AE301" s="559"/>
      <c r="AF301" s="559"/>
      <c r="AG301" s="559"/>
      <c r="AH301" s="559"/>
      <c r="AI301" s="559"/>
      <c r="AJ301" s="559"/>
      <c r="AK301" s="559"/>
      <c r="AL301" s="559"/>
      <c r="AM301" s="559"/>
      <c r="AN301" s="559"/>
      <c r="AO301" s="559"/>
      <c r="AP301" s="559"/>
      <c r="AQ301" s="559"/>
      <c r="AR301" s="559"/>
      <c r="AS301" s="559"/>
      <c r="AT301" s="559"/>
      <c r="AU301" s="559"/>
      <c r="AV301" s="559"/>
      <c r="AW301" s="559"/>
      <c r="AX301" s="559"/>
      <c r="AY301" s="559"/>
      <c r="AZ301" s="559"/>
      <c r="BA301" s="559"/>
      <c r="BB301" s="559"/>
      <c r="BC301" s="559"/>
      <c r="BD301" s="559"/>
      <c r="BE301" s="559"/>
      <c r="BF301" s="559"/>
      <c r="BG301" s="559"/>
      <c r="BH301" s="559"/>
      <c r="BI301" s="559"/>
      <c r="BJ301" s="559"/>
      <c r="BK301" s="559"/>
      <c r="BL301" s="559"/>
      <c r="BM301" s="559"/>
      <c r="BN301" s="559"/>
      <c r="BO301" s="559"/>
      <c r="BP301" s="559"/>
      <c r="BQ301" s="559"/>
      <c r="BR301" s="559"/>
      <c r="BS301" s="559"/>
      <c r="BT301" s="559"/>
      <c r="BU301" s="559"/>
      <c r="BV301" s="559"/>
      <c r="BW301" s="559"/>
      <c r="BX301" s="559"/>
      <c r="BY301" s="559"/>
      <c r="BZ301" s="559"/>
      <c r="CA301" s="559"/>
      <c r="CB301" s="559"/>
      <c r="CC301" s="559"/>
      <c r="CD301" s="559"/>
      <c r="CE301" s="559"/>
      <c r="CF301" s="559"/>
      <c r="CG301" s="559"/>
      <c r="CH301" s="559"/>
      <c r="CI301" s="559"/>
    </row>
    <row r="302" spans="2:89" ht="14.4" thickBot="1" x14ac:dyDescent="0.3">
      <c r="B302" s="980" t="s">
        <v>356</v>
      </c>
      <c r="C302" s="981" t="s">
        <v>116</v>
      </c>
      <c r="D302" s="981" t="s">
        <v>64</v>
      </c>
      <c r="E302" s="981" t="s">
        <v>117</v>
      </c>
      <c r="F302" s="982" t="s">
        <v>118</v>
      </c>
      <c r="G302" s="980" t="s">
        <v>119</v>
      </c>
      <c r="H302" s="980" t="s">
        <v>120</v>
      </c>
      <c r="I302" s="980" t="s">
        <v>121</v>
      </c>
      <c r="J302" s="980" t="s">
        <v>122</v>
      </c>
      <c r="K302" s="980" t="s">
        <v>123</v>
      </c>
      <c r="L302" s="980" t="s">
        <v>124</v>
      </c>
      <c r="M302" s="981" t="s">
        <v>125</v>
      </c>
      <c r="N302" s="981" t="s">
        <v>126</v>
      </c>
      <c r="O302" s="981" t="s">
        <v>127</v>
      </c>
      <c r="P302" s="981" t="s">
        <v>128</v>
      </c>
      <c r="Q302" s="981" t="s">
        <v>129</v>
      </c>
      <c r="R302" s="981" t="s">
        <v>130</v>
      </c>
      <c r="S302" s="981" t="s">
        <v>157</v>
      </c>
      <c r="T302" s="981" t="s">
        <v>158</v>
      </c>
      <c r="U302" s="981" t="s">
        <v>159</v>
      </c>
      <c r="V302" s="981" t="s">
        <v>160</v>
      </c>
      <c r="W302" s="981" t="s">
        <v>131</v>
      </c>
      <c r="X302" s="981" t="s">
        <v>161</v>
      </c>
      <c r="Y302" s="981" t="s">
        <v>162</v>
      </c>
      <c r="Z302" s="981" t="s">
        <v>163</v>
      </c>
      <c r="AA302" s="981" t="s">
        <v>164</v>
      </c>
      <c r="AB302" s="981" t="s">
        <v>132</v>
      </c>
      <c r="AC302" s="981" t="s">
        <v>165</v>
      </c>
      <c r="AD302" s="981" t="s">
        <v>166</v>
      </c>
      <c r="AE302" s="981" t="s">
        <v>167</v>
      </c>
      <c r="AF302" s="981" t="s">
        <v>168</v>
      </c>
      <c r="AG302" s="981" t="s">
        <v>133</v>
      </c>
      <c r="AH302" s="981" t="s">
        <v>169</v>
      </c>
      <c r="AI302" s="981" t="s">
        <v>170</v>
      </c>
      <c r="AJ302" s="981" t="s">
        <v>171</v>
      </c>
      <c r="AK302" s="981" t="s">
        <v>172</v>
      </c>
      <c r="AL302" s="981" t="s">
        <v>134</v>
      </c>
      <c r="AM302" s="981" t="s">
        <v>173</v>
      </c>
      <c r="AN302" s="981" t="s">
        <v>174</v>
      </c>
      <c r="AO302" s="981" t="s">
        <v>175</v>
      </c>
      <c r="AP302" s="981" t="s">
        <v>176</v>
      </c>
      <c r="AQ302" s="981" t="s">
        <v>135</v>
      </c>
      <c r="AR302" s="981" t="s">
        <v>177</v>
      </c>
      <c r="AS302" s="981" t="s">
        <v>178</v>
      </c>
      <c r="AT302" s="981" t="s">
        <v>179</v>
      </c>
      <c r="AU302" s="981" t="s">
        <v>180</v>
      </c>
      <c r="AV302" s="981" t="s">
        <v>136</v>
      </c>
      <c r="AW302" s="981" t="s">
        <v>181</v>
      </c>
      <c r="AX302" s="981" t="s">
        <v>182</v>
      </c>
      <c r="AY302" s="981" t="s">
        <v>183</v>
      </c>
      <c r="AZ302" s="981" t="s">
        <v>184</v>
      </c>
      <c r="BA302" s="981" t="s">
        <v>137</v>
      </c>
      <c r="BB302" s="981" t="s">
        <v>185</v>
      </c>
      <c r="BC302" s="981" t="s">
        <v>186</v>
      </c>
      <c r="BD302" s="981" t="s">
        <v>187</v>
      </c>
      <c r="BE302" s="981" t="s">
        <v>188</v>
      </c>
      <c r="BF302" s="981" t="s">
        <v>138</v>
      </c>
      <c r="BG302" s="981" t="s">
        <v>189</v>
      </c>
      <c r="BH302" s="981" t="s">
        <v>190</v>
      </c>
      <c r="BI302" s="981" t="s">
        <v>191</v>
      </c>
      <c r="BJ302" s="981" t="s">
        <v>192</v>
      </c>
      <c r="BK302" s="981" t="s">
        <v>139</v>
      </c>
      <c r="BL302" s="981" t="s">
        <v>193</v>
      </c>
      <c r="BM302" s="981" t="s">
        <v>194</v>
      </c>
      <c r="BN302" s="981" t="s">
        <v>195</v>
      </c>
      <c r="BO302" s="981" t="s">
        <v>196</v>
      </c>
      <c r="BP302" s="981" t="s">
        <v>140</v>
      </c>
      <c r="BQ302" s="981" t="s">
        <v>197</v>
      </c>
      <c r="BR302" s="981" t="s">
        <v>198</v>
      </c>
      <c r="BS302" s="981" t="s">
        <v>199</v>
      </c>
      <c r="BT302" s="981" t="s">
        <v>200</v>
      </c>
      <c r="BU302" s="981" t="s">
        <v>141</v>
      </c>
      <c r="BV302" s="981" t="s">
        <v>201</v>
      </c>
      <c r="BW302" s="981" t="s">
        <v>202</v>
      </c>
      <c r="BX302" s="981" t="s">
        <v>203</v>
      </c>
      <c r="BY302" s="981" t="s">
        <v>204</v>
      </c>
      <c r="BZ302" s="981" t="s">
        <v>142</v>
      </c>
      <c r="CA302" s="981" t="s">
        <v>205</v>
      </c>
      <c r="CB302" s="981" t="s">
        <v>206</v>
      </c>
      <c r="CC302" s="981" t="s">
        <v>207</v>
      </c>
      <c r="CD302" s="981" t="s">
        <v>208</v>
      </c>
      <c r="CE302" s="981" t="s">
        <v>143</v>
      </c>
      <c r="CF302" s="981" t="s">
        <v>209</v>
      </c>
      <c r="CG302" s="981" t="s">
        <v>210</v>
      </c>
      <c r="CH302" s="981" t="s">
        <v>211</v>
      </c>
      <c r="CI302" s="982" t="s">
        <v>212</v>
      </c>
      <c r="CK302" s="1366"/>
    </row>
    <row r="303" spans="2:89" x14ac:dyDescent="0.25">
      <c r="B303" s="983" t="s">
        <v>588</v>
      </c>
      <c r="C303" s="984" t="s">
        <v>358</v>
      </c>
      <c r="D303" s="975" t="s">
        <v>79</v>
      </c>
      <c r="E303" s="985" t="s">
        <v>146</v>
      </c>
      <c r="F303" s="986">
        <v>2</v>
      </c>
      <c r="G303" s="568"/>
      <c r="H303" s="568"/>
      <c r="I303" s="568"/>
      <c r="J303" s="568"/>
      <c r="K303" s="568"/>
      <c r="L303" s="568"/>
      <c r="M303" s="761"/>
      <c r="N303" s="761"/>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c r="BC303" s="761"/>
      <c r="BD303" s="761"/>
      <c r="BE303" s="761"/>
      <c r="BF303" s="761"/>
      <c r="BG303" s="761"/>
      <c r="BH303" s="761"/>
      <c r="BI303" s="761"/>
      <c r="BJ303" s="761"/>
      <c r="BK303" s="761"/>
      <c r="BL303" s="761"/>
      <c r="BM303" s="761"/>
      <c r="BN303" s="761"/>
      <c r="BO303" s="761"/>
      <c r="BP303" s="761"/>
      <c r="BQ303" s="761"/>
      <c r="BR303" s="761"/>
      <c r="BS303" s="761"/>
      <c r="BT303" s="761"/>
      <c r="BU303" s="761"/>
      <c r="BV303" s="761"/>
      <c r="BW303" s="761"/>
      <c r="BX303" s="761"/>
      <c r="BY303" s="761"/>
      <c r="BZ303" s="761"/>
      <c r="CA303" s="761"/>
      <c r="CB303" s="761"/>
      <c r="CC303" s="761"/>
      <c r="CD303" s="761"/>
      <c r="CE303" s="761"/>
      <c r="CF303" s="761"/>
      <c r="CG303" s="761"/>
      <c r="CH303" s="761"/>
      <c r="CI303" s="762"/>
      <c r="CK303" s="1366"/>
    </row>
    <row r="304" spans="2:89" x14ac:dyDescent="0.25">
      <c r="B304" s="987" t="s">
        <v>589</v>
      </c>
      <c r="C304" s="954" t="s">
        <v>590</v>
      </c>
      <c r="D304" s="957" t="s">
        <v>591</v>
      </c>
      <c r="E304" s="988" t="s">
        <v>146</v>
      </c>
      <c r="F304" s="989">
        <v>2</v>
      </c>
      <c r="G304" s="848"/>
      <c r="H304" s="848"/>
      <c r="I304" s="848">
        <f t="shared" ref="I304:BR307" si="144">I206+I276</f>
        <v>0</v>
      </c>
      <c r="J304" s="848">
        <f t="shared" si="144"/>
        <v>0</v>
      </c>
      <c r="K304" s="848">
        <f t="shared" si="144"/>
        <v>0</v>
      </c>
      <c r="L304" s="848">
        <f t="shared" si="144"/>
        <v>0</v>
      </c>
      <c r="M304" s="848">
        <f t="shared" si="144"/>
        <v>0</v>
      </c>
      <c r="N304" s="848">
        <f t="shared" si="144"/>
        <v>0</v>
      </c>
      <c r="O304" s="848">
        <f t="shared" si="144"/>
        <v>0</v>
      </c>
      <c r="P304" s="848">
        <f t="shared" si="144"/>
        <v>0</v>
      </c>
      <c r="Q304" s="848">
        <f t="shared" si="144"/>
        <v>0</v>
      </c>
      <c r="R304" s="848">
        <f t="shared" si="144"/>
        <v>0</v>
      </c>
      <c r="S304" s="848">
        <f t="shared" si="144"/>
        <v>0</v>
      </c>
      <c r="T304" s="848">
        <f t="shared" si="144"/>
        <v>0</v>
      </c>
      <c r="U304" s="848">
        <f t="shared" si="144"/>
        <v>0</v>
      </c>
      <c r="V304" s="848">
        <f t="shared" si="144"/>
        <v>0</v>
      </c>
      <c r="W304" s="848">
        <f t="shared" si="144"/>
        <v>0</v>
      </c>
      <c r="X304" s="848">
        <f t="shared" si="144"/>
        <v>0</v>
      </c>
      <c r="Y304" s="848">
        <f t="shared" si="144"/>
        <v>0</v>
      </c>
      <c r="Z304" s="848">
        <f t="shared" si="144"/>
        <v>0</v>
      </c>
      <c r="AA304" s="848">
        <f t="shared" si="144"/>
        <v>0</v>
      </c>
      <c r="AB304" s="848">
        <f t="shared" si="144"/>
        <v>0</v>
      </c>
      <c r="AC304" s="848">
        <f t="shared" si="144"/>
        <v>0</v>
      </c>
      <c r="AD304" s="848">
        <f t="shared" si="144"/>
        <v>0</v>
      </c>
      <c r="AE304" s="848">
        <f t="shared" si="144"/>
        <v>0</v>
      </c>
      <c r="AF304" s="848">
        <f t="shared" si="144"/>
        <v>0</v>
      </c>
      <c r="AG304" s="848">
        <f t="shared" si="144"/>
        <v>0</v>
      </c>
      <c r="AH304" s="848">
        <f t="shared" si="144"/>
        <v>0</v>
      </c>
      <c r="AI304" s="848">
        <f t="shared" si="144"/>
        <v>0</v>
      </c>
      <c r="AJ304" s="848">
        <f t="shared" si="144"/>
        <v>0</v>
      </c>
      <c r="AK304" s="848">
        <f t="shared" si="144"/>
        <v>0</v>
      </c>
      <c r="AL304" s="848">
        <f t="shared" si="144"/>
        <v>0</v>
      </c>
      <c r="AM304" s="848">
        <f t="shared" si="144"/>
        <v>0</v>
      </c>
      <c r="AN304" s="848">
        <f t="shared" si="144"/>
        <v>0</v>
      </c>
      <c r="AO304" s="848">
        <f t="shared" si="144"/>
        <v>0</v>
      </c>
      <c r="AP304" s="848">
        <f t="shared" si="144"/>
        <v>0</v>
      </c>
      <c r="AQ304" s="848">
        <f t="shared" si="144"/>
        <v>0</v>
      </c>
      <c r="AR304" s="848">
        <f t="shared" si="144"/>
        <v>0</v>
      </c>
      <c r="AS304" s="848">
        <f t="shared" si="144"/>
        <v>0</v>
      </c>
      <c r="AT304" s="848">
        <f t="shared" si="144"/>
        <v>0</v>
      </c>
      <c r="AU304" s="848">
        <f t="shared" si="144"/>
        <v>0</v>
      </c>
      <c r="AV304" s="848">
        <f t="shared" si="144"/>
        <v>0</v>
      </c>
      <c r="AW304" s="848">
        <f t="shared" si="144"/>
        <v>0</v>
      </c>
      <c r="AX304" s="848">
        <f t="shared" si="144"/>
        <v>0</v>
      </c>
      <c r="AY304" s="848">
        <f t="shared" si="144"/>
        <v>0</v>
      </c>
      <c r="AZ304" s="848">
        <f t="shared" si="144"/>
        <v>0</v>
      </c>
      <c r="BA304" s="848">
        <f t="shared" si="144"/>
        <v>0</v>
      </c>
      <c r="BB304" s="848">
        <f t="shared" si="144"/>
        <v>0</v>
      </c>
      <c r="BC304" s="848">
        <f t="shared" si="144"/>
        <v>0</v>
      </c>
      <c r="BD304" s="848">
        <f t="shared" si="144"/>
        <v>0</v>
      </c>
      <c r="BE304" s="848">
        <f t="shared" si="144"/>
        <v>0</v>
      </c>
      <c r="BF304" s="848">
        <f t="shared" si="144"/>
        <v>0</v>
      </c>
      <c r="BG304" s="848">
        <f t="shared" si="144"/>
        <v>0</v>
      </c>
      <c r="BH304" s="848">
        <f t="shared" si="144"/>
        <v>0</v>
      </c>
      <c r="BI304" s="848">
        <f t="shared" si="144"/>
        <v>0</v>
      </c>
      <c r="BJ304" s="848">
        <f t="shared" si="144"/>
        <v>0</v>
      </c>
      <c r="BK304" s="848">
        <f t="shared" si="144"/>
        <v>0</v>
      </c>
      <c r="BL304" s="848">
        <f t="shared" si="144"/>
        <v>0</v>
      </c>
      <c r="BM304" s="848">
        <f t="shared" si="144"/>
        <v>0</v>
      </c>
      <c r="BN304" s="848">
        <f t="shared" si="144"/>
        <v>0</v>
      </c>
      <c r="BO304" s="848">
        <f t="shared" si="144"/>
        <v>0</v>
      </c>
      <c r="BP304" s="848">
        <f t="shared" si="144"/>
        <v>0</v>
      </c>
      <c r="BQ304" s="848">
        <f t="shared" si="144"/>
        <v>0</v>
      </c>
      <c r="BR304" s="848">
        <f t="shared" si="144"/>
        <v>0</v>
      </c>
      <c r="BS304" s="848">
        <f t="shared" ref="BS304:CI308" si="145">BS206+BS276</f>
        <v>0</v>
      </c>
      <c r="BT304" s="848">
        <f t="shared" si="145"/>
        <v>0</v>
      </c>
      <c r="BU304" s="848">
        <f t="shared" si="145"/>
        <v>0</v>
      </c>
      <c r="BV304" s="848">
        <f t="shared" si="145"/>
        <v>0</v>
      </c>
      <c r="BW304" s="848">
        <f t="shared" si="145"/>
        <v>0</v>
      </c>
      <c r="BX304" s="848">
        <f t="shared" si="145"/>
        <v>0</v>
      </c>
      <c r="BY304" s="848">
        <f t="shared" si="145"/>
        <v>0</v>
      </c>
      <c r="BZ304" s="848">
        <f t="shared" si="145"/>
        <v>0</v>
      </c>
      <c r="CA304" s="848">
        <f t="shared" si="145"/>
        <v>0</v>
      </c>
      <c r="CB304" s="848">
        <f t="shared" si="145"/>
        <v>0</v>
      </c>
      <c r="CC304" s="848">
        <f t="shared" si="145"/>
        <v>0</v>
      </c>
      <c r="CD304" s="848">
        <f t="shared" si="145"/>
        <v>0</v>
      </c>
      <c r="CE304" s="848">
        <f t="shared" si="145"/>
        <v>0</v>
      </c>
      <c r="CF304" s="848">
        <f t="shared" si="145"/>
        <v>0</v>
      </c>
      <c r="CG304" s="848">
        <f t="shared" si="145"/>
        <v>0</v>
      </c>
      <c r="CH304" s="848">
        <f t="shared" si="145"/>
        <v>0</v>
      </c>
      <c r="CI304" s="769">
        <f t="shared" si="145"/>
        <v>0</v>
      </c>
      <c r="CK304" s="1366"/>
    </row>
    <row r="305" spans="2:89" x14ac:dyDescent="0.25">
      <c r="B305" s="987" t="s">
        <v>592</v>
      </c>
      <c r="C305" s="954" t="s">
        <v>362</v>
      </c>
      <c r="D305" s="957" t="s">
        <v>593</v>
      </c>
      <c r="E305" s="988" t="s">
        <v>146</v>
      </c>
      <c r="F305" s="989">
        <v>2</v>
      </c>
      <c r="G305" s="607"/>
      <c r="H305" s="607"/>
      <c r="I305" s="607">
        <f t="shared" si="144"/>
        <v>0</v>
      </c>
      <c r="J305" s="607">
        <f t="shared" si="144"/>
        <v>0</v>
      </c>
      <c r="K305" s="607">
        <f t="shared" si="144"/>
        <v>0</v>
      </c>
      <c r="L305" s="607">
        <f t="shared" si="144"/>
        <v>0</v>
      </c>
      <c r="M305" s="768">
        <f t="shared" si="144"/>
        <v>0</v>
      </c>
      <c r="N305" s="768">
        <f t="shared" si="144"/>
        <v>0</v>
      </c>
      <c r="O305" s="768">
        <f t="shared" si="144"/>
        <v>0</v>
      </c>
      <c r="P305" s="768">
        <f t="shared" si="144"/>
        <v>0</v>
      </c>
      <c r="Q305" s="768">
        <f t="shared" si="144"/>
        <v>0</v>
      </c>
      <c r="R305" s="768">
        <f t="shared" si="144"/>
        <v>0</v>
      </c>
      <c r="S305" s="768">
        <f t="shared" si="144"/>
        <v>0</v>
      </c>
      <c r="T305" s="768">
        <f t="shared" si="144"/>
        <v>0</v>
      </c>
      <c r="U305" s="768">
        <f t="shared" si="144"/>
        <v>0</v>
      </c>
      <c r="V305" s="768">
        <f t="shared" si="144"/>
        <v>0</v>
      </c>
      <c r="W305" s="768">
        <f t="shared" si="144"/>
        <v>0</v>
      </c>
      <c r="X305" s="768">
        <f t="shared" si="144"/>
        <v>0</v>
      </c>
      <c r="Y305" s="768">
        <f t="shared" si="144"/>
        <v>0</v>
      </c>
      <c r="Z305" s="768">
        <f t="shared" si="144"/>
        <v>0</v>
      </c>
      <c r="AA305" s="768">
        <f t="shared" si="144"/>
        <v>0</v>
      </c>
      <c r="AB305" s="768">
        <f t="shared" si="144"/>
        <v>0</v>
      </c>
      <c r="AC305" s="768">
        <f t="shared" si="144"/>
        <v>0</v>
      </c>
      <c r="AD305" s="768">
        <f t="shared" si="144"/>
        <v>0</v>
      </c>
      <c r="AE305" s="768">
        <f t="shared" si="144"/>
        <v>0</v>
      </c>
      <c r="AF305" s="768">
        <f t="shared" si="144"/>
        <v>0</v>
      </c>
      <c r="AG305" s="768">
        <f t="shared" si="144"/>
        <v>0</v>
      </c>
      <c r="AH305" s="768">
        <f t="shared" si="144"/>
        <v>0</v>
      </c>
      <c r="AI305" s="768">
        <f t="shared" si="144"/>
        <v>0</v>
      </c>
      <c r="AJ305" s="768">
        <f t="shared" si="144"/>
        <v>0</v>
      </c>
      <c r="AK305" s="768">
        <f t="shared" si="144"/>
        <v>0</v>
      </c>
      <c r="AL305" s="768">
        <f t="shared" si="144"/>
        <v>0</v>
      </c>
      <c r="AM305" s="768">
        <f t="shared" si="144"/>
        <v>0</v>
      </c>
      <c r="AN305" s="768">
        <f t="shared" si="144"/>
        <v>0</v>
      </c>
      <c r="AO305" s="768">
        <f t="shared" si="144"/>
        <v>0</v>
      </c>
      <c r="AP305" s="768">
        <f t="shared" si="144"/>
        <v>0</v>
      </c>
      <c r="AQ305" s="768">
        <f t="shared" si="144"/>
        <v>0</v>
      </c>
      <c r="AR305" s="768">
        <f t="shared" si="144"/>
        <v>0</v>
      </c>
      <c r="AS305" s="768">
        <f t="shared" si="144"/>
        <v>0</v>
      </c>
      <c r="AT305" s="768">
        <f t="shared" si="144"/>
        <v>0</v>
      </c>
      <c r="AU305" s="768">
        <f t="shared" si="144"/>
        <v>0</v>
      </c>
      <c r="AV305" s="768">
        <f t="shared" si="144"/>
        <v>0</v>
      </c>
      <c r="AW305" s="768">
        <f t="shared" si="144"/>
        <v>0</v>
      </c>
      <c r="AX305" s="768">
        <f t="shared" si="144"/>
        <v>0</v>
      </c>
      <c r="AY305" s="768">
        <f t="shared" si="144"/>
        <v>0</v>
      </c>
      <c r="AZ305" s="768">
        <f t="shared" si="144"/>
        <v>0</v>
      </c>
      <c r="BA305" s="768">
        <f t="shared" si="144"/>
        <v>0</v>
      </c>
      <c r="BB305" s="768">
        <f t="shared" si="144"/>
        <v>0</v>
      </c>
      <c r="BC305" s="768">
        <f t="shared" si="144"/>
        <v>0</v>
      </c>
      <c r="BD305" s="768">
        <f t="shared" si="144"/>
        <v>0</v>
      </c>
      <c r="BE305" s="768">
        <f t="shared" si="144"/>
        <v>0</v>
      </c>
      <c r="BF305" s="768">
        <f t="shared" si="144"/>
        <v>0</v>
      </c>
      <c r="BG305" s="768">
        <f t="shared" si="144"/>
        <v>0</v>
      </c>
      <c r="BH305" s="768">
        <f t="shared" si="144"/>
        <v>0</v>
      </c>
      <c r="BI305" s="768">
        <f t="shared" si="144"/>
        <v>0</v>
      </c>
      <c r="BJ305" s="768">
        <f t="shared" si="144"/>
        <v>0</v>
      </c>
      <c r="BK305" s="768">
        <f t="shared" si="144"/>
        <v>0</v>
      </c>
      <c r="BL305" s="768">
        <f t="shared" si="144"/>
        <v>0</v>
      </c>
      <c r="BM305" s="768">
        <f t="shared" si="144"/>
        <v>0</v>
      </c>
      <c r="BN305" s="768">
        <f t="shared" si="144"/>
        <v>0</v>
      </c>
      <c r="BO305" s="768">
        <f t="shared" si="144"/>
        <v>0</v>
      </c>
      <c r="BP305" s="768">
        <f t="shared" si="144"/>
        <v>0</v>
      </c>
      <c r="BQ305" s="768">
        <f t="shared" si="144"/>
        <v>0</v>
      </c>
      <c r="BR305" s="768">
        <f t="shared" si="144"/>
        <v>0</v>
      </c>
      <c r="BS305" s="768">
        <f t="shared" si="145"/>
        <v>0</v>
      </c>
      <c r="BT305" s="768">
        <f t="shared" si="145"/>
        <v>0</v>
      </c>
      <c r="BU305" s="768">
        <f t="shared" si="145"/>
        <v>0</v>
      </c>
      <c r="BV305" s="768">
        <f t="shared" si="145"/>
        <v>0</v>
      </c>
      <c r="BW305" s="768">
        <f t="shared" si="145"/>
        <v>0</v>
      </c>
      <c r="BX305" s="768">
        <f t="shared" si="145"/>
        <v>0</v>
      </c>
      <c r="BY305" s="768">
        <f t="shared" si="145"/>
        <v>0</v>
      </c>
      <c r="BZ305" s="768">
        <f t="shared" si="145"/>
        <v>0</v>
      </c>
      <c r="CA305" s="768">
        <f t="shared" si="145"/>
        <v>0</v>
      </c>
      <c r="CB305" s="768">
        <f t="shared" si="145"/>
        <v>0</v>
      </c>
      <c r="CC305" s="768">
        <f t="shared" si="145"/>
        <v>0</v>
      </c>
      <c r="CD305" s="768">
        <f t="shared" si="145"/>
        <v>0</v>
      </c>
      <c r="CE305" s="768">
        <f t="shared" si="145"/>
        <v>0</v>
      </c>
      <c r="CF305" s="768">
        <f t="shared" si="145"/>
        <v>0</v>
      </c>
      <c r="CG305" s="768">
        <f t="shared" si="145"/>
        <v>0</v>
      </c>
      <c r="CH305" s="768">
        <f t="shared" si="145"/>
        <v>0</v>
      </c>
      <c r="CI305" s="769">
        <f t="shared" si="145"/>
        <v>0</v>
      </c>
      <c r="CK305" s="1366"/>
    </row>
    <row r="306" spans="2:89" x14ac:dyDescent="0.25">
      <c r="B306" s="987" t="s">
        <v>594</v>
      </c>
      <c r="C306" s="954" t="s">
        <v>364</v>
      </c>
      <c r="D306" s="957" t="s">
        <v>595</v>
      </c>
      <c r="E306" s="988" t="s">
        <v>146</v>
      </c>
      <c r="F306" s="989">
        <v>2</v>
      </c>
      <c r="G306" s="607"/>
      <c r="H306" s="607"/>
      <c r="I306" s="607">
        <f t="shared" si="144"/>
        <v>0</v>
      </c>
      <c r="J306" s="607">
        <f t="shared" si="144"/>
        <v>0</v>
      </c>
      <c r="K306" s="607">
        <f t="shared" si="144"/>
        <v>0</v>
      </c>
      <c r="L306" s="607">
        <f t="shared" si="144"/>
        <v>0</v>
      </c>
      <c r="M306" s="768">
        <f t="shared" si="144"/>
        <v>0</v>
      </c>
      <c r="N306" s="768">
        <f t="shared" si="144"/>
        <v>0</v>
      </c>
      <c r="O306" s="768">
        <f t="shared" si="144"/>
        <v>0</v>
      </c>
      <c r="P306" s="768">
        <f t="shared" si="144"/>
        <v>0</v>
      </c>
      <c r="Q306" s="768">
        <f t="shared" si="144"/>
        <v>0</v>
      </c>
      <c r="R306" s="768">
        <f t="shared" si="144"/>
        <v>0</v>
      </c>
      <c r="S306" s="768">
        <f t="shared" si="144"/>
        <v>0</v>
      </c>
      <c r="T306" s="768">
        <f t="shared" si="144"/>
        <v>0</v>
      </c>
      <c r="U306" s="768">
        <f t="shared" si="144"/>
        <v>0</v>
      </c>
      <c r="V306" s="768">
        <f t="shared" si="144"/>
        <v>0</v>
      </c>
      <c r="W306" s="768">
        <f t="shared" si="144"/>
        <v>0</v>
      </c>
      <c r="X306" s="768">
        <f t="shared" si="144"/>
        <v>0</v>
      </c>
      <c r="Y306" s="768">
        <f t="shared" si="144"/>
        <v>0</v>
      </c>
      <c r="Z306" s="768">
        <f t="shared" si="144"/>
        <v>0</v>
      </c>
      <c r="AA306" s="768">
        <f t="shared" si="144"/>
        <v>0</v>
      </c>
      <c r="AB306" s="768">
        <f t="shared" si="144"/>
        <v>0</v>
      </c>
      <c r="AC306" s="768">
        <f t="shared" si="144"/>
        <v>0</v>
      </c>
      <c r="AD306" s="768">
        <f t="shared" si="144"/>
        <v>0</v>
      </c>
      <c r="AE306" s="768">
        <f t="shared" si="144"/>
        <v>0</v>
      </c>
      <c r="AF306" s="768">
        <f t="shared" si="144"/>
        <v>0</v>
      </c>
      <c r="AG306" s="768">
        <f t="shared" si="144"/>
        <v>0</v>
      </c>
      <c r="AH306" s="768">
        <f t="shared" si="144"/>
        <v>0</v>
      </c>
      <c r="AI306" s="768">
        <f t="shared" si="144"/>
        <v>0</v>
      </c>
      <c r="AJ306" s="768">
        <f t="shared" si="144"/>
        <v>0</v>
      </c>
      <c r="AK306" s="768">
        <f t="shared" si="144"/>
        <v>0</v>
      </c>
      <c r="AL306" s="768">
        <f t="shared" si="144"/>
        <v>0</v>
      </c>
      <c r="AM306" s="768">
        <f t="shared" si="144"/>
        <v>0</v>
      </c>
      <c r="AN306" s="768">
        <f t="shared" si="144"/>
        <v>0</v>
      </c>
      <c r="AO306" s="768">
        <f t="shared" si="144"/>
        <v>0</v>
      </c>
      <c r="AP306" s="768">
        <f t="shared" si="144"/>
        <v>0</v>
      </c>
      <c r="AQ306" s="768">
        <f t="shared" si="144"/>
        <v>0</v>
      </c>
      <c r="AR306" s="768">
        <f t="shared" si="144"/>
        <v>0</v>
      </c>
      <c r="AS306" s="768">
        <f t="shared" si="144"/>
        <v>0</v>
      </c>
      <c r="AT306" s="768">
        <f t="shared" si="144"/>
        <v>0</v>
      </c>
      <c r="AU306" s="768">
        <f t="shared" si="144"/>
        <v>0</v>
      </c>
      <c r="AV306" s="768">
        <f t="shared" si="144"/>
        <v>0</v>
      </c>
      <c r="AW306" s="768">
        <f t="shared" si="144"/>
        <v>0</v>
      </c>
      <c r="AX306" s="768">
        <f t="shared" si="144"/>
        <v>0</v>
      </c>
      <c r="AY306" s="768">
        <f t="shared" si="144"/>
        <v>0</v>
      </c>
      <c r="AZ306" s="768">
        <f t="shared" si="144"/>
        <v>0</v>
      </c>
      <c r="BA306" s="768">
        <f t="shared" si="144"/>
        <v>0</v>
      </c>
      <c r="BB306" s="768">
        <f t="shared" si="144"/>
        <v>0</v>
      </c>
      <c r="BC306" s="768">
        <f t="shared" si="144"/>
        <v>0</v>
      </c>
      <c r="BD306" s="768">
        <f t="shared" si="144"/>
        <v>0</v>
      </c>
      <c r="BE306" s="768">
        <f t="shared" si="144"/>
        <v>0</v>
      </c>
      <c r="BF306" s="768">
        <f t="shared" si="144"/>
        <v>0</v>
      </c>
      <c r="BG306" s="768">
        <f t="shared" si="144"/>
        <v>0</v>
      </c>
      <c r="BH306" s="768">
        <f t="shared" si="144"/>
        <v>0</v>
      </c>
      <c r="BI306" s="768">
        <f t="shared" si="144"/>
        <v>0</v>
      </c>
      <c r="BJ306" s="768">
        <f t="shared" si="144"/>
        <v>0</v>
      </c>
      <c r="BK306" s="768">
        <f t="shared" si="144"/>
        <v>0</v>
      </c>
      <c r="BL306" s="768">
        <f t="shared" si="144"/>
        <v>0</v>
      </c>
      <c r="BM306" s="768">
        <f t="shared" si="144"/>
        <v>0</v>
      </c>
      <c r="BN306" s="768">
        <f t="shared" si="144"/>
        <v>0</v>
      </c>
      <c r="BO306" s="768">
        <f t="shared" si="144"/>
        <v>0</v>
      </c>
      <c r="BP306" s="768">
        <f t="shared" si="144"/>
        <v>0</v>
      </c>
      <c r="BQ306" s="768">
        <f t="shared" si="144"/>
        <v>0</v>
      </c>
      <c r="BR306" s="768">
        <f t="shared" si="144"/>
        <v>0</v>
      </c>
      <c r="BS306" s="768">
        <f t="shared" si="145"/>
        <v>0</v>
      </c>
      <c r="BT306" s="768">
        <f t="shared" si="145"/>
        <v>0</v>
      </c>
      <c r="BU306" s="768">
        <f t="shared" si="145"/>
        <v>0</v>
      </c>
      <c r="BV306" s="768">
        <f t="shared" si="145"/>
        <v>0</v>
      </c>
      <c r="BW306" s="768">
        <f t="shared" si="145"/>
        <v>0</v>
      </c>
      <c r="BX306" s="768">
        <f t="shared" si="145"/>
        <v>0</v>
      </c>
      <c r="BY306" s="768">
        <f t="shared" si="145"/>
        <v>0</v>
      </c>
      <c r="BZ306" s="768">
        <f t="shared" si="145"/>
        <v>0</v>
      </c>
      <c r="CA306" s="768">
        <f t="shared" si="145"/>
        <v>0</v>
      </c>
      <c r="CB306" s="768">
        <f t="shared" si="145"/>
        <v>0</v>
      </c>
      <c r="CC306" s="768">
        <f t="shared" si="145"/>
        <v>0</v>
      </c>
      <c r="CD306" s="768">
        <f t="shared" si="145"/>
        <v>0</v>
      </c>
      <c r="CE306" s="768">
        <f t="shared" si="145"/>
        <v>0</v>
      </c>
      <c r="CF306" s="768">
        <f t="shared" si="145"/>
        <v>0</v>
      </c>
      <c r="CG306" s="768">
        <f t="shared" si="145"/>
        <v>0</v>
      </c>
      <c r="CH306" s="768">
        <f t="shared" si="145"/>
        <v>0</v>
      </c>
      <c r="CI306" s="769">
        <f t="shared" si="145"/>
        <v>0</v>
      </c>
      <c r="CK306" s="1366"/>
    </row>
    <row r="307" spans="2:89" x14ac:dyDescent="0.25">
      <c r="B307" s="990" t="s">
        <v>596</v>
      </c>
      <c r="C307" s="954" t="s">
        <v>366</v>
      </c>
      <c r="D307" s="957" t="s">
        <v>597</v>
      </c>
      <c r="E307" s="988" t="s">
        <v>146</v>
      </c>
      <c r="F307" s="989">
        <v>2</v>
      </c>
      <c r="G307" s="607"/>
      <c r="H307" s="607"/>
      <c r="I307" s="607">
        <f t="shared" si="144"/>
        <v>0</v>
      </c>
      <c r="J307" s="607">
        <f t="shared" si="144"/>
        <v>0</v>
      </c>
      <c r="K307" s="607">
        <f t="shared" si="144"/>
        <v>0</v>
      </c>
      <c r="L307" s="607">
        <f t="shared" si="144"/>
        <v>0</v>
      </c>
      <c r="M307" s="607">
        <f t="shared" si="144"/>
        <v>0</v>
      </c>
      <c r="N307" s="607">
        <f t="shared" si="144"/>
        <v>0</v>
      </c>
      <c r="O307" s="607">
        <f t="shared" si="144"/>
        <v>0</v>
      </c>
      <c r="P307" s="607">
        <f t="shared" si="144"/>
        <v>0</v>
      </c>
      <c r="Q307" s="607">
        <f t="shared" si="144"/>
        <v>0</v>
      </c>
      <c r="R307" s="607">
        <f t="shared" si="144"/>
        <v>0</v>
      </c>
      <c r="S307" s="607">
        <f t="shared" si="144"/>
        <v>0</v>
      </c>
      <c r="T307" s="607">
        <f t="shared" si="144"/>
        <v>0</v>
      </c>
      <c r="U307" s="607">
        <f t="shared" si="144"/>
        <v>0</v>
      </c>
      <c r="V307" s="607">
        <f t="shared" si="144"/>
        <v>0</v>
      </c>
      <c r="W307" s="607">
        <f t="shared" si="144"/>
        <v>0</v>
      </c>
      <c r="X307" s="607">
        <f t="shared" si="144"/>
        <v>0</v>
      </c>
      <c r="Y307" s="607">
        <f t="shared" si="144"/>
        <v>0</v>
      </c>
      <c r="Z307" s="607">
        <f t="shared" si="144"/>
        <v>0</v>
      </c>
      <c r="AA307" s="607">
        <f t="shared" si="144"/>
        <v>0</v>
      </c>
      <c r="AB307" s="607">
        <f t="shared" si="144"/>
        <v>0</v>
      </c>
      <c r="AC307" s="607">
        <f t="shared" si="144"/>
        <v>0</v>
      </c>
      <c r="AD307" s="607">
        <f t="shared" si="144"/>
        <v>0</v>
      </c>
      <c r="AE307" s="607">
        <f t="shared" si="144"/>
        <v>0</v>
      </c>
      <c r="AF307" s="607">
        <f t="shared" si="144"/>
        <v>0</v>
      </c>
      <c r="AG307" s="607">
        <f t="shared" si="144"/>
        <v>0</v>
      </c>
      <c r="AH307" s="607">
        <f t="shared" si="144"/>
        <v>0</v>
      </c>
      <c r="AI307" s="607">
        <f t="shared" si="144"/>
        <v>0</v>
      </c>
      <c r="AJ307" s="607">
        <f t="shared" si="144"/>
        <v>0</v>
      </c>
      <c r="AK307" s="607">
        <f t="shared" si="144"/>
        <v>0</v>
      </c>
      <c r="AL307" s="607">
        <f t="shared" si="144"/>
        <v>0</v>
      </c>
      <c r="AM307" s="607">
        <f t="shared" si="144"/>
        <v>0</v>
      </c>
      <c r="AN307" s="607">
        <f t="shared" si="144"/>
        <v>0</v>
      </c>
      <c r="AO307" s="607">
        <f t="shared" si="144"/>
        <v>0</v>
      </c>
      <c r="AP307" s="607">
        <f t="shared" si="144"/>
        <v>0</v>
      </c>
      <c r="AQ307" s="607">
        <f t="shared" si="144"/>
        <v>0</v>
      </c>
      <c r="AR307" s="607">
        <f t="shared" si="144"/>
        <v>0</v>
      </c>
      <c r="AS307" s="607">
        <f t="shared" si="144"/>
        <v>0</v>
      </c>
      <c r="AT307" s="607">
        <f t="shared" si="144"/>
        <v>0</v>
      </c>
      <c r="AU307" s="607">
        <f t="shared" si="144"/>
        <v>0</v>
      </c>
      <c r="AV307" s="607">
        <f t="shared" si="144"/>
        <v>0</v>
      </c>
      <c r="AW307" s="607">
        <f t="shared" si="144"/>
        <v>0</v>
      </c>
      <c r="AX307" s="607">
        <f t="shared" si="144"/>
        <v>0</v>
      </c>
      <c r="AY307" s="607">
        <f t="shared" si="144"/>
        <v>0</v>
      </c>
      <c r="AZ307" s="607">
        <f t="shared" si="144"/>
        <v>0</v>
      </c>
      <c r="BA307" s="607">
        <f t="shared" si="144"/>
        <v>0</v>
      </c>
      <c r="BB307" s="607">
        <f t="shared" si="144"/>
        <v>0</v>
      </c>
      <c r="BC307" s="607">
        <f t="shared" si="144"/>
        <v>0</v>
      </c>
      <c r="BD307" s="607">
        <f t="shared" si="144"/>
        <v>0</v>
      </c>
      <c r="BE307" s="607">
        <f t="shared" si="144"/>
        <v>0</v>
      </c>
      <c r="BF307" s="607">
        <f t="shared" si="144"/>
        <v>0</v>
      </c>
      <c r="BG307" s="607">
        <f t="shared" si="144"/>
        <v>0</v>
      </c>
      <c r="BH307" s="607">
        <f t="shared" si="144"/>
        <v>0</v>
      </c>
      <c r="BI307" s="607">
        <f t="shared" si="144"/>
        <v>0</v>
      </c>
      <c r="BJ307" s="607">
        <f t="shared" si="144"/>
        <v>0</v>
      </c>
      <c r="BK307" s="607">
        <f t="shared" si="144"/>
        <v>0</v>
      </c>
      <c r="BL307" s="607">
        <f t="shared" si="144"/>
        <v>0</v>
      </c>
      <c r="BM307" s="607">
        <f t="shared" si="144"/>
        <v>0</v>
      </c>
      <c r="BN307" s="607">
        <f t="shared" si="144"/>
        <v>0</v>
      </c>
      <c r="BO307" s="607">
        <f t="shared" si="144"/>
        <v>0</v>
      </c>
      <c r="BP307" s="607">
        <f t="shared" si="144"/>
        <v>0</v>
      </c>
      <c r="BQ307" s="607">
        <f t="shared" si="144"/>
        <v>0</v>
      </c>
      <c r="BR307" s="607">
        <f t="shared" si="144"/>
        <v>0</v>
      </c>
      <c r="BS307" s="607">
        <f t="shared" si="145"/>
        <v>0</v>
      </c>
      <c r="BT307" s="607">
        <f t="shared" si="145"/>
        <v>0</v>
      </c>
      <c r="BU307" s="607">
        <f t="shared" si="145"/>
        <v>0</v>
      </c>
      <c r="BV307" s="607">
        <f t="shared" si="145"/>
        <v>0</v>
      </c>
      <c r="BW307" s="607">
        <f t="shared" si="145"/>
        <v>0</v>
      </c>
      <c r="BX307" s="607">
        <f t="shared" si="145"/>
        <v>0</v>
      </c>
      <c r="BY307" s="607">
        <f t="shared" si="145"/>
        <v>0</v>
      </c>
      <c r="BZ307" s="607">
        <f t="shared" si="145"/>
        <v>0</v>
      </c>
      <c r="CA307" s="607">
        <f t="shared" si="145"/>
        <v>0</v>
      </c>
      <c r="CB307" s="607">
        <f t="shared" si="145"/>
        <v>0</v>
      </c>
      <c r="CC307" s="607">
        <f t="shared" si="145"/>
        <v>0</v>
      </c>
      <c r="CD307" s="607">
        <f t="shared" si="145"/>
        <v>0</v>
      </c>
      <c r="CE307" s="607">
        <f t="shared" si="145"/>
        <v>0</v>
      </c>
      <c r="CF307" s="607">
        <f t="shared" si="145"/>
        <v>0</v>
      </c>
      <c r="CG307" s="607">
        <f t="shared" si="145"/>
        <v>0</v>
      </c>
      <c r="CH307" s="607">
        <f t="shared" si="145"/>
        <v>0</v>
      </c>
      <c r="CI307" s="769">
        <f t="shared" si="145"/>
        <v>0</v>
      </c>
      <c r="CK307" s="1366"/>
    </row>
    <row r="308" spans="2:89" x14ac:dyDescent="0.25">
      <c r="B308" s="990" t="s">
        <v>598</v>
      </c>
      <c r="C308" s="954" t="s">
        <v>368</v>
      </c>
      <c r="D308" s="957" t="s">
        <v>599</v>
      </c>
      <c r="E308" s="988" t="s">
        <v>146</v>
      </c>
      <c r="F308" s="989">
        <v>2</v>
      </c>
      <c r="G308" s="607"/>
      <c r="H308" s="607"/>
      <c r="I308" s="607">
        <f t="shared" ref="I308:BS308" si="146">I210+I280</f>
        <v>0</v>
      </c>
      <c r="J308" s="607">
        <f t="shared" si="146"/>
        <v>0</v>
      </c>
      <c r="K308" s="607">
        <f t="shared" si="146"/>
        <v>0</v>
      </c>
      <c r="L308" s="607">
        <f t="shared" si="146"/>
        <v>0</v>
      </c>
      <c r="M308" s="768">
        <f t="shared" si="146"/>
        <v>0</v>
      </c>
      <c r="N308" s="768">
        <f t="shared" si="146"/>
        <v>0</v>
      </c>
      <c r="O308" s="768">
        <f t="shared" si="146"/>
        <v>0</v>
      </c>
      <c r="P308" s="768">
        <f t="shared" si="146"/>
        <v>0</v>
      </c>
      <c r="Q308" s="768">
        <f t="shared" si="146"/>
        <v>0</v>
      </c>
      <c r="R308" s="768">
        <f t="shared" si="146"/>
        <v>0</v>
      </c>
      <c r="S308" s="768">
        <f t="shared" si="146"/>
        <v>0</v>
      </c>
      <c r="T308" s="768">
        <f t="shared" si="146"/>
        <v>0</v>
      </c>
      <c r="U308" s="768">
        <f t="shared" si="146"/>
        <v>0</v>
      </c>
      <c r="V308" s="768">
        <f t="shared" si="146"/>
        <v>0</v>
      </c>
      <c r="W308" s="768">
        <f t="shared" si="146"/>
        <v>0</v>
      </c>
      <c r="X308" s="768">
        <f t="shared" si="146"/>
        <v>0</v>
      </c>
      <c r="Y308" s="768">
        <f t="shared" si="146"/>
        <v>0</v>
      </c>
      <c r="Z308" s="768">
        <f t="shared" si="146"/>
        <v>0</v>
      </c>
      <c r="AA308" s="768">
        <f t="shared" si="146"/>
        <v>0</v>
      </c>
      <c r="AB308" s="768">
        <f t="shared" si="146"/>
        <v>0</v>
      </c>
      <c r="AC308" s="768">
        <f t="shared" si="146"/>
        <v>0</v>
      </c>
      <c r="AD308" s="768">
        <f t="shared" si="146"/>
        <v>0</v>
      </c>
      <c r="AE308" s="768">
        <f t="shared" si="146"/>
        <v>0</v>
      </c>
      <c r="AF308" s="768">
        <f t="shared" si="146"/>
        <v>0</v>
      </c>
      <c r="AG308" s="768">
        <f t="shared" si="146"/>
        <v>0</v>
      </c>
      <c r="AH308" s="768">
        <f t="shared" si="146"/>
        <v>0</v>
      </c>
      <c r="AI308" s="768">
        <f t="shared" si="146"/>
        <v>0</v>
      </c>
      <c r="AJ308" s="768">
        <f t="shared" si="146"/>
        <v>0</v>
      </c>
      <c r="AK308" s="768">
        <f t="shared" si="146"/>
        <v>0</v>
      </c>
      <c r="AL308" s="768">
        <f t="shared" si="146"/>
        <v>0</v>
      </c>
      <c r="AM308" s="768">
        <f t="shared" si="146"/>
        <v>0</v>
      </c>
      <c r="AN308" s="768">
        <f t="shared" si="146"/>
        <v>0</v>
      </c>
      <c r="AO308" s="768">
        <f t="shared" si="146"/>
        <v>0</v>
      </c>
      <c r="AP308" s="768">
        <f t="shared" si="146"/>
        <v>0</v>
      </c>
      <c r="AQ308" s="768">
        <f t="shared" si="146"/>
        <v>0</v>
      </c>
      <c r="AR308" s="768">
        <f t="shared" si="146"/>
        <v>0</v>
      </c>
      <c r="AS308" s="768">
        <f t="shared" si="146"/>
        <v>0</v>
      </c>
      <c r="AT308" s="768">
        <f t="shared" si="146"/>
        <v>0</v>
      </c>
      <c r="AU308" s="768">
        <f t="shared" si="146"/>
        <v>0</v>
      </c>
      <c r="AV308" s="768">
        <f t="shared" si="146"/>
        <v>0</v>
      </c>
      <c r="AW308" s="768">
        <f t="shared" si="146"/>
        <v>0</v>
      </c>
      <c r="AX308" s="768">
        <f t="shared" si="146"/>
        <v>0</v>
      </c>
      <c r="AY308" s="768">
        <f t="shared" si="146"/>
        <v>0</v>
      </c>
      <c r="AZ308" s="768">
        <f t="shared" si="146"/>
        <v>0</v>
      </c>
      <c r="BA308" s="768">
        <f t="shared" si="146"/>
        <v>0</v>
      </c>
      <c r="BB308" s="768">
        <f t="shared" si="146"/>
        <v>0</v>
      </c>
      <c r="BC308" s="768">
        <f t="shared" si="146"/>
        <v>0</v>
      </c>
      <c r="BD308" s="768">
        <f t="shared" si="146"/>
        <v>0</v>
      </c>
      <c r="BE308" s="768">
        <f t="shared" si="146"/>
        <v>0</v>
      </c>
      <c r="BF308" s="768">
        <f t="shared" si="146"/>
        <v>0</v>
      </c>
      <c r="BG308" s="768">
        <f t="shared" si="146"/>
        <v>0</v>
      </c>
      <c r="BH308" s="768">
        <f t="shared" si="146"/>
        <v>0</v>
      </c>
      <c r="BI308" s="768">
        <f t="shared" si="146"/>
        <v>0</v>
      </c>
      <c r="BJ308" s="768">
        <f t="shared" si="146"/>
        <v>0</v>
      </c>
      <c r="BK308" s="768">
        <f t="shared" si="146"/>
        <v>0</v>
      </c>
      <c r="BL308" s="768">
        <f t="shared" si="146"/>
        <v>0</v>
      </c>
      <c r="BM308" s="768">
        <f t="shared" si="146"/>
        <v>0</v>
      </c>
      <c r="BN308" s="768">
        <f t="shared" si="146"/>
        <v>0</v>
      </c>
      <c r="BO308" s="768">
        <f t="shared" si="146"/>
        <v>0</v>
      </c>
      <c r="BP308" s="768">
        <f t="shared" si="146"/>
        <v>0</v>
      </c>
      <c r="BQ308" s="768">
        <f t="shared" si="146"/>
        <v>0</v>
      </c>
      <c r="BR308" s="768">
        <f t="shared" si="146"/>
        <v>0</v>
      </c>
      <c r="BS308" s="768">
        <f t="shared" si="146"/>
        <v>0</v>
      </c>
      <c r="BT308" s="768">
        <f t="shared" si="145"/>
        <v>0</v>
      </c>
      <c r="BU308" s="768">
        <f t="shared" si="145"/>
        <v>0</v>
      </c>
      <c r="BV308" s="768">
        <f t="shared" si="145"/>
        <v>0</v>
      </c>
      <c r="BW308" s="768">
        <f t="shared" si="145"/>
        <v>0</v>
      </c>
      <c r="BX308" s="768">
        <f t="shared" si="145"/>
        <v>0</v>
      </c>
      <c r="BY308" s="768">
        <f t="shared" si="145"/>
        <v>0</v>
      </c>
      <c r="BZ308" s="768">
        <f t="shared" si="145"/>
        <v>0</v>
      </c>
      <c r="CA308" s="768">
        <f t="shared" si="145"/>
        <v>0</v>
      </c>
      <c r="CB308" s="768">
        <f t="shared" si="145"/>
        <v>0</v>
      </c>
      <c r="CC308" s="768">
        <f t="shared" si="145"/>
        <v>0</v>
      </c>
      <c r="CD308" s="768">
        <f t="shared" si="145"/>
        <v>0</v>
      </c>
      <c r="CE308" s="768">
        <f t="shared" si="145"/>
        <v>0</v>
      </c>
      <c r="CF308" s="768">
        <f t="shared" si="145"/>
        <v>0</v>
      </c>
      <c r="CG308" s="768">
        <f t="shared" si="145"/>
        <v>0</v>
      </c>
      <c r="CH308" s="768">
        <f t="shared" si="145"/>
        <v>0</v>
      </c>
      <c r="CI308" s="769">
        <f t="shared" si="145"/>
        <v>0</v>
      </c>
      <c r="CK308" s="1366"/>
    </row>
    <row r="309" spans="2:89" x14ac:dyDescent="0.25">
      <c r="B309" s="990" t="s">
        <v>600</v>
      </c>
      <c r="C309" s="951" t="s">
        <v>372</v>
      </c>
      <c r="D309" s="957" t="s">
        <v>601</v>
      </c>
      <c r="E309" s="988" t="s">
        <v>146</v>
      </c>
      <c r="F309" s="989">
        <v>2</v>
      </c>
      <c r="G309" s="607"/>
      <c r="H309" s="607"/>
      <c r="I309" s="607">
        <f t="shared" ref="I309:BS309" si="147">I212+I281+I282+I283+I284</f>
        <v>0</v>
      </c>
      <c r="J309" s="607">
        <f t="shared" si="147"/>
        <v>0</v>
      </c>
      <c r="K309" s="607">
        <f t="shared" si="147"/>
        <v>0</v>
      </c>
      <c r="L309" s="607">
        <f t="shared" si="147"/>
        <v>0</v>
      </c>
      <c r="M309" s="607">
        <f t="shared" si="147"/>
        <v>0</v>
      </c>
      <c r="N309" s="607">
        <f t="shared" si="147"/>
        <v>0</v>
      </c>
      <c r="O309" s="607">
        <f t="shared" si="147"/>
        <v>0</v>
      </c>
      <c r="P309" s="607">
        <f t="shared" si="147"/>
        <v>0</v>
      </c>
      <c r="Q309" s="607">
        <f t="shared" si="147"/>
        <v>0</v>
      </c>
      <c r="R309" s="607">
        <f t="shared" si="147"/>
        <v>0</v>
      </c>
      <c r="S309" s="607">
        <f t="shared" si="147"/>
        <v>0</v>
      </c>
      <c r="T309" s="607">
        <f t="shared" si="147"/>
        <v>0</v>
      </c>
      <c r="U309" s="607">
        <f t="shared" si="147"/>
        <v>0</v>
      </c>
      <c r="V309" s="607">
        <f t="shared" si="147"/>
        <v>0</v>
      </c>
      <c r="W309" s="607">
        <f t="shared" si="147"/>
        <v>0</v>
      </c>
      <c r="X309" s="607">
        <f t="shared" si="147"/>
        <v>0</v>
      </c>
      <c r="Y309" s="607">
        <f t="shared" si="147"/>
        <v>0</v>
      </c>
      <c r="Z309" s="607">
        <f t="shared" si="147"/>
        <v>0</v>
      </c>
      <c r="AA309" s="607">
        <f t="shared" si="147"/>
        <v>0</v>
      </c>
      <c r="AB309" s="607">
        <f t="shared" si="147"/>
        <v>0</v>
      </c>
      <c r="AC309" s="607">
        <f t="shared" si="147"/>
        <v>0</v>
      </c>
      <c r="AD309" s="607">
        <f t="shared" si="147"/>
        <v>0</v>
      </c>
      <c r="AE309" s="607">
        <f t="shared" si="147"/>
        <v>0</v>
      </c>
      <c r="AF309" s="607">
        <f t="shared" si="147"/>
        <v>0</v>
      </c>
      <c r="AG309" s="607">
        <f t="shared" si="147"/>
        <v>0</v>
      </c>
      <c r="AH309" s="607">
        <f t="shared" si="147"/>
        <v>0</v>
      </c>
      <c r="AI309" s="607">
        <f t="shared" si="147"/>
        <v>0</v>
      </c>
      <c r="AJ309" s="607">
        <f t="shared" si="147"/>
        <v>0</v>
      </c>
      <c r="AK309" s="607">
        <f t="shared" si="147"/>
        <v>0</v>
      </c>
      <c r="AL309" s="607">
        <f t="shared" si="147"/>
        <v>0</v>
      </c>
      <c r="AM309" s="607">
        <f t="shared" si="147"/>
        <v>0</v>
      </c>
      <c r="AN309" s="607">
        <f t="shared" si="147"/>
        <v>0</v>
      </c>
      <c r="AO309" s="607">
        <f t="shared" si="147"/>
        <v>0</v>
      </c>
      <c r="AP309" s="607">
        <f t="shared" si="147"/>
        <v>0</v>
      </c>
      <c r="AQ309" s="607">
        <f t="shared" si="147"/>
        <v>0</v>
      </c>
      <c r="AR309" s="607">
        <f t="shared" si="147"/>
        <v>0</v>
      </c>
      <c r="AS309" s="607">
        <f t="shared" si="147"/>
        <v>0</v>
      </c>
      <c r="AT309" s="607">
        <f t="shared" si="147"/>
        <v>0</v>
      </c>
      <c r="AU309" s="607">
        <f t="shared" si="147"/>
        <v>0</v>
      </c>
      <c r="AV309" s="607">
        <f t="shared" si="147"/>
        <v>0</v>
      </c>
      <c r="AW309" s="607">
        <f t="shared" si="147"/>
        <v>0</v>
      </c>
      <c r="AX309" s="607">
        <f t="shared" si="147"/>
        <v>0</v>
      </c>
      <c r="AY309" s="607">
        <f t="shared" si="147"/>
        <v>0</v>
      </c>
      <c r="AZ309" s="607">
        <f t="shared" si="147"/>
        <v>0</v>
      </c>
      <c r="BA309" s="607">
        <f t="shared" si="147"/>
        <v>0</v>
      </c>
      <c r="BB309" s="607">
        <f t="shared" si="147"/>
        <v>0</v>
      </c>
      <c r="BC309" s="607">
        <f t="shared" si="147"/>
        <v>0</v>
      </c>
      <c r="BD309" s="607">
        <f t="shared" si="147"/>
        <v>0</v>
      </c>
      <c r="BE309" s="607">
        <f t="shared" si="147"/>
        <v>0</v>
      </c>
      <c r="BF309" s="607">
        <f t="shared" si="147"/>
        <v>0</v>
      </c>
      <c r="BG309" s="607">
        <f t="shared" si="147"/>
        <v>0</v>
      </c>
      <c r="BH309" s="607">
        <f t="shared" si="147"/>
        <v>0</v>
      </c>
      <c r="BI309" s="607">
        <f t="shared" si="147"/>
        <v>0</v>
      </c>
      <c r="BJ309" s="607">
        <f t="shared" si="147"/>
        <v>0</v>
      </c>
      <c r="BK309" s="607">
        <f t="shared" si="147"/>
        <v>0</v>
      </c>
      <c r="BL309" s="607">
        <f t="shared" si="147"/>
        <v>0</v>
      </c>
      <c r="BM309" s="607">
        <f t="shared" si="147"/>
        <v>0</v>
      </c>
      <c r="BN309" s="607">
        <f t="shared" si="147"/>
        <v>0</v>
      </c>
      <c r="BO309" s="607">
        <f t="shared" si="147"/>
        <v>0</v>
      </c>
      <c r="BP309" s="607">
        <f t="shared" si="147"/>
        <v>0</v>
      </c>
      <c r="BQ309" s="607">
        <f t="shared" si="147"/>
        <v>0</v>
      </c>
      <c r="BR309" s="607">
        <f t="shared" si="147"/>
        <v>0</v>
      </c>
      <c r="BS309" s="607">
        <f t="shared" si="147"/>
        <v>0</v>
      </c>
      <c r="BT309" s="607">
        <f t="shared" ref="BT309:CI309" si="148">BT212+BT281+BT282+BT283+BT284</f>
        <v>0</v>
      </c>
      <c r="BU309" s="607">
        <f t="shared" si="148"/>
        <v>0</v>
      </c>
      <c r="BV309" s="607">
        <f t="shared" si="148"/>
        <v>0</v>
      </c>
      <c r="BW309" s="607">
        <f t="shared" si="148"/>
        <v>0</v>
      </c>
      <c r="BX309" s="607">
        <f t="shared" si="148"/>
        <v>0</v>
      </c>
      <c r="BY309" s="607">
        <f t="shared" si="148"/>
        <v>0</v>
      </c>
      <c r="BZ309" s="607">
        <f t="shared" si="148"/>
        <v>0</v>
      </c>
      <c r="CA309" s="607">
        <f t="shared" si="148"/>
        <v>0</v>
      </c>
      <c r="CB309" s="607">
        <f t="shared" si="148"/>
        <v>0</v>
      </c>
      <c r="CC309" s="607">
        <f t="shared" si="148"/>
        <v>0</v>
      </c>
      <c r="CD309" s="607">
        <f t="shared" si="148"/>
        <v>0</v>
      </c>
      <c r="CE309" s="607">
        <f t="shared" si="148"/>
        <v>0</v>
      </c>
      <c r="CF309" s="607">
        <f t="shared" si="148"/>
        <v>0</v>
      </c>
      <c r="CG309" s="607">
        <f t="shared" si="148"/>
        <v>0</v>
      </c>
      <c r="CH309" s="607">
        <f t="shared" si="148"/>
        <v>0</v>
      </c>
      <c r="CI309" s="769">
        <f t="shared" si="148"/>
        <v>0</v>
      </c>
      <c r="CK309" s="1366"/>
    </row>
    <row r="310" spans="2:89" ht="27.6" x14ac:dyDescent="0.25">
      <c r="B310" s="990" t="s">
        <v>602</v>
      </c>
      <c r="C310" s="951" t="s">
        <v>603</v>
      </c>
      <c r="D310" s="957" t="s">
        <v>604</v>
      </c>
      <c r="E310" s="988" t="s">
        <v>146</v>
      </c>
      <c r="F310" s="989">
        <v>2</v>
      </c>
      <c r="G310" s="607"/>
      <c r="H310" s="607"/>
      <c r="I310" s="607">
        <f t="shared" ref="I310:BR310" si="149">I220+I285+I286</f>
        <v>0</v>
      </c>
      <c r="J310" s="607">
        <f t="shared" si="149"/>
        <v>0</v>
      </c>
      <c r="K310" s="607">
        <f t="shared" si="149"/>
        <v>0</v>
      </c>
      <c r="L310" s="607">
        <f t="shared" si="149"/>
        <v>0</v>
      </c>
      <c r="M310" s="768">
        <f t="shared" si="149"/>
        <v>0</v>
      </c>
      <c r="N310" s="768">
        <f t="shared" si="149"/>
        <v>0</v>
      </c>
      <c r="O310" s="768">
        <f t="shared" si="149"/>
        <v>0</v>
      </c>
      <c r="P310" s="768">
        <f t="shared" si="149"/>
        <v>0</v>
      </c>
      <c r="Q310" s="768">
        <f t="shared" si="149"/>
        <v>0</v>
      </c>
      <c r="R310" s="768">
        <f t="shared" si="149"/>
        <v>0</v>
      </c>
      <c r="S310" s="768">
        <f t="shared" si="149"/>
        <v>0</v>
      </c>
      <c r="T310" s="768">
        <f t="shared" si="149"/>
        <v>0</v>
      </c>
      <c r="U310" s="768">
        <f t="shared" si="149"/>
        <v>0</v>
      </c>
      <c r="V310" s="768">
        <f t="shared" si="149"/>
        <v>0</v>
      </c>
      <c r="W310" s="768">
        <f t="shared" si="149"/>
        <v>0</v>
      </c>
      <c r="X310" s="768">
        <f t="shared" si="149"/>
        <v>0</v>
      </c>
      <c r="Y310" s="768">
        <f t="shared" si="149"/>
        <v>0</v>
      </c>
      <c r="Z310" s="768">
        <f t="shared" si="149"/>
        <v>0</v>
      </c>
      <c r="AA310" s="768">
        <f t="shared" si="149"/>
        <v>0</v>
      </c>
      <c r="AB310" s="768">
        <f t="shared" si="149"/>
        <v>0</v>
      </c>
      <c r="AC310" s="768">
        <f t="shared" si="149"/>
        <v>0</v>
      </c>
      <c r="AD310" s="768">
        <f t="shared" si="149"/>
        <v>0</v>
      </c>
      <c r="AE310" s="768">
        <f t="shared" si="149"/>
        <v>0</v>
      </c>
      <c r="AF310" s="768">
        <f t="shared" si="149"/>
        <v>0</v>
      </c>
      <c r="AG310" s="768">
        <f t="shared" si="149"/>
        <v>0</v>
      </c>
      <c r="AH310" s="768">
        <f t="shared" si="149"/>
        <v>0</v>
      </c>
      <c r="AI310" s="768">
        <f t="shared" si="149"/>
        <v>0</v>
      </c>
      <c r="AJ310" s="768">
        <f t="shared" si="149"/>
        <v>0</v>
      </c>
      <c r="AK310" s="768">
        <f t="shared" si="149"/>
        <v>0</v>
      </c>
      <c r="AL310" s="768">
        <f t="shared" si="149"/>
        <v>0</v>
      </c>
      <c r="AM310" s="768">
        <f t="shared" si="149"/>
        <v>0</v>
      </c>
      <c r="AN310" s="768">
        <f t="shared" si="149"/>
        <v>0</v>
      </c>
      <c r="AO310" s="768">
        <f t="shared" si="149"/>
        <v>0</v>
      </c>
      <c r="AP310" s="768">
        <f t="shared" si="149"/>
        <v>0</v>
      </c>
      <c r="AQ310" s="768">
        <f t="shared" si="149"/>
        <v>0</v>
      </c>
      <c r="AR310" s="768">
        <f t="shared" si="149"/>
        <v>0</v>
      </c>
      <c r="AS310" s="768">
        <f t="shared" si="149"/>
        <v>0</v>
      </c>
      <c r="AT310" s="768">
        <f t="shared" si="149"/>
        <v>0</v>
      </c>
      <c r="AU310" s="768">
        <f t="shared" si="149"/>
        <v>0</v>
      </c>
      <c r="AV310" s="768">
        <f t="shared" si="149"/>
        <v>0</v>
      </c>
      <c r="AW310" s="768">
        <f t="shared" si="149"/>
        <v>0</v>
      </c>
      <c r="AX310" s="768">
        <f t="shared" si="149"/>
        <v>0</v>
      </c>
      <c r="AY310" s="768">
        <f t="shared" si="149"/>
        <v>0</v>
      </c>
      <c r="AZ310" s="768">
        <f t="shared" si="149"/>
        <v>0</v>
      </c>
      <c r="BA310" s="768">
        <f t="shared" si="149"/>
        <v>0</v>
      </c>
      <c r="BB310" s="768">
        <f t="shared" si="149"/>
        <v>0</v>
      </c>
      <c r="BC310" s="768">
        <f t="shared" si="149"/>
        <v>0</v>
      </c>
      <c r="BD310" s="768">
        <f t="shared" si="149"/>
        <v>0</v>
      </c>
      <c r="BE310" s="768">
        <f t="shared" si="149"/>
        <v>0</v>
      </c>
      <c r="BF310" s="768">
        <f t="shared" si="149"/>
        <v>0</v>
      </c>
      <c r="BG310" s="768">
        <f t="shared" si="149"/>
        <v>0</v>
      </c>
      <c r="BH310" s="768">
        <f t="shared" si="149"/>
        <v>0</v>
      </c>
      <c r="BI310" s="768">
        <f t="shared" si="149"/>
        <v>0</v>
      </c>
      <c r="BJ310" s="768">
        <f t="shared" si="149"/>
        <v>0</v>
      </c>
      <c r="BK310" s="768">
        <f t="shared" si="149"/>
        <v>0</v>
      </c>
      <c r="BL310" s="768">
        <f t="shared" si="149"/>
        <v>0</v>
      </c>
      <c r="BM310" s="768">
        <f t="shared" si="149"/>
        <v>0</v>
      </c>
      <c r="BN310" s="768">
        <f t="shared" si="149"/>
        <v>0</v>
      </c>
      <c r="BO310" s="768">
        <f t="shared" si="149"/>
        <v>0</v>
      </c>
      <c r="BP310" s="768">
        <f t="shared" si="149"/>
        <v>0</v>
      </c>
      <c r="BQ310" s="768">
        <f t="shared" si="149"/>
        <v>0</v>
      </c>
      <c r="BR310" s="768">
        <f t="shared" si="149"/>
        <v>0</v>
      </c>
      <c r="BS310" s="768">
        <f t="shared" ref="BS310:CI310" si="150">BS220+BS285+BS286</f>
        <v>0</v>
      </c>
      <c r="BT310" s="768">
        <f t="shared" si="150"/>
        <v>0</v>
      </c>
      <c r="BU310" s="768">
        <f t="shared" si="150"/>
        <v>0</v>
      </c>
      <c r="BV310" s="768">
        <f t="shared" si="150"/>
        <v>0</v>
      </c>
      <c r="BW310" s="768">
        <f t="shared" si="150"/>
        <v>0</v>
      </c>
      <c r="BX310" s="768">
        <f t="shared" si="150"/>
        <v>0</v>
      </c>
      <c r="BY310" s="768">
        <f t="shared" si="150"/>
        <v>0</v>
      </c>
      <c r="BZ310" s="768">
        <f t="shared" si="150"/>
        <v>0</v>
      </c>
      <c r="CA310" s="768">
        <f t="shared" si="150"/>
        <v>0</v>
      </c>
      <c r="CB310" s="768">
        <f t="shared" si="150"/>
        <v>0</v>
      </c>
      <c r="CC310" s="768">
        <f t="shared" si="150"/>
        <v>0</v>
      </c>
      <c r="CD310" s="768">
        <f t="shared" si="150"/>
        <v>0</v>
      </c>
      <c r="CE310" s="768">
        <f t="shared" si="150"/>
        <v>0</v>
      </c>
      <c r="CF310" s="768">
        <f t="shared" si="150"/>
        <v>0</v>
      </c>
      <c r="CG310" s="768">
        <f t="shared" si="150"/>
        <v>0</v>
      </c>
      <c r="CH310" s="768">
        <f t="shared" si="150"/>
        <v>0</v>
      </c>
      <c r="CI310" s="769">
        <f t="shared" si="150"/>
        <v>0</v>
      </c>
      <c r="CK310" s="1366"/>
    </row>
    <row r="311" spans="2:89" x14ac:dyDescent="0.25">
      <c r="B311" s="990" t="s">
        <v>605</v>
      </c>
      <c r="C311" s="951" t="s">
        <v>393</v>
      </c>
      <c r="D311" s="957" t="s">
        <v>606</v>
      </c>
      <c r="E311" s="988" t="s">
        <v>146</v>
      </c>
      <c r="F311" s="989">
        <v>2</v>
      </c>
      <c r="G311" s="607"/>
      <c r="H311" s="607"/>
      <c r="I311" s="607">
        <f t="shared" ref="I311:BR311" si="151">I221+I287</f>
        <v>0</v>
      </c>
      <c r="J311" s="607">
        <f t="shared" si="151"/>
        <v>0</v>
      </c>
      <c r="K311" s="607">
        <f t="shared" si="151"/>
        <v>0</v>
      </c>
      <c r="L311" s="607">
        <f t="shared" si="151"/>
        <v>0</v>
      </c>
      <c r="M311" s="768">
        <f t="shared" si="151"/>
        <v>0</v>
      </c>
      <c r="N311" s="768">
        <f t="shared" si="151"/>
        <v>0</v>
      </c>
      <c r="O311" s="768">
        <f t="shared" si="151"/>
        <v>0</v>
      </c>
      <c r="P311" s="768">
        <f t="shared" si="151"/>
        <v>0</v>
      </c>
      <c r="Q311" s="768">
        <f t="shared" si="151"/>
        <v>0</v>
      </c>
      <c r="R311" s="768">
        <f t="shared" si="151"/>
        <v>0</v>
      </c>
      <c r="S311" s="768">
        <f t="shared" si="151"/>
        <v>0</v>
      </c>
      <c r="T311" s="768">
        <f t="shared" si="151"/>
        <v>0</v>
      </c>
      <c r="U311" s="768">
        <f t="shared" si="151"/>
        <v>0</v>
      </c>
      <c r="V311" s="768">
        <f t="shared" si="151"/>
        <v>0</v>
      </c>
      <c r="W311" s="768">
        <f t="shared" si="151"/>
        <v>0</v>
      </c>
      <c r="X311" s="768">
        <f t="shared" si="151"/>
        <v>0</v>
      </c>
      <c r="Y311" s="768">
        <f t="shared" si="151"/>
        <v>0</v>
      </c>
      <c r="Z311" s="768">
        <f t="shared" si="151"/>
        <v>0</v>
      </c>
      <c r="AA311" s="768">
        <f t="shared" si="151"/>
        <v>0</v>
      </c>
      <c r="AB311" s="768">
        <f t="shared" si="151"/>
        <v>0</v>
      </c>
      <c r="AC311" s="768">
        <f t="shared" si="151"/>
        <v>0</v>
      </c>
      <c r="AD311" s="768">
        <f t="shared" si="151"/>
        <v>0</v>
      </c>
      <c r="AE311" s="768">
        <f t="shared" si="151"/>
        <v>0</v>
      </c>
      <c r="AF311" s="768">
        <f t="shared" si="151"/>
        <v>0</v>
      </c>
      <c r="AG311" s="768">
        <f t="shared" si="151"/>
        <v>0</v>
      </c>
      <c r="AH311" s="768">
        <f t="shared" si="151"/>
        <v>0</v>
      </c>
      <c r="AI311" s="768">
        <f t="shared" si="151"/>
        <v>0</v>
      </c>
      <c r="AJ311" s="768">
        <f t="shared" si="151"/>
        <v>0</v>
      </c>
      <c r="AK311" s="768">
        <f t="shared" si="151"/>
        <v>0</v>
      </c>
      <c r="AL311" s="768">
        <f t="shared" si="151"/>
        <v>0</v>
      </c>
      <c r="AM311" s="768">
        <f t="shared" si="151"/>
        <v>0</v>
      </c>
      <c r="AN311" s="768">
        <f t="shared" si="151"/>
        <v>0</v>
      </c>
      <c r="AO311" s="768">
        <f t="shared" si="151"/>
        <v>0</v>
      </c>
      <c r="AP311" s="768">
        <f t="shared" si="151"/>
        <v>0</v>
      </c>
      <c r="AQ311" s="768">
        <f t="shared" si="151"/>
        <v>0</v>
      </c>
      <c r="AR311" s="768">
        <f t="shared" si="151"/>
        <v>0</v>
      </c>
      <c r="AS311" s="768">
        <f t="shared" si="151"/>
        <v>0</v>
      </c>
      <c r="AT311" s="768">
        <f t="shared" si="151"/>
        <v>0</v>
      </c>
      <c r="AU311" s="768">
        <f t="shared" si="151"/>
        <v>0</v>
      </c>
      <c r="AV311" s="768">
        <f t="shared" si="151"/>
        <v>0</v>
      </c>
      <c r="AW311" s="768">
        <f t="shared" si="151"/>
        <v>0</v>
      </c>
      <c r="AX311" s="768">
        <f t="shared" si="151"/>
        <v>0</v>
      </c>
      <c r="AY311" s="768">
        <f t="shared" si="151"/>
        <v>0</v>
      </c>
      <c r="AZ311" s="768">
        <f t="shared" si="151"/>
        <v>0</v>
      </c>
      <c r="BA311" s="768">
        <f t="shared" si="151"/>
        <v>0</v>
      </c>
      <c r="BB311" s="768">
        <f t="shared" si="151"/>
        <v>0</v>
      </c>
      <c r="BC311" s="768">
        <f t="shared" si="151"/>
        <v>0</v>
      </c>
      <c r="BD311" s="768">
        <f t="shared" si="151"/>
        <v>0</v>
      </c>
      <c r="BE311" s="768">
        <f t="shared" si="151"/>
        <v>0</v>
      </c>
      <c r="BF311" s="768">
        <f t="shared" si="151"/>
        <v>0</v>
      </c>
      <c r="BG311" s="768">
        <f t="shared" si="151"/>
        <v>0</v>
      </c>
      <c r="BH311" s="768">
        <f t="shared" si="151"/>
        <v>0</v>
      </c>
      <c r="BI311" s="768">
        <f t="shared" si="151"/>
        <v>0</v>
      </c>
      <c r="BJ311" s="768">
        <f t="shared" si="151"/>
        <v>0</v>
      </c>
      <c r="BK311" s="768">
        <f t="shared" si="151"/>
        <v>0</v>
      </c>
      <c r="BL311" s="768">
        <f t="shared" si="151"/>
        <v>0</v>
      </c>
      <c r="BM311" s="768">
        <f t="shared" si="151"/>
        <v>0</v>
      </c>
      <c r="BN311" s="768">
        <f t="shared" si="151"/>
        <v>0</v>
      </c>
      <c r="BO311" s="768">
        <f t="shared" si="151"/>
        <v>0</v>
      </c>
      <c r="BP311" s="768">
        <f t="shared" si="151"/>
        <v>0</v>
      </c>
      <c r="BQ311" s="768">
        <f t="shared" si="151"/>
        <v>0</v>
      </c>
      <c r="BR311" s="768">
        <f t="shared" si="151"/>
        <v>0</v>
      </c>
      <c r="BS311" s="768">
        <f t="shared" ref="BS311:CI311" si="152">BS221+BS287</f>
        <v>0</v>
      </c>
      <c r="BT311" s="768">
        <f t="shared" si="152"/>
        <v>0</v>
      </c>
      <c r="BU311" s="768">
        <f t="shared" si="152"/>
        <v>0</v>
      </c>
      <c r="BV311" s="768">
        <f t="shared" si="152"/>
        <v>0</v>
      </c>
      <c r="BW311" s="768">
        <f t="shared" si="152"/>
        <v>0</v>
      </c>
      <c r="BX311" s="768">
        <f t="shared" si="152"/>
        <v>0</v>
      </c>
      <c r="BY311" s="768">
        <f t="shared" si="152"/>
        <v>0</v>
      </c>
      <c r="BZ311" s="768">
        <f t="shared" si="152"/>
        <v>0</v>
      </c>
      <c r="CA311" s="768">
        <f t="shared" si="152"/>
        <v>0</v>
      </c>
      <c r="CB311" s="768">
        <f t="shared" si="152"/>
        <v>0</v>
      </c>
      <c r="CC311" s="768">
        <f t="shared" si="152"/>
        <v>0</v>
      </c>
      <c r="CD311" s="768">
        <f t="shared" si="152"/>
        <v>0</v>
      </c>
      <c r="CE311" s="768">
        <f t="shared" si="152"/>
        <v>0</v>
      </c>
      <c r="CF311" s="768">
        <f t="shared" si="152"/>
        <v>0</v>
      </c>
      <c r="CG311" s="768">
        <f t="shared" si="152"/>
        <v>0</v>
      </c>
      <c r="CH311" s="768">
        <f t="shared" si="152"/>
        <v>0</v>
      </c>
      <c r="CI311" s="769">
        <f t="shared" si="152"/>
        <v>0</v>
      </c>
      <c r="CK311" s="1366"/>
    </row>
    <row r="312" spans="2:89" x14ac:dyDescent="0.25">
      <c r="B312" s="991" t="s">
        <v>607</v>
      </c>
      <c r="C312" s="992" t="s">
        <v>297</v>
      </c>
      <c r="D312" s="992" t="s">
        <v>608</v>
      </c>
      <c r="E312" s="993" t="s">
        <v>146</v>
      </c>
      <c r="F312" s="989">
        <v>2</v>
      </c>
      <c r="G312" s="607"/>
      <c r="H312" s="607"/>
      <c r="I312" s="607">
        <f t="shared" ref="I312:BS312" si="153">(I309)-(I310+I311)</f>
        <v>0</v>
      </c>
      <c r="J312" s="607">
        <f t="shared" si="153"/>
        <v>0</v>
      </c>
      <c r="K312" s="607">
        <f t="shared" si="153"/>
        <v>0</v>
      </c>
      <c r="L312" s="607">
        <f t="shared" si="153"/>
        <v>0</v>
      </c>
      <c r="M312" s="607">
        <f t="shared" si="153"/>
        <v>0</v>
      </c>
      <c r="N312" s="607">
        <f t="shared" si="153"/>
        <v>0</v>
      </c>
      <c r="O312" s="607">
        <f t="shared" si="153"/>
        <v>0</v>
      </c>
      <c r="P312" s="607">
        <f t="shared" si="153"/>
        <v>0</v>
      </c>
      <c r="Q312" s="607">
        <f t="shared" si="153"/>
        <v>0</v>
      </c>
      <c r="R312" s="607">
        <f t="shared" si="153"/>
        <v>0</v>
      </c>
      <c r="S312" s="607">
        <f t="shared" si="153"/>
        <v>0</v>
      </c>
      <c r="T312" s="607">
        <f t="shared" si="153"/>
        <v>0</v>
      </c>
      <c r="U312" s="607">
        <f t="shared" si="153"/>
        <v>0</v>
      </c>
      <c r="V312" s="607">
        <f t="shared" si="153"/>
        <v>0</v>
      </c>
      <c r="W312" s="607">
        <f t="shared" si="153"/>
        <v>0</v>
      </c>
      <c r="X312" s="607">
        <f t="shared" si="153"/>
        <v>0</v>
      </c>
      <c r="Y312" s="607">
        <f t="shared" si="153"/>
        <v>0</v>
      </c>
      <c r="Z312" s="607">
        <f t="shared" si="153"/>
        <v>0</v>
      </c>
      <c r="AA312" s="607">
        <f t="shared" si="153"/>
        <v>0</v>
      </c>
      <c r="AB312" s="607">
        <f t="shared" si="153"/>
        <v>0</v>
      </c>
      <c r="AC312" s="607">
        <f t="shared" si="153"/>
        <v>0</v>
      </c>
      <c r="AD312" s="607">
        <f t="shared" si="153"/>
        <v>0</v>
      </c>
      <c r="AE312" s="607">
        <f t="shared" si="153"/>
        <v>0</v>
      </c>
      <c r="AF312" s="607">
        <f t="shared" si="153"/>
        <v>0</v>
      </c>
      <c r="AG312" s="607">
        <f t="shared" si="153"/>
        <v>0</v>
      </c>
      <c r="AH312" s="607">
        <f t="shared" si="153"/>
        <v>0</v>
      </c>
      <c r="AI312" s="607">
        <f t="shared" si="153"/>
        <v>0</v>
      </c>
      <c r="AJ312" s="607">
        <f t="shared" si="153"/>
        <v>0</v>
      </c>
      <c r="AK312" s="607">
        <f t="shared" si="153"/>
        <v>0</v>
      </c>
      <c r="AL312" s="607">
        <f t="shared" si="153"/>
        <v>0</v>
      </c>
      <c r="AM312" s="607">
        <f t="shared" si="153"/>
        <v>0</v>
      </c>
      <c r="AN312" s="607">
        <f t="shared" si="153"/>
        <v>0</v>
      </c>
      <c r="AO312" s="607">
        <f t="shared" si="153"/>
        <v>0</v>
      </c>
      <c r="AP312" s="607">
        <f t="shared" si="153"/>
        <v>0</v>
      </c>
      <c r="AQ312" s="607">
        <f t="shared" si="153"/>
        <v>0</v>
      </c>
      <c r="AR312" s="607">
        <f t="shared" si="153"/>
        <v>0</v>
      </c>
      <c r="AS312" s="607">
        <f t="shared" si="153"/>
        <v>0</v>
      </c>
      <c r="AT312" s="607">
        <f t="shared" si="153"/>
        <v>0</v>
      </c>
      <c r="AU312" s="607">
        <f t="shared" si="153"/>
        <v>0</v>
      </c>
      <c r="AV312" s="607">
        <f t="shared" si="153"/>
        <v>0</v>
      </c>
      <c r="AW312" s="607">
        <f t="shared" si="153"/>
        <v>0</v>
      </c>
      <c r="AX312" s="607">
        <f t="shared" si="153"/>
        <v>0</v>
      </c>
      <c r="AY312" s="607">
        <f t="shared" si="153"/>
        <v>0</v>
      </c>
      <c r="AZ312" s="607">
        <f t="shared" si="153"/>
        <v>0</v>
      </c>
      <c r="BA312" s="607">
        <f t="shared" si="153"/>
        <v>0</v>
      </c>
      <c r="BB312" s="607">
        <f t="shared" si="153"/>
        <v>0</v>
      </c>
      <c r="BC312" s="607">
        <f t="shared" si="153"/>
        <v>0</v>
      </c>
      <c r="BD312" s="607">
        <f t="shared" si="153"/>
        <v>0</v>
      </c>
      <c r="BE312" s="607">
        <f t="shared" si="153"/>
        <v>0</v>
      </c>
      <c r="BF312" s="607">
        <f t="shared" si="153"/>
        <v>0</v>
      </c>
      <c r="BG312" s="607">
        <f t="shared" si="153"/>
        <v>0</v>
      </c>
      <c r="BH312" s="607">
        <f t="shared" si="153"/>
        <v>0</v>
      </c>
      <c r="BI312" s="607">
        <f t="shared" si="153"/>
        <v>0</v>
      </c>
      <c r="BJ312" s="607">
        <f t="shared" si="153"/>
        <v>0</v>
      </c>
      <c r="BK312" s="607">
        <f t="shared" si="153"/>
        <v>0</v>
      </c>
      <c r="BL312" s="607">
        <f t="shared" si="153"/>
        <v>0</v>
      </c>
      <c r="BM312" s="607">
        <f t="shared" si="153"/>
        <v>0</v>
      </c>
      <c r="BN312" s="607">
        <f t="shared" si="153"/>
        <v>0</v>
      </c>
      <c r="BO312" s="607">
        <f t="shared" si="153"/>
        <v>0</v>
      </c>
      <c r="BP312" s="607">
        <f t="shared" si="153"/>
        <v>0</v>
      </c>
      <c r="BQ312" s="607">
        <f t="shared" si="153"/>
        <v>0</v>
      </c>
      <c r="BR312" s="607">
        <f t="shared" si="153"/>
        <v>0</v>
      </c>
      <c r="BS312" s="607">
        <f t="shared" si="153"/>
        <v>0</v>
      </c>
      <c r="BT312" s="607">
        <f t="shared" ref="BT312:CI312" si="154">(BT309)-(BT310+BT311)</f>
        <v>0</v>
      </c>
      <c r="BU312" s="607">
        <f t="shared" si="154"/>
        <v>0</v>
      </c>
      <c r="BV312" s="607">
        <f t="shared" si="154"/>
        <v>0</v>
      </c>
      <c r="BW312" s="607">
        <f t="shared" si="154"/>
        <v>0</v>
      </c>
      <c r="BX312" s="607">
        <f t="shared" si="154"/>
        <v>0</v>
      </c>
      <c r="BY312" s="607">
        <f t="shared" si="154"/>
        <v>0</v>
      </c>
      <c r="BZ312" s="607">
        <f t="shared" si="154"/>
        <v>0</v>
      </c>
      <c r="CA312" s="607">
        <f t="shared" si="154"/>
        <v>0</v>
      </c>
      <c r="CB312" s="607">
        <f t="shared" si="154"/>
        <v>0</v>
      </c>
      <c r="CC312" s="607">
        <f t="shared" si="154"/>
        <v>0</v>
      </c>
      <c r="CD312" s="607">
        <f t="shared" si="154"/>
        <v>0</v>
      </c>
      <c r="CE312" s="607">
        <f t="shared" si="154"/>
        <v>0</v>
      </c>
      <c r="CF312" s="607">
        <f t="shared" si="154"/>
        <v>0</v>
      </c>
      <c r="CG312" s="607">
        <f t="shared" si="154"/>
        <v>0</v>
      </c>
      <c r="CH312" s="607">
        <f t="shared" si="154"/>
        <v>0</v>
      </c>
      <c r="CI312" s="769">
        <f t="shared" si="154"/>
        <v>0</v>
      </c>
      <c r="CK312" s="1366"/>
    </row>
    <row r="313" spans="2:89" ht="14.4" thickBot="1" x14ac:dyDescent="0.3">
      <c r="B313" s="994" t="s">
        <v>609</v>
      </c>
      <c r="C313" s="995" t="s">
        <v>300</v>
      </c>
      <c r="D313" s="995" t="s">
        <v>610</v>
      </c>
      <c r="E313" s="996" t="s">
        <v>146</v>
      </c>
      <c r="F313" s="997">
        <v>2</v>
      </c>
      <c r="G313" s="779"/>
      <c r="H313" s="779"/>
      <c r="I313" s="779">
        <f t="shared" ref="I313:AL313" si="155">I312+SUM(I305:I308)</f>
        <v>0</v>
      </c>
      <c r="J313" s="779">
        <f t="shared" si="155"/>
        <v>0</v>
      </c>
      <c r="K313" s="779">
        <f t="shared" si="155"/>
        <v>0</v>
      </c>
      <c r="L313" s="779">
        <f t="shared" si="155"/>
        <v>0</v>
      </c>
      <c r="M313" s="779">
        <f t="shared" si="155"/>
        <v>0</v>
      </c>
      <c r="N313" s="779">
        <f t="shared" si="155"/>
        <v>0</v>
      </c>
      <c r="O313" s="779">
        <f t="shared" si="155"/>
        <v>0</v>
      </c>
      <c r="P313" s="779">
        <f t="shared" si="155"/>
        <v>0</v>
      </c>
      <c r="Q313" s="779">
        <f t="shared" si="155"/>
        <v>0</v>
      </c>
      <c r="R313" s="779">
        <f t="shared" si="155"/>
        <v>0</v>
      </c>
      <c r="S313" s="779">
        <f t="shared" si="155"/>
        <v>0</v>
      </c>
      <c r="T313" s="779">
        <f t="shared" si="155"/>
        <v>0</v>
      </c>
      <c r="U313" s="779">
        <f t="shared" si="155"/>
        <v>0</v>
      </c>
      <c r="V313" s="779">
        <f t="shared" si="155"/>
        <v>0</v>
      </c>
      <c r="W313" s="779">
        <f t="shared" si="155"/>
        <v>0</v>
      </c>
      <c r="X313" s="779">
        <f t="shared" si="155"/>
        <v>0</v>
      </c>
      <c r="Y313" s="779">
        <f t="shared" si="155"/>
        <v>0</v>
      </c>
      <c r="Z313" s="779">
        <f t="shared" si="155"/>
        <v>0</v>
      </c>
      <c r="AA313" s="779">
        <f t="shared" si="155"/>
        <v>0</v>
      </c>
      <c r="AB313" s="779">
        <f t="shared" si="155"/>
        <v>0</v>
      </c>
      <c r="AC313" s="779">
        <f t="shared" si="155"/>
        <v>0</v>
      </c>
      <c r="AD313" s="779">
        <f t="shared" si="155"/>
        <v>0</v>
      </c>
      <c r="AE313" s="779">
        <f t="shared" si="155"/>
        <v>0</v>
      </c>
      <c r="AF313" s="779">
        <f t="shared" si="155"/>
        <v>0</v>
      </c>
      <c r="AG313" s="779">
        <f t="shared" si="155"/>
        <v>0</v>
      </c>
      <c r="AH313" s="779">
        <f t="shared" si="155"/>
        <v>0</v>
      </c>
      <c r="AI313" s="779">
        <f t="shared" si="155"/>
        <v>0</v>
      </c>
      <c r="AJ313" s="779">
        <f t="shared" si="155"/>
        <v>0</v>
      </c>
      <c r="AK313" s="779">
        <f t="shared" si="155"/>
        <v>0</v>
      </c>
      <c r="AL313" s="779">
        <f t="shared" si="155"/>
        <v>0</v>
      </c>
      <c r="AM313" s="779">
        <f t="shared" ref="AM313:BR313" si="156">AM312+SUM(AM305:AM308)</f>
        <v>0</v>
      </c>
      <c r="AN313" s="779">
        <f t="shared" si="156"/>
        <v>0</v>
      </c>
      <c r="AO313" s="779">
        <f t="shared" si="156"/>
        <v>0</v>
      </c>
      <c r="AP313" s="779">
        <f t="shared" si="156"/>
        <v>0</v>
      </c>
      <c r="AQ313" s="779">
        <f t="shared" si="156"/>
        <v>0</v>
      </c>
      <c r="AR313" s="779">
        <f t="shared" si="156"/>
        <v>0</v>
      </c>
      <c r="AS313" s="779">
        <f t="shared" si="156"/>
        <v>0</v>
      </c>
      <c r="AT313" s="779">
        <f t="shared" si="156"/>
        <v>0</v>
      </c>
      <c r="AU313" s="779">
        <f t="shared" si="156"/>
        <v>0</v>
      </c>
      <c r="AV313" s="779">
        <f t="shared" si="156"/>
        <v>0</v>
      </c>
      <c r="AW313" s="779">
        <f t="shared" si="156"/>
        <v>0</v>
      </c>
      <c r="AX313" s="779">
        <f t="shared" si="156"/>
        <v>0</v>
      </c>
      <c r="AY313" s="779">
        <f t="shared" si="156"/>
        <v>0</v>
      </c>
      <c r="AZ313" s="779">
        <f t="shared" si="156"/>
        <v>0</v>
      </c>
      <c r="BA313" s="779">
        <f t="shared" si="156"/>
        <v>0</v>
      </c>
      <c r="BB313" s="779">
        <f t="shared" si="156"/>
        <v>0</v>
      </c>
      <c r="BC313" s="779">
        <f t="shared" si="156"/>
        <v>0</v>
      </c>
      <c r="BD313" s="779">
        <f t="shared" si="156"/>
        <v>0</v>
      </c>
      <c r="BE313" s="779">
        <f t="shared" si="156"/>
        <v>0</v>
      </c>
      <c r="BF313" s="779">
        <f t="shared" si="156"/>
        <v>0</v>
      </c>
      <c r="BG313" s="779">
        <f t="shared" si="156"/>
        <v>0</v>
      </c>
      <c r="BH313" s="779">
        <f t="shared" si="156"/>
        <v>0</v>
      </c>
      <c r="BI313" s="779">
        <f t="shared" si="156"/>
        <v>0</v>
      </c>
      <c r="BJ313" s="779">
        <f t="shared" si="156"/>
        <v>0</v>
      </c>
      <c r="BK313" s="779">
        <f t="shared" si="156"/>
        <v>0</v>
      </c>
      <c r="BL313" s="779">
        <f t="shared" si="156"/>
        <v>0</v>
      </c>
      <c r="BM313" s="779">
        <f t="shared" si="156"/>
        <v>0</v>
      </c>
      <c r="BN313" s="779">
        <f t="shared" si="156"/>
        <v>0</v>
      </c>
      <c r="BO313" s="779">
        <f t="shared" si="156"/>
        <v>0</v>
      </c>
      <c r="BP313" s="779">
        <f t="shared" si="156"/>
        <v>0</v>
      </c>
      <c r="BQ313" s="779">
        <f t="shared" si="156"/>
        <v>0</v>
      </c>
      <c r="BR313" s="779">
        <f t="shared" si="156"/>
        <v>0</v>
      </c>
      <c r="BS313" s="779">
        <f t="shared" ref="BS313:CI313" si="157">BS312+SUM(BS305:BS308)</f>
        <v>0</v>
      </c>
      <c r="BT313" s="779">
        <f t="shared" si="157"/>
        <v>0</v>
      </c>
      <c r="BU313" s="779">
        <f t="shared" si="157"/>
        <v>0</v>
      </c>
      <c r="BV313" s="779">
        <f t="shared" si="157"/>
        <v>0</v>
      </c>
      <c r="BW313" s="779">
        <f t="shared" si="157"/>
        <v>0</v>
      </c>
      <c r="BX313" s="779">
        <f t="shared" si="157"/>
        <v>0</v>
      </c>
      <c r="BY313" s="779">
        <f t="shared" si="157"/>
        <v>0</v>
      </c>
      <c r="BZ313" s="779">
        <f t="shared" si="157"/>
        <v>0</v>
      </c>
      <c r="CA313" s="779">
        <f t="shared" si="157"/>
        <v>0</v>
      </c>
      <c r="CB313" s="779">
        <f t="shared" si="157"/>
        <v>0</v>
      </c>
      <c r="CC313" s="779">
        <f t="shared" si="157"/>
        <v>0</v>
      </c>
      <c r="CD313" s="779">
        <f t="shared" si="157"/>
        <v>0</v>
      </c>
      <c r="CE313" s="779">
        <f t="shared" si="157"/>
        <v>0</v>
      </c>
      <c r="CF313" s="779">
        <f t="shared" si="157"/>
        <v>0</v>
      </c>
      <c r="CG313" s="779">
        <f t="shared" si="157"/>
        <v>0</v>
      </c>
      <c r="CH313" s="779">
        <f t="shared" si="157"/>
        <v>0</v>
      </c>
      <c r="CI313" s="779">
        <f t="shared" si="157"/>
        <v>0</v>
      </c>
      <c r="CK313" s="1366"/>
    </row>
    <row r="314" spans="2:89" x14ac:dyDescent="0.25">
      <c r="B314" s="998" t="s">
        <v>611</v>
      </c>
      <c r="C314" s="999" t="s">
        <v>399</v>
      </c>
      <c r="D314" s="1000" t="s">
        <v>612</v>
      </c>
      <c r="E314" s="1001" t="s">
        <v>146</v>
      </c>
      <c r="F314" s="1002">
        <v>2</v>
      </c>
      <c r="G314" s="785"/>
      <c r="H314" s="785"/>
      <c r="I314" s="785">
        <f t="shared" ref="I314:BR314" si="158">I224+I288</f>
        <v>0</v>
      </c>
      <c r="J314" s="785">
        <f t="shared" si="158"/>
        <v>0</v>
      </c>
      <c r="K314" s="785">
        <f t="shared" si="158"/>
        <v>0</v>
      </c>
      <c r="L314" s="785">
        <f t="shared" si="158"/>
        <v>0</v>
      </c>
      <c r="M314" s="786">
        <f t="shared" si="158"/>
        <v>0</v>
      </c>
      <c r="N314" s="786">
        <f t="shared" si="158"/>
        <v>0</v>
      </c>
      <c r="O314" s="786">
        <f t="shared" si="158"/>
        <v>0</v>
      </c>
      <c r="P314" s="786">
        <f t="shared" si="158"/>
        <v>0</v>
      </c>
      <c r="Q314" s="786">
        <f t="shared" si="158"/>
        <v>0</v>
      </c>
      <c r="R314" s="786">
        <f t="shared" si="158"/>
        <v>0</v>
      </c>
      <c r="S314" s="786">
        <f t="shared" si="158"/>
        <v>0</v>
      </c>
      <c r="T314" s="786">
        <f t="shared" si="158"/>
        <v>0</v>
      </c>
      <c r="U314" s="786">
        <f t="shared" si="158"/>
        <v>0</v>
      </c>
      <c r="V314" s="786">
        <f t="shared" si="158"/>
        <v>0</v>
      </c>
      <c r="W314" s="786">
        <f t="shared" si="158"/>
        <v>0</v>
      </c>
      <c r="X314" s="786">
        <f t="shared" si="158"/>
        <v>0</v>
      </c>
      <c r="Y314" s="786">
        <f t="shared" si="158"/>
        <v>0</v>
      </c>
      <c r="Z314" s="786">
        <f t="shared" si="158"/>
        <v>0</v>
      </c>
      <c r="AA314" s="786">
        <f t="shared" si="158"/>
        <v>0</v>
      </c>
      <c r="AB314" s="786">
        <f t="shared" si="158"/>
        <v>0</v>
      </c>
      <c r="AC314" s="786">
        <f t="shared" si="158"/>
        <v>0</v>
      </c>
      <c r="AD314" s="786">
        <f t="shared" si="158"/>
        <v>0</v>
      </c>
      <c r="AE314" s="786">
        <f t="shared" si="158"/>
        <v>0</v>
      </c>
      <c r="AF314" s="786">
        <f t="shared" si="158"/>
        <v>0</v>
      </c>
      <c r="AG314" s="786">
        <f t="shared" si="158"/>
        <v>0</v>
      </c>
      <c r="AH314" s="786">
        <f t="shared" si="158"/>
        <v>0</v>
      </c>
      <c r="AI314" s="786">
        <f t="shared" si="158"/>
        <v>0</v>
      </c>
      <c r="AJ314" s="786">
        <f t="shared" si="158"/>
        <v>0</v>
      </c>
      <c r="AK314" s="786">
        <f t="shared" si="158"/>
        <v>0</v>
      </c>
      <c r="AL314" s="786">
        <f t="shared" si="158"/>
        <v>0</v>
      </c>
      <c r="AM314" s="786">
        <f t="shared" si="158"/>
        <v>0</v>
      </c>
      <c r="AN314" s="786">
        <f t="shared" si="158"/>
        <v>0</v>
      </c>
      <c r="AO314" s="786">
        <f t="shared" si="158"/>
        <v>0</v>
      </c>
      <c r="AP314" s="786">
        <f t="shared" si="158"/>
        <v>0</v>
      </c>
      <c r="AQ314" s="786">
        <f t="shared" si="158"/>
        <v>0</v>
      </c>
      <c r="AR314" s="786">
        <f t="shared" si="158"/>
        <v>0</v>
      </c>
      <c r="AS314" s="786">
        <f t="shared" si="158"/>
        <v>0</v>
      </c>
      <c r="AT314" s="786">
        <f t="shared" si="158"/>
        <v>0</v>
      </c>
      <c r="AU314" s="786">
        <f t="shared" si="158"/>
        <v>0</v>
      </c>
      <c r="AV314" s="786">
        <f t="shared" si="158"/>
        <v>0</v>
      </c>
      <c r="AW314" s="786">
        <f t="shared" si="158"/>
        <v>0</v>
      </c>
      <c r="AX314" s="786">
        <f t="shared" si="158"/>
        <v>0</v>
      </c>
      <c r="AY314" s="786">
        <f t="shared" si="158"/>
        <v>0</v>
      </c>
      <c r="AZ314" s="786">
        <f t="shared" si="158"/>
        <v>0</v>
      </c>
      <c r="BA314" s="786">
        <f t="shared" si="158"/>
        <v>0</v>
      </c>
      <c r="BB314" s="786">
        <f t="shared" si="158"/>
        <v>0</v>
      </c>
      <c r="BC314" s="786">
        <f t="shared" si="158"/>
        <v>0</v>
      </c>
      <c r="BD314" s="786">
        <f t="shared" si="158"/>
        <v>0</v>
      </c>
      <c r="BE314" s="786">
        <f t="shared" si="158"/>
        <v>0</v>
      </c>
      <c r="BF314" s="786">
        <f t="shared" si="158"/>
        <v>0</v>
      </c>
      <c r="BG314" s="786">
        <f t="shared" si="158"/>
        <v>0</v>
      </c>
      <c r="BH314" s="786">
        <f t="shared" si="158"/>
        <v>0</v>
      </c>
      <c r="BI314" s="786">
        <f t="shared" si="158"/>
        <v>0</v>
      </c>
      <c r="BJ314" s="786">
        <f t="shared" si="158"/>
        <v>0</v>
      </c>
      <c r="BK314" s="786">
        <f t="shared" si="158"/>
        <v>0</v>
      </c>
      <c r="BL314" s="786">
        <f t="shared" si="158"/>
        <v>0</v>
      </c>
      <c r="BM314" s="786">
        <f t="shared" si="158"/>
        <v>0</v>
      </c>
      <c r="BN314" s="786">
        <f t="shared" si="158"/>
        <v>0</v>
      </c>
      <c r="BO314" s="786">
        <f t="shared" si="158"/>
        <v>0</v>
      </c>
      <c r="BP314" s="786">
        <f t="shared" si="158"/>
        <v>0</v>
      </c>
      <c r="BQ314" s="786">
        <f t="shared" si="158"/>
        <v>0</v>
      </c>
      <c r="BR314" s="786">
        <f t="shared" si="158"/>
        <v>0</v>
      </c>
      <c r="BS314" s="786">
        <f t="shared" ref="BS314:CI314" si="159">BS224+BS288</f>
        <v>0</v>
      </c>
      <c r="BT314" s="786">
        <f t="shared" si="159"/>
        <v>0</v>
      </c>
      <c r="BU314" s="786">
        <f t="shared" si="159"/>
        <v>0</v>
      </c>
      <c r="BV314" s="786">
        <f t="shared" si="159"/>
        <v>0</v>
      </c>
      <c r="BW314" s="786">
        <f t="shared" si="159"/>
        <v>0</v>
      </c>
      <c r="BX314" s="786">
        <f t="shared" si="159"/>
        <v>0</v>
      </c>
      <c r="BY314" s="786">
        <f t="shared" si="159"/>
        <v>0</v>
      </c>
      <c r="BZ314" s="786">
        <f t="shared" si="159"/>
        <v>0</v>
      </c>
      <c r="CA314" s="786">
        <f t="shared" si="159"/>
        <v>0</v>
      </c>
      <c r="CB314" s="786">
        <f t="shared" si="159"/>
        <v>0</v>
      </c>
      <c r="CC314" s="786">
        <f t="shared" si="159"/>
        <v>0</v>
      </c>
      <c r="CD314" s="786">
        <f t="shared" si="159"/>
        <v>0</v>
      </c>
      <c r="CE314" s="786">
        <f t="shared" si="159"/>
        <v>0</v>
      </c>
      <c r="CF314" s="786">
        <f t="shared" si="159"/>
        <v>0</v>
      </c>
      <c r="CG314" s="786">
        <f t="shared" si="159"/>
        <v>0</v>
      </c>
      <c r="CH314" s="786">
        <f t="shared" si="159"/>
        <v>0</v>
      </c>
      <c r="CI314" s="787">
        <f t="shared" si="159"/>
        <v>0</v>
      </c>
      <c r="CK314" s="1366"/>
    </row>
    <row r="315" spans="2:89" x14ac:dyDescent="0.25">
      <c r="B315" s="1003" t="s">
        <v>613</v>
      </c>
      <c r="C315" s="1004" t="s">
        <v>614</v>
      </c>
      <c r="D315" s="1005" t="s">
        <v>79</v>
      </c>
      <c r="E315" s="1006" t="s">
        <v>146</v>
      </c>
      <c r="F315" s="1007">
        <v>2</v>
      </c>
      <c r="G315" s="576"/>
      <c r="H315" s="576"/>
      <c r="I315" s="576"/>
      <c r="J315" s="576"/>
      <c r="K315" s="576"/>
      <c r="L315" s="576"/>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7"/>
      <c r="AO315" s="577"/>
      <c r="AP315" s="577"/>
      <c r="AQ315" s="577"/>
      <c r="AR315" s="577"/>
      <c r="AS315" s="577"/>
      <c r="AT315" s="577"/>
      <c r="AU315" s="577"/>
      <c r="AV315" s="577"/>
      <c r="AW315" s="577"/>
      <c r="AX315" s="577"/>
      <c r="AY315" s="577"/>
      <c r="AZ315" s="577"/>
      <c r="BA315" s="577"/>
      <c r="BB315" s="577"/>
      <c r="BC315" s="577"/>
      <c r="BD315" s="577"/>
      <c r="BE315" s="577"/>
      <c r="BF315" s="577"/>
      <c r="BG315" s="577"/>
      <c r="BH315" s="577"/>
      <c r="BI315" s="577"/>
      <c r="BJ315" s="577"/>
      <c r="BK315" s="577"/>
      <c r="BL315" s="577"/>
      <c r="BM315" s="577"/>
      <c r="BN315" s="577"/>
      <c r="BO315" s="577"/>
      <c r="BP315" s="577"/>
      <c r="BQ315" s="577"/>
      <c r="BR315" s="577"/>
      <c r="BS315" s="577"/>
      <c r="BT315" s="577"/>
      <c r="BU315" s="577"/>
      <c r="BV315" s="577"/>
      <c r="BW315" s="577"/>
      <c r="BX315" s="577"/>
      <c r="BY315" s="577"/>
      <c r="BZ315" s="577"/>
      <c r="CA315" s="577"/>
      <c r="CB315" s="577"/>
      <c r="CC315" s="577"/>
      <c r="CD315" s="577"/>
      <c r="CE315" s="577"/>
      <c r="CF315" s="577"/>
      <c r="CG315" s="577"/>
      <c r="CH315" s="577"/>
      <c r="CI315" s="578"/>
      <c r="CK315" s="1366"/>
    </row>
    <row r="316" spans="2:89" x14ac:dyDescent="0.25">
      <c r="B316" s="1003" t="s">
        <v>615</v>
      </c>
      <c r="C316" s="1004" t="s">
        <v>403</v>
      </c>
      <c r="D316" s="1005" t="s">
        <v>616</v>
      </c>
      <c r="E316" s="1006" t="s">
        <v>146</v>
      </c>
      <c r="F316" s="1007">
        <v>2</v>
      </c>
      <c r="G316" s="607"/>
      <c r="H316" s="607"/>
      <c r="I316" s="607">
        <f t="shared" ref="I316:BR318" si="160">I226+I289</f>
        <v>0</v>
      </c>
      <c r="J316" s="607">
        <f t="shared" si="160"/>
        <v>0</v>
      </c>
      <c r="K316" s="607">
        <f t="shared" si="160"/>
        <v>0</v>
      </c>
      <c r="L316" s="607">
        <f t="shared" si="160"/>
        <v>0</v>
      </c>
      <c r="M316" s="768">
        <f t="shared" si="160"/>
        <v>0</v>
      </c>
      <c r="N316" s="768">
        <f t="shared" si="160"/>
        <v>0</v>
      </c>
      <c r="O316" s="768">
        <f t="shared" si="160"/>
        <v>0</v>
      </c>
      <c r="P316" s="768">
        <f t="shared" si="160"/>
        <v>0</v>
      </c>
      <c r="Q316" s="768">
        <f t="shared" si="160"/>
        <v>0</v>
      </c>
      <c r="R316" s="768">
        <f t="shared" si="160"/>
        <v>0</v>
      </c>
      <c r="S316" s="768">
        <f t="shared" si="160"/>
        <v>0</v>
      </c>
      <c r="T316" s="768">
        <f t="shared" si="160"/>
        <v>0</v>
      </c>
      <c r="U316" s="768">
        <f t="shared" si="160"/>
        <v>0</v>
      </c>
      <c r="V316" s="768">
        <f t="shared" si="160"/>
        <v>0</v>
      </c>
      <c r="W316" s="768">
        <f t="shared" si="160"/>
        <v>0</v>
      </c>
      <c r="X316" s="768">
        <f t="shared" si="160"/>
        <v>0</v>
      </c>
      <c r="Y316" s="768">
        <f t="shared" si="160"/>
        <v>0</v>
      </c>
      <c r="Z316" s="768">
        <f t="shared" si="160"/>
        <v>0</v>
      </c>
      <c r="AA316" s="768">
        <f t="shared" si="160"/>
        <v>0</v>
      </c>
      <c r="AB316" s="768">
        <f t="shared" si="160"/>
        <v>0</v>
      </c>
      <c r="AC316" s="768">
        <f t="shared" si="160"/>
        <v>0</v>
      </c>
      <c r="AD316" s="768">
        <f t="shared" si="160"/>
        <v>0</v>
      </c>
      <c r="AE316" s="768">
        <f t="shared" si="160"/>
        <v>0</v>
      </c>
      <c r="AF316" s="768">
        <f t="shared" si="160"/>
        <v>0</v>
      </c>
      <c r="AG316" s="768">
        <f t="shared" si="160"/>
        <v>0</v>
      </c>
      <c r="AH316" s="768">
        <f t="shared" si="160"/>
        <v>0</v>
      </c>
      <c r="AI316" s="768">
        <f t="shared" si="160"/>
        <v>0</v>
      </c>
      <c r="AJ316" s="768">
        <f t="shared" si="160"/>
        <v>0</v>
      </c>
      <c r="AK316" s="768">
        <f t="shared" si="160"/>
        <v>0</v>
      </c>
      <c r="AL316" s="768">
        <f t="shared" si="160"/>
        <v>0</v>
      </c>
      <c r="AM316" s="768">
        <f t="shared" si="160"/>
        <v>0</v>
      </c>
      <c r="AN316" s="768">
        <f t="shared" si="160"/>
        <v>0</v>
      </c>
      <c r="AO316" s="768">
        <f t="shared" si="160"/>
        <v>0</v>
      </c>
      <c r="AP316" s="768">
        <f t="shared" si="160"/>
        <v>0</v>
      </c>
      <c r="AQ316" s="768">
        <f t="shared" si="160"/>
        <v>0</v>
      </c>
      <c r="AR316" s="768">
        <f t="shared" si="160"/>
        <v>0</v>
      </c>
      <c r="AS316" s="768">
        <f t="shared" si="160"/>
        <v>0</v>
      </c>
      <c r="AT316" s="768">
        <f t="shared" si="160"/>
        <v>0</v>
      </c>
      <c r="AU316" s="768">
        <f t="shared" si="160"/>
        <v>0</v>
      </c>
      <c r="AV316" s="768">
        <f t="shared" si="160"/>
        <v>0</v>
      </c>
      <c r="AW316" s="768">
        <f t="shared" si="160"/>
        <v>0</v>
      </c>
      <c r="AX316" s="768">
        <f t="shared" si="160"/>
        <v>0</v>
      </c>
      <c r="AY316" s="768">
        <f t="shared" si="160"/>
        <v>0</v>
      </c>
      <c r="AZ316" s="768">
        <f t="shared" si="160"/>
        <v>0</v>
      </c>
      <c r="BA316" s="768">
        <f t="shared" si="160"/>
        <v>0</v>
      </c>
      <c r="BB316" s="768">
        <f t="shared" si="160"/>
        <v>0</v>
      </c>
      <c r="BC316" s="768">
        <f t="shared" si="160"/>
        <v>0</v>
      </c>
      <c r="BD316" s="768">
        <f t="shared" si="160"/>
        <v>0</v>
      </c>
      <c r="BE316" s="768">
        <f t="shared" si="160"/>
        <v>0</v>
      </c>
      <c r="BF316" s="768">
        <f t="shared" si="160"/>
        <v>0</v>
      </c>
      <c r="BG316" s="768">
        <f t="shared" si="160"/>
        <v>0</v>
      </c>
      <c r="BH316" s="768">
        <f t="shared" si="160"/>
        <v>0</v>
      </c>
      <c r="BI316" s="768">
        <f t="shared" si="160"/>
        <v>0</v>
      </c>
      <c r="BJ316" s="768">
        <f t="shared" si="160"/>
        <v>0</v>
      </c>
      <c r="BK316" s="768">
        <f t="shared" si="160"/>
        <v>0</v>
      </c>
      <c r="BL316" s="768">
        <f t="shared" si="160"/>
        <v>0</v>
      </c>
      <c r="BM316" s="768">
        <f t="shared" si="160"/>
        <v>0</v>
      </c>
      <c r="BN316" s="768">
        <f t="shared" si="160"/>
        <v>0</v>
      </c>
      <c r="BO316" s="768">
        <f t="shared" si="160"/>
        <v>0</v>
      </c>
      <c r="BP316" s="768">
        <f t="shared" si="160"/>
        <v>0</v>
      </c>
      <c r="BQ316" s="768">
        <f t="shared" si="160"/>
        <v>0</v>
      </c>
      <c r="BR316" s="768">
        <f t="shared" si="160"/>
        <v>0</v>
      </c>
      <c r="BS316" s="768">
        <f t="shared" ref="BS316:CI318" si="161">BS226+BS289</f>
        <v>0</v>
      </c>
      <c r="BT316" s="768">
        <f t="shared" si="161"/>
        <v>0</v>
      </c>
      <c r="BU316" s="768">
        <f t="shared" si="161"/>
        <v>0</v>
      </c>
      <c r="BV316" s="768">
        <f t="shared" si="161"/>
        <v>0</v>
      </c>
      <c r="BW316" s="768">
        <f t="shared" si="161"/>
        <v>0</v>
      </c>
      <c r="BX316" s="768">
        <f t="shared" si="161"/>
        <v>0</v>
      </c>
      <c r="BY316" s="768">
        <f t="shared" si="161"/>
        <v>0</v>
      </c>
      <c r="BZ316" s="768">
        <f t="shared" si="161"/>
        <v>0</v>
      </c>
      <c r="CA316" s="768">
        <f t="shared" si="161"/>
        <v>0</v>
      </c>
      <c r="CB316" s="768">
        <f t="shared" si="161"/>
        <v>0</v>
      </c>
      <c r="CC316" s="768">
        <f t="shared" si="161"/>
        <v>0</v>
      </c>
      <c r="CD316" s="768">
        <f t="shared" si="161"/>
        <v>0</v>
      </c>
      <c r="CE316" s="768">
        <f t="shared" si="161"/>
        <v>0</v>
      </c>
      <c r="CF316" s="768">
        <f t="shared" si="161"/>
        <v>0</v>
      </c>
      <c r="CG316" s="768">
        <f t="shared" si="161"/>
        <v>0</v>
      </c>
      <c r="CH316" s="768">
        <f t="shared" si="161"/>
        <v>0</v>
      </c>
      <c r="CI316" s="769">
        <f t="shared" si="161"/>
        <v>0</v>
      </c>
      <c r="CK316" s="1366"/>
    </row>
    <row r="317" spans="2:89" x14ac:dyDescent="0.25">
      <c r="B317" s="1003" t="s">
        <v>617</v>
      </c>
      <c r="C317" s="1004" t="s">
        <v>405</v>
      </c>
      <c r="D317" s="1005" t="s">
        <v>618</v>
      </c>
      <c r="E317" s="1006" t="s">
        <v>146</v>
      </c>
      <c r="F317" s="1007">
        <v>2</v>
      </c>
      <c r="G317" s="607"/>
      <c r="H317" s="607"/>
      <c r="I317" s="607">
        <f t="shared" si="160"/>
        <v>0</v>
      </c>
      <c r="J317" s="607">
        <f t="shared" si="160"/>
        <v>0</v>
      </c>
      <c r="K317" s="607">
        <f t="shared" si="160"/>
        <v>0</v>
      </c>
      <c r="L317" s="607">
        <f t="shared" si="160"/>
        <v>0</v>
      </c>
      <c r="M317" s="768">
        <f t="shared" si="160"/>
        <v>0</v>
      </c>
      <c r="N317" s="768">
        <f t="shared" si="160"/>
        <v>0</v>
      </c>
      <c r="O317" s="768">
        <f t="shared" si="160"/>
        <v>0</v>
      </c>
      <c r="P317" s="768">
        <f t="shared" si="160"/>
        <v>0</v>
      </c>
      <c r="Q317" s="768">
        <f t="shared" si="160"/>
        <v>0</v>
      </c>
      <c r="R317" s="768">
        <f t="shared" si="160"/>
        <v>0</v>
      </c>
      <c r="S317" s="768">
        <f t="shared" si="160"/>
        <v>0</v>
      </c>
      <c r="T317" s="768">
        <f t="shared" si="160"/>
        <v>0</v>
      </c>
      <c r="U317" s="768">
        <f t="shared" si="160"/>
        <v>0</v>
      </c>
      <c r="V317" s="768">
        <f t="shared" si="160"/>
        <v>0</v>
      </c>
      <c r="W317" s="768">
        <f t="shared" si="160"/>
        <v>0</v>
      </c>
      <c r="X317" s="768">
        <f t="shared" si="160"/>
        <v>0</v>
      </c>
      <c r="Y317" s="768">
        <f t="shared" si="160"/>
        <v>0</v>
      </c>
      <c r="Z317" s="768">
        <f t="shared" si="160"/>
        <v>0</v>
      </c>
      <c r="AA317" s="768">
        <f t="shared" si="160"/>
        <v>0</v>
      </c>
      <c r="AB317" s="768">
        <f t="shared" si="160"/>
        <v>0</v>
      </c>
      <c r="AC317" s="768">
        <f t="shared" si="160"/>
        <v>0</v>
      </c>
      <c r="AD317" s="768">
        <f t="shared" si="160"/>
        <v>0</v>
      </c>
      <c r="AE317" s="768">
        <f t="shared" si="160"/>
        <v>0</v>
      </c>
      <c r="AF317" s="768">
        <f t="shared" si="160"/>
        <v>0</v>
      </c>
      <c r="AG317" s="768">
        <f t="shared" si="160"/>
        <v>0</v>
      </c>
      <c r="AH317" s="768">
        <f t="shared" si="160"/>
        <v>0</v>
      </c>
      <c r="AI317" s="768">
        <f t="shared" si="160"/>
        <v>0</v>
      </c>
      <c r="AJ317" s="768">
        <f t="shared" si="160"/>
        <v>0</v>
      </c>
      <c r="AK317" s="768">
        <f t="shared" si="160"/>
        <v>0</v>
      </c>
      <c r="AL317" s="768">
        <f t="shared" si="160"/>
        <v>0</v>
      </c>
      <c r="AM317" s="768">
        <f t="shared" si="160"/>
        <v>0</v>
      </c>
      <c r="AN317" s="768">
        <f t="shared" si="160"/>
        <v>0</v>
      </c>
      <c r="AO317" s="768">
        <f t="shared" si="160"/>
        <v>0</v>
      </c>
      <c r="AP317" s="768">
        <f t="shared" si="160"/>
        <v>0</v>
      </c>
      <c r="AQ317" s="768">
        <f t="shared" si="160"/>
        <v>0</v>
      </c>
      <c r="AR317" s="768">
        <f t="shared" si="160"/>
        <v>0</v>
      </c>
      <c r="AS317" s="768">
        <f t="shared" si="160"/>
        <v>0</v>
      </c>
      <c r="AT317" s="768">
        <f t="shared" si="160"/>
        <v>0</v>
      </c>
      <c r="AU317" s="768">
        <f t="shared" si="160"/>
        <v>0</v>
      </c>
      <c r="AV317" s="768">
        <f t="shared" si="160"/>
        <v>0</v>
      </c>
      <c r="AW317" s="768">
        <f t="shared" si="160"/>
        <v>0</v>
      </c>
      <c r="AX317" s="768">
        <f t="shared" si="160"/>
        <v>0</v>
      </c>
      <c r="AY317" s="768">
        <f t="shared" si="160"/>
        <v>0</v>
      </c>
      <c r="AZ317" s="768">
        <f t="shared" si="160"/>
        <v>0</v>
      </c>
      <c r="BA317" s="768">
        <f t="shared" si="160"/>
        <v>0</v>
      </c>
      <c r="BB317" s="768">
        <f t="shared" si="160"/>
        <v>0</v>
      </c>
      <c r="BC317" s="768">
        <f t="shared" si="160"/>
        <v>0</v>
      </c>
      <c r="BD317" s="768">
        <f t="shared" si="160"/>
        <v>0</v>
      </c>
      <c r="BE317" s="768">
        <f t="shared" si="160"/>
        <v>0</v>
      </c>
      <c r="BF317" s="768">
        <f t="shared" si="160"/>
        <v>0</v>
      </c>
      <c r="BG317" s="768">
        <f t="shared" si="160"/>
        <v>0</v>
      </c>
      <c r="BH317" s="768">
        <f t="shared" si="160"/>
        <v>0</v>
      </c>
      <c r="BI317" s="768">
        <f t="shared" si="160"/>
        <v>0</v>
      </c>
      <c r="BJ317" s="768">
        <f t="shared" si="160"/>
        <v>0</v>
      </c>
      <c r="BK317" s="768">
        <f t="shared" si="160"/>
        <v>0</v>
      </c>
      <c r="BL317" s="768">
        <f t="shared" si="160"/>
        <v>0</v>
      </c>
      <c r="BM317" s="768">
        <f t="shared" si="160"/>
        <v>0</v>
      </c>
      <c r="BN317" s="768">
        <f t="shared" si="160"/>
        <v>0</v>
      </c>
      <c r="BO317" s="768">
        <f t="shared" si="160"/>
        <v>0</v>
      </c>
      <c r="BP317" s="768">
        <f t="shared" si="160"/>
        <v>0</v>
      </c>
      <c r="BQ317" s="768">
        <f t="shared" si="160"/>
        <v>0</v>
      </c>
      <c r="BR317" s="768">
        <f t="shared" si="160"/>
        <v>0</v>
      </c>
      <c r="BS317" s="768">
        <f t="shared" si="161"/>
        <v>0</v>
      </c>
      <c r="BT317" s="768">
        <f t="shared" si="161"/>
        <v>0</v>
      </c>
      <c r="BU317" s="768">
        <f t="shared" si="161"/>
        <v>0</v>
      </c>
      <c r="BV317" s="768">
        <f t="shared" si="161"/>
        <v>0</v>
      </c>
      <c r="BW317" s="768">
        <f t="shared" si="161"/>
        <v>0</v>
      </c>
      <c r="BX317" s="768">
        <f t="shared" si="161"/>
        <v>0</v>
      </c>
      <c r="BY317" s="768">
        <f t="shared" si="161"/>
        <v>0</v>
      </c>
      <c r="BZ317" s="768">
        <f t="shared" si="161"/>
        <v>0</v>
      </c>
      <c r="CA317" s="768">
        <f t="shared" si="161"/>
        <v>0</v>
      </c>
      <c r="CB317" s="768">
        <f t="shared" si="161"/>
        <v>0</v>
      </c>
      <c r="CC317" s="768">
        <f t="shared" si="161"/>
        <v>0</v>
      </c>
      <c r="CD317" s="768">
        <f t="shared" si="161"/>
        <v>0</v>
      </c>
      <c r="CE317" s="768">
        <f t="shared" si="161"/>
        <v>0</v>
      </c>
      <c r="CF317" s="768">
        <f t="shared" si="161"/>
        <v>0</v>
      </c>
      <c r="CG317" s="768">
        <f t="shared" si="161"/>
        <v>0</v>
      </c>
      <c r="CH317" s="768">
        <f t="shared" si="161"/>
        <v>0</v>
      </c>
      <c r="CI317" s="769">
        <f t="shared" si="161"/>
        <v>0</v>
      </c>
      <c r="CK317" s="1366"/>
    </row>
    <row r="318" spans="2:89" x14ac:dyDescent="0.25">
      <c r="B318" s="1003" t="s">
        <v>619</v>
      </c>
      <c r="C318" s="1004" t="s">
        <v>407</v>
      </c>
      <c r="D318" s="1005" t="s">
        <v>620</v>
      </c>
      <c r="E318" s="1006" t="s">
        <v>146</v>
      </c>
      <c r="F318" s="1007">
        <v>2</v>
      </c>
      <c r="G318" s="607"/>
      <c r="H318" s="607"/>
      <c r="I318" s="607">
        <f t="shared" si="160"/>
        <v>0</v>
      </c>
      <c r="J318" s="607">
        <f t="shared" si="160"/>
        <v>0</v>
      </c>
      <c r="K318" s="607">
        <f t="shared" si="160"/>
        <v>0</v>
      </c>
      <c r="L318" s="607">
        <f t="shared" si="160"/>
        <v>0</v>
      </c>
      <c r="M318" s="768">
        <f t="shared" si="160"/>
        <v>0</v>
      </c>
      <c r="N318" s="768">
        <f t="shared" si="160"/>
        <v>0</v>
      </c>
      <c r="O318" s="768">
        <f t="shared" si="160"/>
        <v>0</v>
      </c>
      <c r="P318" s="768">
        <f t="shared" si="160"/>
        <v>0</v>
      </c>
      <c r="Q318" s="768">
        <f t="shared" si="160"/>
        <v>0</v>
      </c>
      <c r="R318" s="768">
        <f t="shared" si="160"/>
        <v>0</v>
      </c>
      <c r="S318" s="768">
        <f t="shared" si="160"/>
        <v>0</v>
      </c>
      <c r="T318" s="768">
        <f t="shared" si="160"/>
        <v>0</v>
      </c>
      <c r="U318" s="768">
        <f t="shared" si="160"/>
        <v>0</v>
      </c>
      <c r="V318" s="768">
        <f t="shared" si="160"/>
        <v>0</v>
      </c>
      <c r="W318" s="768">
        <f t="shared" si="160"/>
        <v>0</v>
      </c>
      <c r="X318" s="768">
        <f t="shared" si="160"/>
        <v>0</v>
      </c>
      <c r="Y318" s="768">
        <f t="shared" si="160"/>
        <v>0</v>
      </c>
      <c r="Z318" s="768">
        <f t="shared" si="160"/>
        <v>0</v>
      </c>
      <c r="AA318" s="768">
        <f t="shared" si="160"/>
        <v>0</v>
      </c>
      <c r="AB318" s="768">
        <f t="shared" si="160"/>
        <v>0</v>
      </c>
      <c r="AC318" s="768">
        <f t="shared" si="160"/>
        <v>0</v>
      </c>
      <c r="AD318" s="768">
        <f t="shared" si="160"/>
        <v>0</v>
      </c>
      <c r="AE318" s="768">
        <f t="shared" si="160"/>
        <v>0</v>
      </c>
      <c r="AF318" s="768">
        <f t="shared" si="160"/>
        <v>0</v>
      </c>
      <c r="AG318" s="768">
        <f t="shared" si="160"/>
        <v>0</v>
      </c>
      <c r="AH318" s="768">
        <f t="shared" si="160"/>
        <v>0</v>
      </c>
      <c r="AI318" s="768">
        <f t="shared" si="160"/>
        <v>0</v>
      </c>
      <c r="AJ318" s="768">
        <f t="shared" si="160"/>
        <v>0</v>
      </c>
      <c r="AK318" s="768">
        <f t="shared" si="160"/>
        <v>0</v>
      </c>
      <c r="AL318" s="768">
        <f t="shared" si="160"/>
        <v>0</v>
      </c>
      <c r="AM318" s="768">
        <f t="shared" si="160"/>
        <v>0</v>
      </c>
      <c r="AN318" s="768">
        <f t="shared" si="160"/>
        <v>0</v>
      </c>
      <c r="AO318" s="768">
        <f t="shared" si="160"/>
        <v>0</v>
      </c>
      <c r="AP318" s="768">
        <f t="shared" si="160"/>
        <v>0</v>
      </c>
      <c r="AQ318" s="768">
        <f t="shared" si="160"/>
        <v>0</v>
      </c>
      <c r="AR318" s="768">
        <f t="shared" si="160"/>
        <v>0</v>
      </c>
      <c r="AS318" s="768">
        <f t="shared" si="160"/>
        <v>0</v>
      </c>
      <c r="AT318" s="768">
        <f t="shared" si="160"/>
        <v>0</v>
      </c>
      <c r="AU318" s="768">
        <f t="shared" si="160"/>
        <v>0</v>
      </c>
      <c r="AV318" s="768">
        <f t="shared" si="160"/>
        <v>0</v>
      </c>
      <c r="AW318" s="768">
        <f t="shared" si="160"/>
        <v>0</v>
      </c>
      <c r="AX318" s="768">
        <f t="shared" si="160"/>
        <v>0</v>
      </c>
      <c r="AY318" s="768">
        <f t="shared" si="160"/>
        <v>0</v>
      </c>
      <c r="AZ318" s="768">
        <f t="shared" si="160"/>
        <v>0</v>
      </c>
      <c r="BA318" s="768">
        <f t="shared" si="160"/>
        <v>0</v>
      </c>
      <c r="BB318" s="768">
        <f t="shared" si="160"/>
        <v>0</v>
      </c>
      <c r="BC318" s="768">
        <f t="shared" si="160"/>
        <v>0</v>
      </c>
      <c r="BD318" s="768">
        <f t="shared" si="160"/>
        <v>0</v>
      </c>
      <c r="BE318" s="768">
        <f t="shared" si="160"/>
        <v>0</v>
      </c>
      <c r="BF318" s="768">
        <f t="shared" si="160"/>
        <v>0</v>
      </c>
      <c r="BG318" s="768">
        <f t="shared" si="160"/>
        <v>0</v>
      </c>
      <c r="BH318" s="768">
        <f t="shared" si="160"/>
        <v>0</v>
      </c>
      <c r="BI318" s="768">
        <f t="shared" si="160"/>
        <v>0</v>
      </c>
      <c r="BJ318" s="768">
        <f t="shared" si="160"/>
        <v>0</v>
      </c>
      <c r="BK318" s="768">
        <f t="shared" si="160"/>
        <v>0</v>
      </c>
      <c r="BL318" s="768">
        <f t="shared" si="160"/>
        <v>0</v>
      </c>
      <c r="BM318" s="768">
        <f t="shared" si="160"/>
        <v>0</v>
      </c>
      <c r="BN318" s="768">
        <f t="shared" si="160"/>
        <v>0</v>
      </c>
      <c r="BO318" s="768">
        <f t="shared" si="160"/>
        <v>0</v>
      </c>
      <c r="BP318" s="768">
        <f t="shared" si="160"/>
        <v>0</v>
      </c>
      <c r="BQ318" s="768">
        <f t="shared" si="160"/>
        <v>0</v>
      </c>
      <c r="BR318" s="768">
        <f t="shared" si="160"/>
        <v>0</v>
      </c>
      <c r="BS318" s="768">
        <f t="shared" si="161"/>
        <v>0</v>
      </c>
      <c r="BT318" s="768">
        <f t="shared" si="161"/>
        <v>0</v>
      </c>
      <c r="BU318" s="768">
        <f t="shared" si="161"/>
        <v>0</v>
      </c>
      <c r="BV318" s="768">
        <f t="shared" si="161"/>
        <v>0</v>
      </c>
      <c r="BW318" s="768">
        <f t="shared" si="161"/>
        <v>0</v>
      </c>
      <c r="BX318" s="768">
        <f t="shared" si="161"/>
        <v>0</v>
      </c>
      <c r="BY318" s="768">
        <f t="shared" si="161"/>
        <v>0</v>
      </c>
      <c r="BZ318" s="768">
        <f t="shared" si="161"/>
        <v>0</v>
      </c>
      <c r="CA318" s="768">
        <f t="shared" si="161"/>
        <v>0</v>
      </c>
      <c r="CB318" s="768">
        <f t="shared" si="161"/>
        <v>0</v>
      </c>
      <c r="CC318" s="768">
        <f t="shared" si="161"/>
        <v>0</v>
      </c>
      <c r="CD318" s="768">
        <f t="shared" si="161"/>
        <v>0</v>
      </c>
      <c r="CE318" s="768">
        <f t="shared" si="161"/>
        <v>0</v>
      </c>
      <c r="CF318" s="768">
        <f t="shared" si="161"/>
        <v>0</v>
      </c>
      <c r="CG318" s="768">
        <f t="shared" si="161"/>
        <v>0</v>
      </c>
      <c r="CH318" s="768">
        <f t="shared" si="161"/>
        <v>0</v>
      </c>
      <c r="CI318" s="769">
        <f t="shared" si="161"/>
        <v>0</v>
      </c>
      <c r="CK318" s="1366"/>
    </row>
    <row r="319" spans="2:89" x14ac:dyDescent="0.25">
      <c r="B319" s="1003" t="s">
        <v>621</v>
      </c>
      <c r="C319" s="1004" t="s">
        <v>409</v>
      </c>
      <c r="D319" s="1005" t="s">
        <v>408</v>
      </c>
      <c r="E319" s="1006" t="s">
        <v>285</v>
      </c>
      <c r="F319" s="1007">
        <v>1</v>
      </c>
      <c r="G319" s="793"/>
      <c r="H319" s="793"/>
      <c r="I319" s="793">
        <f t="shared" ref="I319:BR319" si="162">I229</f>
        <v>0</v>
      </c>
      <c r="J319" s="793">
        <f t="shared" si="162"/>
        <v>0</v>
      </c>
      <c r="K319" s="793">
        <f t="shared" si="162"/>
        <v>0</v>
      </c>
      <c r="L319" s="793">
        <f t="shared" si="162"/>
        <v>0</v>
      </c>
      <c r="M319" s="794">
        <f t="shared" si="162"/>
        <v>0</v>
      </c>
      <c r="N319" s="794">
        <f t="shared" si="162"/>
        <v>0</v>
      </c>
      <c r="O319" s="794">
        <f t="shared" si="162"/>
        <v>0</v>
      </c>
      <c r="P319" s="794">
        <f t="shared" si="162"/>
        <v>0</v>
      </c>
      <c r="Q319" s="794">
        <f t="shared" si="162"/>
        <v>0</v>
      </c>
      <c r="R319" s="794">
        <f t="shared" si="162"/>
        <v>0</v>
      </c>
      <c r="S319" s="794">
        <f t="shared" si="162"/>
        <v>0</v>
      </c>
      <c r="T319" s="794">
        <f t="shared" si="162"/>
        <v>0</v>
      </c>
      <c r="U319" s="794">
        <f t="shared" si="162"/>
        <v>0</v>
      </c>
      <c r="V319" s="794">
        <f t="shared" si="162"/>
        <v>0</v>
      </c>
      <c r="W319" s="794">
        <f t="shared" si="162"/>
        <v>0</v>
      </c>
      <c r="X319" s="794">
        <f t="shared" si="162"/>
        <v>0</v>
      </c>
      <c r="Y319" s="794">
        <f t="shared" si="162"/>
        <v>0</v>
      </c>
      <c r="Z319" s="794">
        <f t="shared" si="162"/>
        <v>0</v>
      </c>
      <c r="AA319" s="794">
        <f t="shared" si="162"/>
        <v>0</v>
      </c>
      <c r="AB319" s="794">
        <f t="shared" si="162"/>
        <v>0</v>
      </c>
      <c r="AC319" s="794">
        <f t="shared" si="162"/>
        <v>0</v>
      </c>
      <c r="AD319" s="794">
        <f t="shared" si="162"/>
        <v>0</v>
      </c>
      <c r="AE319" s="794">
        <f t="shared" si="162"/>
        <v>0</v>
      </c>
      <c r="AF319" s="794">
        <f t="shared" si="162"/>
        <v>0</v>
      </c>
      <c r="AG319" s="794">
        <f t="shared" si="162"/>
        <v>0</v>
      </c>
      <c r="AH319" s="794">
        <f t="shared" si="162"/>
        <v>0</v>
      </c>
      <c r="AI319" s="794">
        <f t="shared" si="162"/>
        <v>0</v>
      </c>
      <c r="AJ319" s="794">
        <f t="shared" si="162"/>
        <v>0</v>
      </c>
      <c r="AK319" s="794">
        <f t="shared" si="162"/>
        <v>0</v>
      </c>
      <c r="AL319" s="794">
        <f t="shared" si="162"/>
        <v>0</v>
      </c>
      <c r="AM319" s="794">
        <f t="shared" si="162"/>
        <v>0</v>
      </c>
      <c r="AN319" s="794">
        <f t="shared" si="162"/>
        <v>0</v>
      </c>
      <c r="AO319" s="794">
        <f t="shared" si="162"/>
        <v>0</v>
      </c>
      <c r="AP319" s="794">
        <f t="shared" si="162"/>
        <v>0</v>
      </c>
      <c r="AQ319" s="794">
        <f t="shared" si="162"/>
        <v>0</v>
      </c>
      <c r="AR319" s="794">
        <f t="shared" si="162"/>
        <v>0</v>
      </c>
      <c r="AS319" s="794">
        <f t="shared" si="162"/>
        <v>0</v>
      </c>
      <c r="AT319" s="794">
        <f t="shared" si="162"/>
        <v>0</v>
      </c>
      <c r="AU319" s="794">
        <f t="shared" si="162"/>
        <v>0</v>
      </c>
      <c r="AV319" s="794">
        <f t="shared" si="162"/>
        <v>0</v>
      </c>
      <c r="AW319" s="794">
        <f t="shared" si="162"/>
        <v>0</v>
      </c>
      <c r="AX319" s="794">
        <f t="shared" si="162"/>
        <v>0</v>
      </c>
      <c r="AY319" s="794">
        <f t="shared" si="162"/>
        <v>0</v>
      </c>
      <c r="AZ319" s="794">
        <f t="shared" si="162"/>
        <v>0</v>
      </c>
      <c r="BA319" s="794">
        <f t="shared" si="162"/>
        <v>0</v>
      </c>
      <c r="BB319" s="794">
        <f t="shared" si="162"/>
        <v>0</v>
      </c>
      <c r="BC319" s="794">
        <f t="shared" si="162"/>
        <v>0</v>
      </c>
      <c r="BD319" s="794">
        <f t="shared" si="162"/>
        <v>0</v>
      </c>
      <c r="BE319" s="794">
        <f t="shared" si="162"/>
        <v>0</v>
      </c>
      <c r="BF319" s="794">
        <f t="shared" si="162"/>
        <v>0</v>
      </c>
      <c r="BG319" s="794">
        <f t="shared" si="162"/>
        <v>0</v>
      </c>
      <c r="BH319" s="794">
        <f t="shared" si="162"/>
        <v>0</v>
      </c>
      <c r="BI319" s="794">
        <f t="shared" si="162"/>
        <v>0</v>
      </c>
      <c r="BJ319" s="794">
        <f t="shared" si="162"/>
        <v>0</v>
      </c>
      <c r="BK319" s="794">
        <f t="shared" si="162"/>
        <v>0</v>
      </c>
      <c r="BL319" s="794">
        <f t="shared" si="162"/>
        <v>0</v>
      </c>
      <c r="BM319" s="794">
        <f t="shared" si="162"/>
        <v>0</v>
      </c>
      <c r="BN319" s="794">
        <f t="shared" si="162"/>
        <v>0</v>
      </c>
      <c r="BO319" s="794">
        <f t="shared" si="162"/>
        <v>0</v>
      </c>
      <c r="BP319" s="794">
        <f t="shared" si="162"/>
        <v>0</v>
      </c>
      <c r="BQ319" s="794">
        <f t="shared" si="162"/>
        <v>0</v>
      </c>
      <c r="BR319" s="794">
        <f t="shared" si="162"/>
        <v>0</v>
      </c>
      <c r="BS319" s="794">
        <f t="shared" ref="BS319:CI319" si="163">BS229</f>
        <v>0</v>
      </c>
      <c r="BT319" s="794">
        <f t="shared" si="163"/>
        <v>0</v>
      </c>
      <c r="BU319" s="794">
        <f t="shared" si="163"/>
        <v>0</v>
      </c>
      <c r="BV319" s="794">
        <f t="shared" si="163"/>
        <v>0</v>
      </c>
      <c r="BW319" s="794">
        <f t="shared" si="163"/>
        <v>0</v>
      </c>
      <c r="BX319" s="794">
        <f t="shared" si="163"/>
        <v>0</v>
      </c>
      <c r="BY319" s="794">
        <f t="shared" si="163"/>
        <v>0</v>
      </c>
      <c r="BZ319" s="794">
        <f t="shared" si="163"/>
        <v>0</v>
      </c>
      <c r="CA319" s="794">
        <f t="shared" si="163"/>
        <v>0</v>
      </c>
      <c r="CB319" s="794">
        <f t="shared" si="163"/>
        <v>0</v>
      </c>
      <c r="CC319" s="794">
        <f t="shared" si="163"/>
        <v>0</v>
      </c>
      <c r="CD319" s="794">
        <f t="shared" si="163"/>
        <v>0</v>
      </c>
      <c r="CE319" s="794">
        <f t="shared" si="163"/>
        <v>0</v>
      </c>
      <c r="CF319" s="794">
        <f t="shared" si="163"/>
        <v>0</v>
      </c>
      <c r="CG319" s="794">
        <f t="shared" si="163"/>
        <v>0</v>
      </c>
      <c r="CH319" s="794">
        <f t="shared" si="163"/>
        <v>0</v>
      </c>
      <c r="CI319" s="795">
        <f t="shared" si="163"/>
        <v>0</v>
      </c>
      <c r="CK319" s="1366"/>
    </row>
    <row r="320" spans="2:89" ht="27.6" x14ac:dyDescent="0.25">
      <c r="B320" s="1003" t="s">
        <v>622</v>
      </c>
      <c r="C320" s="1004" t="s">
        <v>411</v>
      </c>
      <c r="D320" s="1005" t="s">
        <v>623</v>
      </c>
      <c r="E320" s="1006" t="s">
        <v>146</v>
      </c>
      <c r="F320" s="1007">
        <v>2</v>
      </c>
      <c r="G320" s="607"/>
      <c r="H320" s="607"/>
      <c r="I320" s="607">
        <f>I319*(SUM(I314:I318)-SUM(I326:I329))</f>
        <v>0</v>
      </c>
      <c r="J320" s="607">
        <f t="shared" ref="J320:BU320" si="164">J319*(SUM(J314:J318)-SUM(J326:J329))</f>
        <v>0</v>
      </c>
      <c r="K320" s="607">
        <f t="shared" si="164"/>
        <v>0</v>
      </c>
      <c r="L320" s="607">
        <f t="shared" si="164"/>
        <v>0</v>
      </c>
      <c r="M320" s="607">
        <f t="shared" si="164"/>
        <v>0</v>
      </c>
      <c r="N320" s="607">
        <f t="shared" si="164"/>
        <v>0</v>
      </c>
      <c r="O320" s="607">
        <f t="shared" si="164"/>
        <v>0</v>
      </c>
      <c r="P320" s="607">
        <f t="shared" si="164"/>
        <v>0</v>
      </c>
      <c r="Q320" s="607">
        <f t="shared" si="164"/>
        <v>0</v>
      </c>
      <c r="R320" s="607">
        <f t="shared" si="164"/>
        <v>0</v>
      </c>
      <c r="S320" s="607">
        <f t="shared" si="164"/>
        <v>0</v>
      </c>
      <c r="T320" s="607">
        <f t="shared" si="164"/>
        <v>0</v>
      </c>
      <c r="U320" s="607">
        <f t="shared" si="164"/>
        <v>0</v>
      </c>
      <c r="V320" s="607">
        <f t="shared" si="164"/>
        <v>0</v>
      </c>
      <c r="W320" s="607">
        <f t="shared" si="164"/>
        <v>0</v>
      </c>
      <c r="X320" s="607">
        <f t="shared" si="164"/>
        <v>0</v>
      </c>
      <c r="Y320" s="607">
        <f t="shared" si="164"/>
        <v>0</v>
      </c>
      <c r="Z320" s="607">
        <f t="shared" si="164"/>
        <v>0</v>
      </c>
      <c r="AA320" s="607">
        <f t="shared" si="164"/>
        <v>0</v>
      </c>
      <c r="AB320" s="607">
        <f t="shared" si="164"/>
        <v>0</v>
      </c>
      <c r="AC320" s="607">
        <f t="shared" si="164"/>
        <v>0</v>
      </c>
      <c r="AD320" s="607">
        <f t="shared" si="164"/>
        <v>0</v>
      </c>
      <c r="AE320" s="607">
        <f t="shared" si="164"/>
        <v>0</v>
      </c>
      <c r="AF320" s="607">
        <f t="shared" si="164"/>
        <v>0</v>
      </c>
      <c r="AG320" s="607">
        <f t="shared" si="164"/>
        <v>0</v>
      </c>
      <c r="AH320" s="607">
        <f t="shared" si="164"/>
        <v>0</v>
      </c>
      <c r="AI320" s="607">
        <f t="shared" si="164"/>
        <v>0</v>
      </c>
      <c r="AJ320" s="607">
        <f t="shared" si="164"/>
        <v>0</v>
      </c>
      <c r="AK320" s="607">
        <f t="shared" si="164"/>
        <v>0</v>
      </c>
      <c r="AL320" s="607">
        <f t="shared" si="164"/>
        <v>0</v>
      </c>
      <c r="AM320" s="607">
        <f t="shared" si="164"/>
        <v>0</v>
      </c>
      <c r="AN320" s="607">
        <f t="shared" si="164"/>
        <v>0</v>
      </c>
      <c r="AO320" s="607">
        <f t="shared" si="164"/>
        <v>0</v>
      </c>
      <c r="AP320" s="607">
        <f t="shared" si="164"/>
        <v>0</v>
      </c>
      <c r="AQ320" s="607">
        <f t="shared" si="164"/>
        <v>0</v>
      </c>
      <c r="AR320" s="607">
        <f t="shared" si="164"/>
        <v>0</v>
      </c>
      <c r="AS320" s="607">
        <f t="shared" si="164"/>
        <v>0</v>
      </c>
      <c r="AT320" s="607">
        <f t="shared" si="164"/>
        <v>0</v>
      </c>
      <c r="AU320" s="607">
        <f t="shared" si="164"/>
        <v>0</v>
      </c>
      <c r="AV320" s="607">
        <f t="shared" si="164"/>
        <v>0</v>
      </c>
      <c r="AW320" s="607">
        <f t="shared" si="164"/>
        <v>0</v>
      </c>
      <c r="AX320" s="607">
        <f t="shared" si="164"/>
        <v>0</v>
      </c>
      <c r="AY320" s="607">
        <f t="shared" si="164"/>
        <v>0</v>
      </c>
      <c r="AZ320" s="607">
        <f t="shared" si="164"/>
        <v>0</v>
      </c>
      <c r="BA320" s="607">
        <f t="shared" si="164"/>
        <v>0</v>
      </c>
      <c r="BB320" s="607">
        <f t="shared" si="164"/>
        <v>0</v>
      </c>
      <c r="BC320" s="607">
        <f t="shared" si="164"/>
        <v>0</v>
      </c>
      <c r="BD320" s="607">
        <f t="shared" si="164"/>
        <v>0</v>
      </c>
      <c r="BE320" s="607">
        <f t="shared" si="164"/>
        <v>0</v>
      </c>
      <c r="BF320" s="607">
        <f t="shared" si="164"/>
        <v>0</v>
      </c>
      <c r="BG320" s="607">
        <f t="shared" si="164"/>
        <v>0</v>
      </c>
      <c r="BH320" s="607">
        <f t="shared" si="164"/>
        <v>0</v>
      </c>
      <c r="BI320" s="607">
        <f t="shared" si="164"/>
        <v>0</v>
      </c>
      <c r="BJ320" s="607">
        <f t="shared" si="164"/>
        <v>0</v>
      </c>
      <c r="BK320" s="607">
        <f t="shared" si="164"/>
        <v>0</v>
      </c>
      <c r="BL320" s="607">
        <f t="shared" si="164"/>
        <v>0</v>
      </c>
      <c r="BM320" s="607">
        <f t="shared" si="164"/>
        <v>0</v>
      </c>
      <c r="BN320" s="607">
        <f t="shared" si="164"/>
        <v>0</v>
      </c>
      <c r="BO320" s="607">
        <f t="shared" si="164"/>
        <v>0</v>
      </c>
      <c r="BP320" s="607">
        <f t="shared" si="164"/>
        <v>0</v>
      </c>
      <c r="BQ320" s="607">
        <f t="shared" si="164"/>
        <v>0</v>
      </c>
      <c r="BR320" s="607">
        <f t="shared" si="164"/>
        <v>0</v>
      </c>
      <c r="BS320" s="607">
        <f t="shared" si="164"/>
        <v>0</v>
      </c>
      <c r="BT320" s="607">
        <f t="shared" si="164"/>
        <v>0</v>
      </c>
      <c r="BU320" s="607">
        <f t="shared" si="164"/>
        <v>0</v>
      </c>
      <c r="BV320" s="607">
        <f t="shared" ref="BV320:CI320" si="165">BV319*(SUM(BV314:BV318)-SUM(BV326:BV329))</f>
        <v>0</v>
      </c>
      <c r="BW320" s="607">
        <f t="shared" si="165"/>
        <v>0</v>
      </c>
      <c r="BX320" s="607">
        <f t="shared" si="165"/>
        <v>0</v>
      </c>
      <c r="BY320" s="607">
        <f t="shared" si="165"/>
        <v>0</v>
      </c>
      <c r="BZ320" s="607">
        <f t="shared" si="165"/>
        <v>0</v>
      </c>
      <c r="CA320" s="607">
        <f t="shared" si="165"/>
        <v>0</v>
      </c>
      <c r="CB320" s="607">
        <f t="shared" si="165"/>
        <v>0</v>
      </c>
      <c r="CC320" s="607">
        <f t="shared" si="165"/>
        <v>0</v>
      </c>
      <c r="CD320" s="607">
        <f t="shared" si="165"/>
        <v>0</v>
      </c>
      <c r="CE320" s="607">
        <f t="shared" si="165"/>
        <v>0</v>
      </c>
      <c r="CF320" s="607">
        <f t="shared" si="165"/>
        <v>0</v>
      </c>
      <c r="CG320" s="607">
        <f t="shared" si="165"/>
        <v>0</v>
      </c>
      <c r="CH320" s="607">
        <f t="shared" si="165"/>
        <v>0</v>
      </c>
      <c r="CI320" s="607">
        <f t="shared" si="165"/>
        <v>0</v>
      </c>
      <c r="CK320" s="1366"/>
    </row>
    <row r="321" spans="2:89" ht="27.6" x14ac:dyDescent="0.25">
      <c r="B321" s="1003" t="s">
        <v>624</v>
      </c>
      <c r="C321" s="1008" t="s">
        <v>215</v>
      </c>
      <c r="D321" s="1009" t="s">
        <v>625</v>
      </c>
      <c r="E321" s="1010" t="s">
        <v>149</v>
      </c>
      <c r="F321" s="1011">
        <v>1</v>
      </c>
      <c r="G321" s="800"/>
      <c r="H321" s="800"/>
      <c r="I321" s="800" t="e">
        <f t="shared" ref="I321:BS322" si="166">(((I317-I328))*1000000)/((I350)*1000)</f>
        <v>#DIV/0!</v>
      </c>
      <c r="J321" s="800" t="e">
        <f t="shared" si="166"/>
        <v>#DIV/0!</v>
      </c>
      <c r="K321" s="800" t="e">
        <f t="shared" si="166"/>
        <v>#DIV/0!</v>
      </c>
      <c r="L321" s="800" t="e">
        <f t="shared" si="166"/>
        <v>#DIV/0!</v>
      </c>
      <c r="M321" s="801" t="e">
        <f t="shared" si="166"/>
        <v>#DIV/0!</v>
      </c>
      <c r="N321" s="801" t="e">
        <f t="shared" si="166"/>
        <v>#DIV/0!</v>
      </c>
      <c r="O321" s="801" t="e">
        <f t="shared" si="166"/>
        <v>#DIV/0!</v>
      </c>
      <c r="P321" s="801" t="e">
        <f t="shared" si="166"/>
        <v>#DIV/0!</v>
      </c>
      <c r="Q321" s="801" t="e">
        <f t="shared" si="166"/>
        <v>#DIV/0!</v>
      </c>
      <c r="R321" s="801" t="e">
        <f t="shared" si="166"/>
        <v>#DIV/0!</v>
      </c>
      <c r="S321" s="801" t="e">
        <f t="shared" si="166"/>
        <v>#DIV/0!</v>
      </c>
      <c r="T321" s="801" t="e">
        <f t="shared" si="166"/>
        <v>#DIV/0!</v>
      </c>
      <c r="U321" s="801" t="e">
        <f t="shared" si="166"/>
        <v>#DIV/0!</v>
      </c>
      <c r="V321" s="801" t="e">
        <f t="shared" si="166"/>
        <v>#DIV/0!</v>
      </c>
      <c r="W321" s="801" t="e">
        <f t="shared" si="166"/>
        <v>#DIV/0!</v>
      </c>
      <c r="X321" s="801" t="e">
        <f t="shared" si="166"/>
        <v>#DIV/0!</v>
      </c>
      <c r="Y321" s="801" t="e">
        <f t="shared" si="166"/>
        <v>#DIV/0!</v>
      </c>
      <c r="Z321" s="801" t="e">
        <f t="shared" si="166"/>
        <v>#DIV/0!</v>
      </c>
      <c r="AA321" s="801" t="e">
        <f t="shared" si="166"/>
        <v>#DIV/0!</v>
      </c>
      <c r="AB321" s="801" t="e">
        <f t="shared" si="166"/>
        <v>#DIV/0!</v>
      </c>
      <c r="AC321" s="801" t="e">
        <f t="shared" si="166"/>
        <v>#DIV/0!</v>
      </c>
      <c r="AD321" s="801" t="e">
        <f t="shared" si="166"/>
        <v>#DIV/0!</v>
      </c>
      <c r="AE321" s="801" t="e">
        <f t="shared" si="166"/>
        <v>#DIV/0!</v>
      </c>
      <c r="AF321" s="801" t="e">
        <f t="shared" si="166"/>
        <v>#DIV/0!</v>
      </c>
      <c r="AG321" s="801" t="e">
        <f t="shared" si="166"/>
        <v>#DIV/0!</v>
      </c>
      <c r="AH321" s="801" t="e">
        <f t="shared" si="166"/>
        <v>#DIV/0!</v>
      </c>
      <c r="AI321" s="801" t="e">
        <f t="shared" si="166"/>
        <v>#DIV/0!</v>
      </c>
      <c r="AJ321" s="801" t="e">
        <f t="shared" si="166"/>
        <v>#DIV/0!</v>
      </c>
      <c r="AK321" s="801" t="e">
        <f t="shared" si="166"/>
        <v>#DIV/0!</v>
      </c>
      <c r="AL321" s="801" t="e">
        <f t="shared" si="166"/>
        <v>#DIV/0!</v>
      </c>
      <c r="AM321" s="801" t="e">
        <f t="shared" si="166"/>
        <v>#DIV/0!</v>
      </c>
      <c r="AN321" s="801" t="e">
        <f t="shared" si="166"/>
        <v>#DIV/0!</v>
      </c>
      <c r="AO321" s="801" t="e">
        <f t="shared" si="166"/>
        <v>#DIV/0!</v>
      </c>
      <c r="AP321" s="801" t="e">
        <f t="shared" si="166"/>
        <v>#DIV/0!</v>
      </c>
      <c r="AQ321" s="801" t="e">
        <f t="shared" si="166"/>
        <v>#DIV/0!</v>
      </c>
      <c r="AR321" s="801" t="e">
        <f t="shared" si="166"/>
        <v>#DIV/0!</v>
      </c>
      <c r="AS321" s="801" t="e">
        <f t="shared" si="166"/>
        <v>#DIV/0!</v>
      </c>
      <c r="AT321" s="801" t="e">
        <f t="shared" si="166"/>
        <v>#DIV/0!</v>
      </c>
      <c r="AU321" s="801" t="e">
        <f t="shared" si="166"/>
        <v>#DIV/0!</v>
      </c>
      <c r="AV321" s="801" t="e">
        <f t="shared" si="166"/>
        <v>#DIV/0!</v>
      </c>
      <c r="AW321" s="801" t="e">
        <f t="shared" si="166"/>
        <v>#DIV/0!</v>
      </c>
      <c r="AX321" s="801" t="e">
        <f t="shared" si="166"/>
        <v>#DIV/0!</v>
      </c>
      <c r="AY321" s="801" t="e">
        <f t="shared" si="166"/>
        <v>#DIV/0!</v>
      </c>
      <c r="AZ321" s="801" t="e">
        <f t="shared" si="166"/>
        <v>#DIV/0!</v>
      </c>
      <c r="BA321" s="801" t="e">
        <f t="shared" si="166"/>
        <v>#DIV/0!</v>
      </c>
      <c r="BB321" s="801" t="e">
        <f t="shared" si="166"/>
        <v>#DIV/0!</v>
      </c>
      <c r="BC321" s="801" t="e">
        <f t="shared" si="166"/>
        <v>#DIV/0!</v>
      </c>
      <c r="BD321" s="801" t="e">
        <f t="shared" si="166"/>
        <v>#DIV/0!</v>
      </c>
      <c r="BE321" s="801" t="e">
        <f t="shared" si="166"/>
        <v>#DIV/0!</v>
      </c>
      <c r="BF321" s="801" t="e">
        <f t="shared" si="166"/>
        <v>#DIV/0!</v>
      </c>
      <c r="BG321" s="801" t="e">
        <f t="shared" si="166"/>
        <v>#DIV/0!</v>
      </c>
      <c r="BH321" s="801" t="e">
        <f t="shared" si="166"/>
        <v>#DIV/0!</v>
      </c>
      <c r="BI321" s="801" t="e">
        <f t="shared" si="166"/>
        <v>#DIV/0!</v>
      </c>
      <c r="BJ321" s="801" t="e">
        <f t="shared" si="166"/>
        <v>#DIV/0!</v>
      </c>
      <c r="BK321" s="801" t="e">
        <f t="shared" si="166"/>
        <v>#DIV/0!</v>
      </c>
      <c r="BL321" s="801" t="e">
        <f t="shared" si="166"/>
        <v>#DIV/0!</v>
      </c>
      <c r="BM321" s="801" t="e">
        <f t="shared" si="166"/>
        <v>#DIV/0!</v>
      </c>
      <c r="BN321" s="801" t="e">
        <f t="shared" si="166"/>
        <v>#DIV/0!</v>
      </c>
      <c r="BO321" s="801" t="e">
        <f t="shared" si="166"/>
        <v>#DIV/0!</v>
      </c>
      <c r="BP321" s="801" t="e">
        <f t="shared" si="166"/>
        <v>#DIV/0!</v>
      </c>
      <c r="BQ321" s="801" t="e">
        <f t="shared" si="166"/>
        <v>#DIV/0!</v>
      </c>
      <c r="BR321" s="801" t="e">
        <f t="shared" si="166"/>
        <v>#DIV/0!</v>
      </c>
      <c r="BS321" s="801" t="e">
        <f t="shared" si="166"/>
        <v>#DIV/0!</v>
      </c>
      <c r="BT321" s="801" t="e">
        <f t="shared" ref="BT321:CI322" si="167">(((BT317-BT328))*1000000)/((BT350)*1000)</f>
        <v>#DIV/0!</v>
      </c>
      <c r="BU321" s="801" t="e">
        <f t="shared" si="167"/>
        <v>#DIV/0!</v>
      </c>
      <c r="BV321" s="801" t="e">
        <f t="shared" si="167"/>
        <v>#DIV/0!</v>
      </c>
      <c r="BW321" s="801" t="e">
        <f t="shared" si="167"/>
        <v>#DIV/0!</v>
      </c>
      <c r="BX321" s="801" t="e">
        <f t="shared" si="167"/>
        <v>#DIV/0!</v>
      </c>
      <c r="BY321" s="801" t="e">
        <f t="shared" si="167"/>
        <v>#DIV/0!</v>
      </c>
      <c r="BZ321" s="801" t="e">
        <f t="shared" si="167"/>
        <v>#DIV/0!</v>
      </c>
      <c r="CA321" s="801" t="e">
        <f t="shared" si="167"/>
        <v>#DIV/0!</v>
      </c>
      <c r="CB321" s="801" t="e">
        <f t="shared" si="167"/>
        <v>#DIV/0!</v>
      </c>
      <c r="CC321" s="801" t="e">
        <f t="shared" si="167"/>
        <v>#DIV/0!</v>
      </c>
      <c r="CD321" s="801" t="e">
        <f t="shared" si="167"/>
        <v>#DIV/0!</v>
      </c>
      <c r="CE321" s="801" t="e">
        <f t="shared" si="167"/>
        <v>#DIV/0!</v>
      </c>
      <c r="CF321" s="801" t="e">
        <f t="shared" si="167"/>
        <v>#DIV/0!</v>
      </c>
      <c r="CG321" s="801" t="e">
        <f t="shared" si="167"/>
        <v>#DIV/0!</v>
      </c>
      <c r="CH321" s="801" t="e">
        <f t="shared" si="167"/>
        <v>#DIV/0!</v>
      </c>
      <c r="CI321" s="802" t="e">
        <f t="shared" si="167"/>
        <v>#DIV/0!</v>
      </c>
      <c r="CK321" s="1366"/>
    </row>
    <row r="322" spans="2:89" ht="27.6" x14ac:dyDescent="0.25">
      <c r="B322" s="1003" t="s">
        <v>626</v>
      </c>
      <c r="C322" s="1008" t="s">
        <v>234</v>
      </c>
      <c r="D322" s="1009" t="s">
        <v>627</v>
      </c>
      <c r="E322" s="1010" t="s">
        <v>149</v>
      </c>
      <c r="F322" s="1011">
        <v>1</v>
      </c>
      <c r="G322" s="800"/>
      <c r="H322" s="800"/>
      <c r="I322" s="800" t="e">
        <f t="shared" si="166"/>
        <v>#DIV/0!</v>
      </c>
      <c r="J322" s="800" t="e">
        <f t="shared" si="166"/>
        <v>#DIV/0!</v>
      </c>
      <c r="K322" s="800" t="e">
        <f t="shared" si="166"/>
        <v>#DIV/0!</v>
      </c>
      <c r="L322" s="800" t="e">
        <f t="shared" si="166"/>
        <v>#DIV/0!</v>
      </c>
      <c r="M322" s="801" t="e">
        <f t="shared" si="166"/>
        <v>#DIV/0!</v>
      </c>
      <c r="N322" s="801" t="e">
        <f t="shared" si="166"/>
        <v>#DIV/0!</v>
      </c>
      <c r="O322" s="801" t="e">
        <f t="shared" si="166"/>
        <v>#DIV/0!</v>
      </c>
      <c r="P322" s="801" t="e">
        <f t="shared" si="166"/>
        <v>#DIV/0!</v>
      </c>
      <c r="Q322" s="801" t="e">
        <f t="shared" si="166"/>
        <v>#DIV/0!</v>
      </c>
      <c r="R322" s="801" t="e">
        <f t="shared" si="166"/>
        <v>#DIV/0!</v>
      </c>
      <c r="S322" s="801" t="e">
        <f t="shared" si="166"/>
        <v>#DIV/0!</v>
      </c>
      <c r="T322" s="801" t="e">
        <f t="shared" si="166"/>
        <v>#DIV/0!</v>
      </c>
      <c r="U322" s="801" t="e">
        <f t="shared" si="166"/>
        <v>#DIV/0!</v>
      </c>
      <c r="V322" s="801" t="e">
        <f t="shared" si="166"/>
        <v>#DIV/0!</v>
      </c>
      <c r="W322" s="801" t="e">
        <f t="shared" si="166"/>
        <v>#DIV/0!</v>
      </c>
      <c r="X322" s="801" t="e">
        <f t="shared" si="166"/>
        <v>#DIV/0!</v>
      </c>
      <c r="Y322" s="801" t="e">
        <f t="shared" si="166"/>
        <v>#DIV/0!</v>
      </c>
      <c r="Z322" s="801" t="e">
        <f t="shared" si="166"/>
        <v>#DIV/0!</v>
      </c>
      <c r="AA322" s="801" t="e">
        <f t="shared" si="166"/>
        <v>#DIV/0!</v>
      </c>
      <c r="AB322" s="801" t="e">
        <f t="shared" si="166"/>
        <v>#DIV/0!</v>
      </c>
      <c r="AC322" s="801" t="e">
        <f t="shared" si="166"/>
        <v>#DIV/0!</v>
      </c>
      <c r="AD322" s="801" t="e">
        <f t="shared" si="166"/>
        <v>#DIV/0!</v>
      </c>
      <c r="AE322" s="801" t="e">
        <f t="shared" si="166"/>
        <v>#DIV/0!</v>
      </c>
      <c r="AF322" s="801" t="e">
        <f t="shared" si="166"/>
        <v>#DIV/0!</v>
      </c>
      <c r="AG322" s="801" t="e">
        <f t="shared" si="166"/>
        <v>#DIV/0!</v>
      </c>
      <c r="AH322" s="801" t="e">
        <f t="shared" si="166"/>
        <v>#DIV/0!</v>
      </c>
      <c r="AI322" s="801" t="e">
        <f t="shared" si="166"/>
        <v>#DIV/0!</v>
      </c>
      <c r="AJ322" s="801" t="e">
        <f t="shared" si="166"/>
        <v>#DIV/0!</v>
      </c>
      <c r="AK322" s="801" t="e">
        <f t="shared" si="166"/>
        <v>#DIV/0!</v>
      </c>
      <c r="AL322" s="801" t="e">
        <f t="shared" si="166"/>
        <v>#DIV/0!</v>
      </c>
      <c r="AM322" s="801" t="e">
        <f t="shared" si="166"/>
        <v>#DIV/0!</v>
      </c>
      <c r="AN322" s="801" t="e">
        <f t="shared" si="166"/>
        <v>#DIV/0!</v>
      </c>
      <c r="AO322" s="801" t="e">
        <f t="shared" si="166"/>
        <v>#DIV/0!</v>
      </c>
      <c r="AP322" s="801" t="e">
        <f t="shared" si="166"/>
        <v>#DIV/0!</v>
      </c>
      <c r="AQ322" s="801" t="e">
        <f t="shared" si="166"/>
        <v>#DIV/0!</v>
      </c>
      <c r="AR322" s="801" t="e">
        <f t="shared" si="166"/>
        <v>#DIV/0!</v>
      </c>
      <c r="AS322" s="801" t="e">
        <f t="shared" si="166"/>
        <v>#DIV/0!</v>
      </c>
      <c r="AT322" s="801" t="e">
        <f t="shared" si="166"/>
        <v>#DIV/0!</v>
      </c>
      <c r="AU322" s="801" t="e">
        <f t="shared" si="166"/>
        <v>#DIV/0!</v>
      </c>
      <c r="AV322" s="801" t="e">
        <f t="shared" si="166"/>
        <v>#DIV/0!</v>
      </c>
      <c r="AW322" s="801" t="e">
        <f t="shared" si="166"/>
        <v>#DIV/0!</v>
      </c>
      <c r="AX322" s="801" t="e">
        <f t="shared" si="166"/>
        <v>#DIV/0!</v>
      </c>
      <c r="AY322" s="801" t="e">
        <f t="shared" si="166"/>
        <v>#DIV/0!</v>
      </c>
      <c r="AZ322" s="801" t="e">
        <f t="shared" si="166"/>
        <v>#DIV/0!</v>
      </c>
      <c r="BA322" s="801" t="e">
        <f t="shared" si="166"/>
        <v>#DIV/0!</v>
      </c>
      <c r="BB322" s="801" t="e">
        <f t="shared" si="166"/>
        <v>#DIV/0!</v>
      </c>
      <c r="BC322" s="801" t="e">
        <f t="shared" si="166"/>
        <v>#DIV/0!</v>
      </c>
      <c r="BD322" s="801" t="e">
        <f t="shared" si="166"/>
        <v>#DIV/0!</v>
      </c>
      <c r="BE322" s="801" t="e">
        <f t="shared" si="166"/>
        <v>#DIV/0!</v>
      </c>
      <c r="BF322" s="801" t="e">
        <f t="shared" si="166"/>
        <v>#DIV/0!</v>
      </c>
      <c r="BG322" s="801" t="e">
        <f t="shared" si="166"/>
        <v>#DIV/0!</v>
      </c>
      <c r="BH322" s="801" t="e">
        <f t="shared" si="166"/>
        <v>#DIV/0!</v>
      </c>
      <c r="BI322" s="801" t="e">
        <f t="shared" si="166"/>
        <v>#DIV/0!</v>
      </c>
      <c r="BJ322" s="801" t="e">
        <f t="shared" si="166"/>
        <v>#DIV/0!</v>
      </c>
      <c r="BK322" s="801" t="e">
        <f t="shared" si="166"/>
        <v>#DIV/0!</v>
      </c>
      <c r="BL322" s="801" t="e">
        <f t="shared" si="166"/>
        <v>#DIV/0!</v>
      </c>
      <c r="BM322" s="801" t="e">
        <f t="shared" si="166"/>
        <v>#DIV/0!</v>
      </c>
      <c r="BN322" s="801" t="e">
        <f t="shared" si="166"/>
        <v>#DIV/0!</v>
      </c>
      <c r="BO322" s="801" t="e">
        <f t="shared" si="166"/>
        <v>#DIV/0!</v>
      </c>
      <c r="BP322" s="801" t="e">
        <f t="shared" si="166"/>
        <v>#DIV/0!</v>
      </c>
      <c r="BQ322" s="801" t="e">
        <f t="shared" si="166"/>
        <v>#DIV/0!</v>
      </c>
      <c r="BR322" s="801" t="e">
        <f t="shared" si="166"/>
        <v>#DIV/0!</v>
      </c>
      <c r="BS322" s="801" t="e">
        <f t="shared" si="166"/>
        <v>#DIV/0!</v>
      </c>
      <c r="BT322" s="801" t="e">
        <f t="shared" si="167"/>
        <v>#DIV/0!</v>
      </c>
      <c r="BU322" s="801" t="e">
        <f t="shared" si="167"/>
        <v>#DIV/0!</v>
      </c>
      <c r="BV322" s="801" t="e">
        <f t="shared" si="167"/>
        <v>#DIV/0!</v>
      </c>
      <c r="BW322" s="801" t="e">
        <f t="shared" si="167"/>
        <v>#DIV/0!</v>
      </c>
      <c r="BX322" s="801" t="e">
        <f t="shared" si="167"/>
        <v>#DIV/0!</v>
      </c>
      <c r="BY322" s="801" t="e">
        <f t="shared" si="167"/>
        <v>#DIV/0!</v>
      </c>
      <c r="BZ322" s="801" t="e">
        <f t="shared" si="167"/>
        <v>#DIV/0!</v>
      </c>
      <c r="CA322" s="801" t="e">
        <f t="shared" si="167"/>
        <v>#DIV/0!</v>
      </c>
      <c r="CB322" s="801" t="e">
        <f t="shared" si="167"/>
        <v>#DIV/0!</v>
      </c>
      <c r="CC322" s="801" t="e">
        <f t="shared" si="167"/>
        <v>#DIV/0!</v>
      </c>
      <c r="CD322" s="801" t="e">
        <f t="shared" si="167"/>
        <v>#DIV/0!</v>
      </c>
      <c r="CE322" s="801" t="e">
        <f t="shared" si="167"/>
        <v>#DIV/0!</v>
      </c>
      <c r="CF322" s="801" t="e">
        <f t="shared" si="167"/>
        <v>#DIV/0!</v>
      </c>
      <c r="CG322" s="801" t="e">
        <f t="shared" si="167"/>
        <v>#DIV/0!</v>
      </c>
      <c r="CH322" s="801" t="e">
        <f t="shared" si="167"/>
        <v>#DIV/0!</v>
      </c>
      <c r="CI322" s="802" t="e">
        <f t="shared" si="167"/>
        <v>#DIV/0!</v>
      </c>
      <c r="CK322" s="1366"/>
    </row>
    <row r="323" spans="2:89" ht="27.6" x14ac:dyDescent="0.25">
      <c r="B323" s="1003" t="s">
        <v>628</v>
      </c>
      <c r="C323" s="1008" t="s">
        <v>148</v>
      </c>
      <c r="D323" s="1009" t="s">
        <v>629</v>
      </c>
      <c r="E323" s="1010" t="s">
        <v>149</v>
      </c>
      <c r="F323" s="1011">
        <v>1</v>
      </c>
      <c r="G323" s="800"/>
      <c r="H323" s="800"/>
      <c r="I323" s="800" t="e">
        <f t="shared" ref="I323:BS323" si="168">(((I317-I328)+(I318-I329))*1000000)/((I350+I351)*1000)</f>
        <v>#DIV/0!</v>
      </c>
      <c r="J323" s="800" t="e">
        <f t="shared" si="168"/>
        <v>#DIV/0!</v>
      </c>
      <c r="K323" s="800" t="e">
        <f t="shared" si="168"/>
        <v>#DIV/0!</v>
      </c>
      <c r="L323" s="800" t="e">
        <f t="shared" si="168"/>
        <v>#DIV/0!</v>
      </c>
      <c r="M323" s="801" t="e">
        <f t="shared" si="168"/>
        <v>#DIV/0!</v>
      </c>
      <c r="N323" s="801" t="e">
        <f t="shared" si="168"/>
        <v>#DIV/0!</v>
      </c>
      <c r="O323" s="801" t="e">
        <f t="shared" si="168"/>
        <v>#DIV/0!</v>
      </c>
      <c r="P323" s="801" t="e">
        <f t="shared" si="168"/>
        <v>#DIV/0!</v>
      </c>
      <c r="Q323" s="801" t="e">
        <f t="shared" si="168"/>
        <v>#DIV/0!</v>
      </c>
      <c r="R323" s="801" t="e">
        <f t="shared" si="168"/>
        <v>#DIV/0!</v>
      </c>
      <c r="S323" s="801" t="e">
        <f t="shared" si="168"/>
        <v>#DIV/0!</v>
      </c>
      <c r="T323" s="801" t="e">
        <f t="shared" si="168"/>
        <v>#DIV/0!</v>
      </c>
      <c r="U323" s="801" t="e">
        <f t="shared" si="168"/>
        <v>#DIV/0!</v>
      </c>
      <c r="V323" s="801" t="e">
        <f t="shared" si="168"/>
        <v>#DIV/0!</v>
      </c>
      <c r="W323" s="801" t="e">
        <f t="shared" si="168"/>
        <v>#DIV/0!</v>
      </c>
      <c r="X323" s="801" t="e">
        <f t="shared" si="168"/>
        <v>#DIV/0!</v>
      </c>
      <c r="Y323" s="801" t="e">
        <f t="shared" si="168"/>
        <v>#DIV/0!</v>
      </c>
      <c r="Z323" s="801" t="e">
        <f t="shared" si="168"/>
        <v>#DIV/0!</v>
      </c>
      <c r="AA323" s="801" t="e">
        <f t="shared" si="168"/>
        <v>#DIV/0!</v>
      </c>
      <c r="AB323" s="801" t="e">
        <f t="shared" si="168"/>
        <v>#DIV/0!</v>
      </c>
      <c r="AC323" s="801" t="e">
        <f t="shared" si="168"/>
        <v>#DIV/0!</v>
      </c>
      <c r="AD323" s="801" t="e">
        <f t="shared" si="168"/>
        <v>#DIV/0!</v>
      </c>
      <c r="AE323" s="801" t="e">
        <f t="shared" si="168"/>
        <v>#DIV/0!</v>
      </c>
      <c r="AF323" s="801" t="e">
        <f t="shared" si="168"/>
        <v>#DIV/0!</v>
      </c>
      <c r="AG323" s="801" t="e">
        <f t="shared" si="168"/>
        <v>#DIV/0!</v>
      </c>
      <c r="AH323" s="801" t="e">
        <f t="shared" si="168"/>
        <v>#DIV/0!</v>
      </c>
      <c r="AI323" s="801" t="e">
        <f t="shared" si="168"/>
        <v>#DIV/0!</v>
      </c>
      <c r="AJ323" s="801" t="e">
        <f t="shared" si="168"/>
        <v>#DIV/0!</v>
      </c>
      <c r="AK323" s="801" t="e">
        <f t="shared" si="168"/>
        <v>#DIV/0!</v>
      </c>
      <c r="AL323" s="801" t="e">
        <f t="shared" si="168"/>
        <v>#DIV/0!</v>
      </c>
      <c r="AM323" s="801" t="e">
        <f t="shared" si="168"/>
        <v>#DIV/0!</v>
      </c>
      <c r="AN323" s="801" t="e">
        <f t="shared" si="168"/>
        <v>#DIV/0!</v>
      </c>
      <c r="AO323" s="801" t="e">
        <f t="shared" si="168"/>
        <v>#DIV/0!</v>
      </c>
      <c r="AP323" s="801" t="e">
        <f t="shared" si="168"/>
        <v>#DIV/0!</v>
      </c>
      <c r="AQ323" s="801" t="e">
        <f t="shared" si="168"/>
        <v>#DIV/0!</v>
      </c>
      <c r="AR323" s="801" t="e">
        <f t="shared" si="168"/>
        <v>#DIV/0!</v>
      </c>
      <c r="AS323" s="801" t="e">
        <f t="shared" si="168"/>
        <v>#DIV/0!</v>
      </c>
      <c r="AT323" s="801" t="e">
        <f t="shared" si="168"/>
        <v>#DIV/0!</v>
      </c>
      <c r="AU323" s="801" t="e">
        <f t="shared" si="168"/>
        <v>#DIV/0!</v>
      </c>
      <c r="AV323" s="801" t="e">
        <f t="shared" si="168"/>
        <v>#DIV/0!</v>
      </c>
      <c r="AW323" s="801" t="e">
        <f t="shared" si="168"/>
        <v>#DIV/0!</v>
      </c>
      <c r="AX323" s="801" t="e">
        <f t="shared" si="168"/>
        <v>#DIV/0!</v>
      </c>
      <c r="AY323" s="801" t="e">
        <f t="shared" si="168"/>
        <v>#DIV/0!</v>
      </c>
      <c r="AZ323" s="801" t="e">
        <f t="shared" si="168"/>
        <v>#DIV/0!</v>
      </c>
      <c r="BA323" s="801" t="e">
        <f t="shared" si="168"/>
        <v>#DIV/0!</v>
      </c>
      <c r="BB323" s="801" t="e">
        <f t="shared" si="168"/>
        <v>#DIV/0!</v>
      </c>
      <c r="BC323" s="801" t="e">
        <f t="shared" si="168"/>
        <v>#DIV/0!</v>
      </c>
      <c r="BD323" s="801" t="e">
        <f t="shared" si="168"/>
        <v>#DIV/0!</v>
      </c>
      <c r="BE323" s="801" t="e">
        <f t="shared" si="168"/>
        <v>#DIV/0!</v>
      </c>
      <c r="BF323" s="801" t="e">
        <f t="shared" si="168"/>
        <v>#DIV/0!</v>
      </c>
      <c r="BG323" s="801" t="e">
        <f t="shared" si="168"/>
        <v>#DIV/0!</v>
      </c>
      <c r="BH323" s="801" t="e">
        <f t="shared" si="168"/>
        <v>#DIV/0!</v>
      </c>
      <c r="BI323" s="801" t="e">
        <f t="shared" si="168"/>
        <v>#DIV/0!</v>
      </c>
      <c r="BJ323" s="801" t="e">
        <f t="shared" si="168"/>
        <v>#DIV/0!</v>
      </c>
      <c r="BK323" s="801" t="e">
        <f t="shared" si="168"/>
        <v>#DIV/0!</v>
      </c>
      <c r="BL323" s="801" t="e">
        <f t="shared" si="168"/>
        <v>#DIV/0!</v>
      </c>
      <c r="BM323" s="801" t="e">
        <f t="shared" si="168"/>
        <v>#DIV/0!</v>
      </c>
      <c r="BN323" s="801" t="e">
        <f t="shared" si="168"/>
        <v>#DIV/0!</v>
      </c>
      <c r="BO323" s="801" t="e">
        <f t="shared" si="168"/>
        <v>#DIV/0!</v>
      </c>
      <c r="BP323" s="801" t="e">
        <f t="shared" si="168"/>
        <v>#DIV/0!</v>
      </c>
      <c r="BQ323" s="801" t="e">
        <f t="shared" si="168"/>
        <v>#DIV/0!</v>
      </c>
      <c r="BR323" s="801" t="e">
        <f t="shared" si="168"/>
        <v>#DIV/0!</v>
      </c>
      <c r="BS323" s="801" t="e">
        <f t="shared" si="168"/>
        <v>#DIV/0!</v>
      </c>
      <c r="BT323" s="801" t="e">
        <f t="shared" ref="BT323:CI323" si="169">(((BT317-BT328)+(BT318-BT329))*1000000)/((BT350+BT351)*1000)</f>
        <v>#DIV/0!</v>
      </c>
      <c r="BU323" s="801" t="e">
        <f t="shared" si="169"/>
        <v>#DIV/0!</v>
      </c>
      <c r="BV323" s="801" t="e">
        <f t="shared" si="169"/>
        <v>#DIV/0!</v>
      </c>
      <c r="BW323" s="801" t="e">
        <f t="shared" si="169"/>
        <v>#DIV/0!</v>
      </c>
      <c r="BX323" s="801" t="e">
        <f t="shared" si="169"/>
        <v>#DIV/0!</v>
      </c>
      <c r="BY323" s="801" t="e">
        <f t="shared" si="169"/>
        <v>#DIV/0!</v>
      </c>
      <c r="BZ323" s="801" t="e">
        <f t="shared" si="169"/>
        <v>#DIV/0!</v>
      </c>
      <c r="CA323" s="801" t="e">
        <f t="shared" si="169"/>
        <v>#DIV/0!</v>
      </c>
      <c r="CB323" s="801" t="e">
        <f t="shared" si="169"/>
        <v>#DIV/0!</v>
      </c>
      <c r="CC323" s="801" t="e">
        <f t="shared" si="169"/>
        <v>#DIV/0!</v>
      </c>
      <c r="CD323" s="801" t="e">
        <f t="shared" si="169"/>
        <v>#DIV/0!</v>
      </c>
      <c r="CE323" s="801" t="e">
        <f t="shared" si="169"/>
        <v>#DIV/0!</v>
      </c>
      <c r="CF323" s="801" t="e">
        <f t="shared" si="169"/>
        <v>#DIV/0!</v>
      </c>
      <c r="CG323" s="801" t="e">
        <f t="shared" si="169"/>
        <v>#DIV/0!</v>
      </c>
      <c r="CH323" s="801" t="e">
        <f t="shared" si="169"/>
        <v>#DIV/0!</v>
      </c>
      <c r="CI323" s="802" t="e">
        <f t="shared" si="169"/>
        <v>#DIV/0!</v>
      </c>
      <c r="CK323" s="1366"/>
    </row>
    <row r="324" spans="2:89" x14ac:dyDescent="0.25">
      <c r="B324" s="1003" t="s">
        <v>630</v>
      </c>
      <c r="C324" s="1008" t="s">
        <v>420</v>
      </c>
      <c r="D324" s="1009" t="s">
        <v>631</v>
      </c>
      <c r="E324" s="1010" t="s">
        <v>146</v>
      </c>
      <c r="F324" s="1011">
        <v>2</v>
      </c>
      <c r="G324" s="607"/>
      <c r="H324" s="607"/>
      <c r="I324" s="607">
        <f t="shared" ref="I324:BR327" si="170">I234+I292</f>
        <v>0</v>
      </c>
      <c r="J324" s="607">
        <f t="shared" si="170"/>
        <v>0</v>
      </c>
      <c r="K324" s="607">
        <f t="shared" si="170"/>
        <v>0</v>
      </c>
      <c r="L324" s="607">
        <f t="shared" si="170"/>
        <v>0</v>
      </c>
      <c r="M324" s="768">
        <f t="shared" si="170"/>
        <v>0</v>
      </c>
      <c r="N324" s="768">
        <f t="shared" si="170"/>
        <v>0</v>
      </c>
      <c r="O324" s="768">
        <f t="shared" si="170"/>
        <v>0</v>
      </c>
      <c r="P324" s="768">
        <f t="shared" si="170"/>
        <v>0</v>
      </c>
      <c r="Q324" s="768">
        <f t="shared" si="170"/>
        <v>0</v>
      </c>
      <c r="R324" s="768">
        <f t="shared" si="170"/>
        <v>0</v>
      </c>
      <c r="S324" s="768">
        <f t="shared" si="170"/>
        <v>0</v>
      </c>
      <c r="T324" s="768">
        <f t="shared" si="170"/>
        <v>0</v>
      </c>
      <c r="U324" s="768">
        <f t="shared" si="170"/>
        <v>0</v>
      </c>
      <c r="V324" s="768">
        <f t="shared" si="170"/>
        <v>0</v>
      </c>
      <c r="W324" s="768">
        <f t="shared" si="170"/>
        <v>0</v>
      </c>
      <c r="X324" s="768">
        <f t="shared" si="170"/>
        <v>0</v>
      </c>
      <c r="Y324" s="768">
        <f t="shared" si="170"/>
        <v>0</v>
      </c>
      <c r="Z324" s="768">
        <f t="shared" si="170"/>
        <v>0</v>
      </c>
      <c r="AA324" s="768">
        <f t="shared" si="170"/>
        <v>0</v>
      </c>
      <c r="AB324" s="768">
        <f t="shared" si="170"/>
        <v>0</v>
      </c>
      <c r="AC324" s="768">
        <f t="shared" si="170"/>
        <v>0</v>
      </c>
      <c r="AD324" s="768">
        <f t="shared" si="170"/>
        <v>0</v>
      </c>
      <c r="AE324" s="768">
        <f t="shared" si="170"/>
        <v>0</v>
      </c>
      <c r="AF324" s="768">
        <f t="shared" si="170"/>
        <v>0</v>
      </c>
      <c r="AG324" s="768">
        <f t="shared" si="170"/>
        <v>0</v>
      </c>
      <c r="AH324" s="768">
        <f t="shared" si="170"/>
        <v>0</v>
      </c>
      <c r="AI324" s="768">
        <f t="shared" si="170"/>
        <v>0</v>
      </c>
      <c r="AJ324" s="768">
        <f t="shared" si="170"/>
        <v>0</v>
      </c>
      <c r="AK324" s="768">
        <f t="shared" si="170"/>
        <v>0</v>
      </c>
      <c r="AL324" s="768">
        <f t="shared" si="170"/>
        <v>0</v>
      </c>
      <c r="AM324" s="768">
        <f t="shared" si="170"/>
        <v>0</v>
      </c>
      <c r="AN324" s="768">
        <f t="shared" si="170"/>
        <v>0</v>
      </c>
      <c r="AO324" s="768">
        <f t="shared" si="170"/>
        <v>0</v>
      </c>
      <c r="AP324" s="768">
        <f t="shared" si="170"/>
        <v>0</v>
      </c>
      <c r="AQ324" s="768">
        <f t="shared" si="170"/>
        <v>0</v>
      </c>
      <c r="AR324" s="768">
        <f t="shared" si="170"/>
        <v>0</v>
      </c>
      <c r="AS324" s="768">
        <f t="shared" si="170"/>
        <v>0</v>
      </c>
      <c r="AT324" s="768">
        <f t="shared" si="170"/>
        <v>0</v>
      </c>
      <c r="AU324" s="768">
        <f t="shared" si="170"/>
        <v>0</v>
      </c>
      <c r="AV324" s="768">
        <f t="shared" si="170"/>
        <v>0</v>
      </c>
      <c r="AW324" s="768">
        <f t="shared" si="170"/>
        <v>0</v>
      </c>
      <c r="AX324" s="768">
        <f t="shared" si="170"/>
        <v>0</v>
      </c>
      <c r="AY324" s="768">
        <f t="shared" si="170"/>
        <v>0</v>
      </c>
      <c r="AZ324" s="768">
        <f t="shared" si="170"/>
        <v>0</v>
      </c>
      <c r="BA324" s="768">
        <f t="shared" si="170"/>
        <v>0</v>
      </c>
      <c r="BB324" s="768">
        <f t="shared" si="170"/>
        <v>0</v>
      </c>
      <c r="BC324" s="768">
        <f t="shared" si="170"/>
        <v>0</v>
      </c>
      <c r="BD324" s="768">
        <f t="shared" si="170"/>
        <v>0</v>
      </c>
      <c r="BE324" s="768">
        <f t="shared" si="170"/>
        <v>0</v>
      </c>
      <c r="BF324" s="768">
        <f t="shared" si="170"/>
        <v>0</v>
      </c>
      <c r="BG324" s="768">
        <f t="shared" si="170"/>
        <v>0</v>
      </c>
      <c r="BH324" s="768">
        <f t="shared" si="170"/>
        <v>0</v>
      </c>
      <c r="BI324" s="768">
        <f t="shared" si="170"/>
        <v>0</v>
      </c>
      <c r="BJ324" s="768">
        <f t="shared" si="170"/>
        <v>0</v>
      </c>
      <c r="BK324" s="768">
        <f t="shared" si="170"/>
        <v>0</v>
      </c>
      <c r="BL324" s="768">
        <f t="shared" si="170"/>
        <v>0</v>
      </c>
      <c r="BM324" s="768">
        <f t="shared" si="170"/>
        <v>0</v>
      </c>
      <c r="BN324" s="768">
        <f t="shared" si="170"/>
        <v>0</v>
      </c>
      <c r="BO324" s="768">
        <f t="shared" si="170"/>
        <v>0</v>
      </c>
      <c r="BP324" s="768">
        <f t="shared" si="170"/>
        <v>0</v>
      </c>
      <c r="BQ324" s="768">
        <f t="shared" si="170"/>
        <v>0</v>
      </c>
      <c r="BR324" s="768">
        <f t="shared" si="170"/>
        <v>0</v>
      </c>
      <c r="BS324" s="768">
        <f t="shared" ref="BS324:CI331" si="171">BS234+BS292</f>
        <v>0</v>
      </c>
      <c r="BT324" s="768">
        <f t="shared" si="171"/>
        <v>0</v>
      </c>
      <c r="BU324" s="768">
        <f t="shared" si="171"/>
        <v>0</v>
      </c>
      <c r="BV324" s="768">
        <f t="shared" si="171"/>
        <v>0</v>
      </c>
      <c r="BW324" s="768">
        <f t="shared" si="171"/>
        <v>0</v>
      </c>
      <c r="BX324" s="768">
        <f t="shared" si="171"/>
        <v>0</v>
      </c>
      <c r="BY324" s="768">
        <f t="shared" si="171"/>
        <v>0</v>
      </c>
      <c r="BZ324" s="768">
        <f t="shared" si="171"/>
        <v>0</v>
      </c>
      <c r="CA324" s="768">
        <f t="shared" si="171"/>
        <v>0</v>
      </c>
      <c r="CB324" s="768">
        <f t="shared" si="171"/>
        <v>0</v>
      </c>
      <c r="CC324" s="768">
        <f t="shared" si="171"/>
        <v>0</v>
      </c>
      <c r="CD324" s="768">
        <f t="shared" si="171"/>
        <v>0</v>
      </c>
      <c r="CE324" s="768">
        <f t="shared" si="171"/>
        <v>0</v>
      </c>
      <c r="CF324" s="768">
        <f t="shared" si="171"/>
        <v>0</v>
      </c>
      <c r="CG324" s="768">
        <f t="shared" si="171"/>
        <v>0</v>
      </c>
      <c r="CH324" s="768">
        <f t="shared" si="171"/>
        <v>0</v>
      </c>
      <c r="CI324" s="769">
        <f t="shared" si="171"/>
        <v>0</v>
      </c>
      <c r="CK324" s="1366"/>
    </row>
    <row r="325" spans="2:89" ht="14.4" thickBot="1" x14ac:dyDescent="0.3">
      <c r="B325" s="1012" t="s">
        <v>632</v>
      </c>
      <c r="C325" s="1013" t="s">
        <v>422</v>
      </c>
      <c r="D325" s="1014" t="s">
        <v>633</v>
      </c>
      <c r="E325" s="1015" t="s">
        <v>146</v>
      </c>
      <c r="F325" s="1016">
        <v>2</v>
      </c>
      <c r="G325" s="779"/>
      <c r="H325" s="779"/>
      <c r="I325" s="779">
        <f t="shared" si="170"/>
        <v>0</v>
      </c>
      <c r="J325" s="779">
        <f t="shared" si="170"/>
        <v>0</v>
      </c>
      <c r="K325" s="779">
        <f t="shared" si="170"/>
        <v>0</v>
      </c>
      <c r="L325" s="779">
        <f t="shared" si="170"/>
        <v>0</v>
      </c>
      <c r="M325" s="808">
        <f t="shared" si="170"/>
        <v>0</v>
      </c>
      <c r="N325" s="808">
        <f t="shared" si="170"/>
        <v>0</v>
      </c>
      <c r="O325" s="808">
        <f t="shared" si="170"/>
        <v>0</v>
      </c>
      <c r="P325" s="808">
        <f t="shared" si="170"/>
        <v>0</v>
      </c>
      <c r="Q325" s="808">
        <f t="shared" si="170"/>
        <v>0</v>
      </c>
      <c r="R325" s="808">
        <f t="shared" si="170"/>
        <v>0</v>
      </c>
      <c r="S325" s="808">
        <f t="shared" si="170"/>
        <v>0</v>
      </c>
      <c r="T325" s="808">
        <f t="shared" si="170"/>
        <v>0</v>
      </c>
      <c r="U325" s="808">
        <f t="shared" si="170"/>
        <v>0</v>
      </c>
      <c r="V325" s="808">
        <f t="shared" si="170"/>
        <v>0</v>
      </c>
      <c r="W325" s="808">
        <f t="shared" si="170"/>
        <v>0</v>
      </c>
      <c r="X325" s="808">
        <f t="shared" si="170"/>
        <v>0</v>
      </c>
      <c r="Y325" s="808">
        <f t="shared" si="170"/>
        <v>0</v>
      </c>
      <c r="Z325" s="808">
        <f t="shared" si="170"/>
        <v>0</v>
      </c>
      <c r="AA325" s="808">
        <f t="shared" si="170"/>
        <v>0</v>
      </c>
      <c r="AB325" s="808">
        <f t="shared" si="170"/>
        <v>0</v>
      </c>
      <c r="AC325" s="808">
        <f t="shared" si="170"/>
        <v>0</v>
      </c>
      <c r="AD325" s="808">
        <f t="shared" si="170"/>
        <v>0</v>
      </c>
      <c r="AE325" s="808">
        <f t="shared" si="170"/>
        <v>0</v>
      </c>
      <c r="AF325" s="808">
        <f t="shared" si="170"/>
        <v>0</v>
      </c>
      <c r="AG325" s="808">
        <f t="shared" si="170"/>
        <v>0</v>
      </c>
      <c r="AH325" s="808">
        <f t="shared" si="170"/>
        <v>0</v>
      </c>
      <c r="AI325" s="808">
        <f t="shared" si="170"/>
        <v>0</v>
      </c>
      <c r="AJ325" s="808">
        <f t="shared" si="170"/>
        <v>0</v>
      </c>
      <c r="AK325" s="808">
        <f t="shared" si="170"/>
        <v>0</v>
      </c>
      <c r="AL325" s="808">
        <f t="shared" si="170"/>
        <v>0</v>
      </c>
      <c r="AM325" s="808">
        <f t="shared" si="170"/>
        <v>0</v>
      </c>
      <c r="AN325" s="808">
        <f t="shared" si="170"/>
        <v>0</v>
      </c>
      <c r="AO325" s="808">
        <f t="shared" si="170"/>
        <v>0</v>
      </c>
      <c r="AP325" s="808">
        <f t="shared" si="170"/>
        <v>0</v>
      </c>
      <c r="AQ325" s="808">
        <f t="shared" si="170"/>
        <v>0</v>
      </c>
      <c r="AR325" s="808">
        <f t="shared" si="170"/>
        <v>0</v>
      </c>
      <c r="AS325" s="808">
        <f t="shared" si="170"/>
        <v>0</v>
      </c>
      <c r="AT325" s="808">
        <f t="shared" si="170"/>
        <v>0</v>
      </c>
      <c r="AU325" s="808">
        <f t="shared" si="170"/>
        <v>0</v>
      </c>
      <c r="AV325" s="808">
        <f t="shared" si="170"/>
        <v>0</v>
      </c>
      <c r="AW325" s="808">
        <f t="shared" si="170"/>
        <v>0</v>
      </c>
      <c r="AX325" s="808">
        <f t="shared" si="170"/>
        <v>0</v>
      </c>
      <c r="AY325" s="808">
        <f t="shared" si="170"/>
        <v>0</v>
      </c>
      <c r="AZ325" s="808">
        <f t="shared" si="170"/>
        <v>0</v>
      </c>
      <c r="BA325" s="808">
        <f t="shared" si="170"/>
        <v>0</v>
      </c>
      <c r="BB325" s="808">
        <f t="shared" si="170"/>
        <v>0</v>
      </c>
      <c r="BC325" s="808">
        <f t="shared" si="170"/>
        <v>0</v>
      </c>
      <c r="BD325" s="808">
        <f t="shared" si="170"/>
        <v>0</v>
      </c>
      <c r="BE325" s="808">
        <f t="shared" si="170"/>
        <v>0</v>
      </c>
      <c r="BF325" s="808">
        <f t="shared" si="170"/>
        <v>0</v>
      </c>
      <c r="BG325" s="808">
        <f t="shared" si="170"/>
        <v>0</v>
      </c>
      <c r="BH325" s="808">
        <f t="shared" si="170"/>
        <v>0</v>
      </c>
      <c r="BI325" s="808">
        <f t="shared" si="170"/>
        <v>0</v>
      </c>
      <c r="BJ325" s="808">
        <f t="shared" si="170"/>
        <v>0</v>
      </c>
      <c r="BK325" s="808">
        <f t="shared" si="170"/>
        <v>0</v>
      </c>
      <c r="BL325" s="808">
        <f t="shared" si="170"/>
        <v>0</v>
      </c>
      <c r="BM325" s="808">
        <f t="shared" si="170"/>
        <v>0</v>
      </c>
      <c r="BN325" s="808">
        <f t="shared" si="170"/>
        <v>0</v>
      </c>
      <c r="BO325" s="808">
        <f t="shared" si="170"/>
        <v>0</v>
      </c>
      <c r="BP325" s="808">
        <f t="shared" si="170"/>
        <v>0</v>
      </c>
      <c r="BQ325" s="808">
        <f t="shared" si="170"/>
        <v>0</v>
      </c>
      <c r="BR325" s="808">
        <f t="shared" si="170"/>
        <v>0</v>
      </c>
      <c r="BS325" s="808">
        <f t="shared" si="171"/>
        <v>0</v>
      </c>
      <c r="BT325" s="808">
        <f t="shared" si="171"/>
        <v>0</v>
      </c>
      <c r="BU325" s="808">
        <f t="shared" si="171"/>
        <v>0</v>
      </c>
      <c r="BV325" s="808">
        <f t="shared" si="171"/>
        <v>0</v>
      </c>
      <c r="BW325" s="808">
        <f t="shared" si="171"/>
        <v>0</v>
      </c>
      <c r="BX325" s="808">
        <f t="shared" si="171"/>
        <v>0</v>
      </c>
      <c r="BY325" s="808">
        <f t="shared" si="171"/>
        <v>0</v>
      </c>
      <c r="BZ325" s="808">
        <f t="shared" si="171"/>
        <v>0</v>
      </c>
      <c r="CA325" s="808">
        <f t="shared" si="171"/>
        <v>0</v>
      </c>
      <c r="CB325" s="808">
        <f t="shared" si="171"/>
        <v>0</v>
      </c>
      <c r="CC325" s="808">
        <f t="shared" si="171"/>
        <v>0</v>
      </c>
      <c r="CD325" s="808">
        <f t="shared" si="171"/>
        <v>0</v>
      </c>
      <c r="CE325" s="808">
        <f t="shared" si="171"/>
        <v>0</v>
      </c>
      <c r="CF325" s="808">
        <f t="shared" si="171"/>
        <v>0</v>
      </c>
      <c r="CG325" s="808">
        <f t="shared" si="171"/>
        <v>0</v>
      </c>
      <c r="CH325" s="808">
        <f t="shared" si="171"/>
        <v>0</v>
      </c>
      <c r="CI325" s="809">
        <f t="shared" si="171"/>
        <v>0</v>
      </c>
      <c r="CK325" s="1366"/>
    </row>
    <row r="326" spans="2:89" x14ac:dyDescent="0.25">
      <c r="B326" s="983" t="s">
        <v>634</v>
      </c>
      <c r="C326" s="984" t="s">
        <v>424</v>
      </c>
      <c r="D326" s="975" t="s">
        <v>635</v>
      </c>
      <c r="E326" s="985" t="s">
        <v>146</v>
      </c>
      <c r="F326" s="986">
        <v>2</v>
      </c>
      <c r="G326" s="785"/>
      <c r="H326" s="785"/>
      <c r="I326" s="785">
        <f t="shared" si="170"/>
        <v>0</v>
      </c>
      <c r="J326" s="785">
        <f t="shared" si="170"/>
        <v>0</v>
      </c>
      <c r="K326" s="785">
        <f t="shared" si="170"/>
        <v>0</v>
      </c>
      <c r="L326" s="785">
        <f t="shared" si="170"/>
        <v>0</v>
      </c>
      <c r="M326" s="786">
        <f t="shared" si="170"/>
        <v>0</v>
      </c>
      <c r="N326" s="786">
        <f t="shared" si="170"/>
        <v>0</v>
      </c>
      <c r="O326" s="786">
        <f t="shared" si="170"/>
        <v>0</v>
      </c>
      <c r="P326" s="786">
        <f t="shared" si="170"/>
        <v>0</v>
      </c>
      <c r="Q326" s="786">
        <f t="shared" si="170"/>
        <v>0</v>
      </c>
      <c r="R326" s="786">
        <f t="shared" si="170"/>
        <v>0</v>
      </c>
      <c r="S326" s="786">
        <f t="shared" si="170"/>
        <v>0</v>
      </c>
      <c r="T326" s="786">
        <f t="shared" si="170"/>
        <v>0</v>
      </c>
      <c r="U326" s="786">
        <f t="shared" si="170"/>
        <v>0</v>
      </c>
      <c r="V326" s="786">
        <f t="shared" si="170"/>
        <v>0</v>
      </c>
      <c r="W326" s="786">
        <f t="shared" si="170"/>
        <v>0</v>
      </c>
      <c r="X326" s="786">
        <f t="shared" si="170"/>
        <v>0</v>
      </c>
      <c r="Y326" s="786">
        <f t="shared" si="170"/>
        <v>0</v>
      </c>
      <c r="Z326" s="786">
        <f t="shared" si="170"/>
        <v>0</v>
      </c>
      <c r="AA326" s="786">
        <f t="shared" si="170"/>
        <v>0</v>
      </c>
      <c r="AB326" s="786">
        <f t="shared" si="170"/>
        <v>0</v>
      </c>
      <c r="AC326" s="786">
        <f t="shared" si="170"/>
        <v>0</v>
      </c>
      <c r="AD326" s="786">
        <f t="shared" si="170"/>
        <v>0</v>
      </c>
      <c r="AE326" s="786">
        <f t="shared" si="170"/>
        <v>0</v>
      </c>
      <c r="AF326" s="786">
        <f t="shared" si="170"/>
        <v>0</v>
      </c>
      <c r="AG326" s="786">
        <f t="shared" si="170"/>
        <v>0</v>
      </c>
      <c r="AH326" s="786">
        <f t="shared" si="170"/>
        <v>0</v>
      </c>
      <c r="AI326" s="786">
        <f t="shared" si="170"/>
        <v>0</v>
      </c>
      <c r="AJ326" s="786">
        <f t="shared" si="170"/>
        <v>0</v>
      </c>
      <c r="AK326" s="786">
        <f t="shared" si="170"/>
        <v>0</v>
      </c>
      <c r="AL326" s="786">
        <f t="shared" si="170"/>
        <v>0</v>
      </c>
      <c r="AM326" s="786">
        <f t="shared" si="170"/>
        <v>0</v>
      </c>
      <c r="AN326" s="786">
        <f t="shared" si="170"/>
        <v>0</v>
      </c>
      <c r="AO326" s="786">
        <f t="shared" si="170"/>
        <v>0</v>
      </c>
      <c r="AP326" s="786">
        <f t="shared" si="170"/>
        <v>0</v>
      </c>
      <c r="AQ326" s="786">
        <f t="shared" si="170"/>
        <v>0</v>
      </c>
      <c r="AR326" s="786">
        <f t="shared" si="170"/>
        <v>0</v>
      </c>
      <c r="AS326" s="786">
        <f t="shared" si="170"/>
        <v>0</v>
      </c>
      <c r="AT326" s="786">
        <f t="shared" si="170"/>
        <v>0</v>
      </c>
      <c r="AU326" s="786">
        <f t="shared" si="170"/>
        <v>0</v>
      </c>
      <c r="AV326" s="786">
        <f t="shared" si="170"/>
        <v>0</v>
      </c>
      <c r="AW326" s="786">
        <f t="shared" si="170"/>
        <v>0</v>
      </c>
      <c r="AX326" s="786">
        <f t="shared" si="170"/>
        <v>0</v>
      </c>
      <c r="AY326" s="786">
        <f t="shared" si="170"/>
        <v>0</v>
      </c>
      <c r="AZ326" s="786">
        <f t="shared" si="170"/>
        <v>0</v>
      </c>
      <c r="BA326" s="786">
        <f t="shared" si="170"/>
        <v>0</v>
      </c>
      <c r="BB326" s="786">
        <f t="shared" si="170"/>
        <v>0</v>
      </c>
      <c r="BC326" s="786">
        <f t="shared" si="170"/>
        <v>0</v>
      </c>
      <c r="BD326" s="786">
        <f t="shared" si="170"/>
        <v>0</v>
      </c>
      <c r="BE326" s="786">
        <f t="shared" si="170"/>
        <v>0</v>
      </c>
      <c r="BF326" s="786">
        <f t="shared" si="170"/>
        <v>0</v>
      </c>
      <c r="BG326" s="786">
        <f t="shared" si="170"/>
        <v>0</v>
      </c>
      <c r="BH326" s="786">
        <f t="shared" si="170"/>
        <v>0</v>
      </c>
      <c r="BI326" s="786">
        <f t="shared" si="170"/>
        <v>0</v>
      </c>
      <c r="BJ326" s="786">
        <f t="shared" si="170"/>
        <v>0</v>
      </c>
      <c r="BK326" s="786">
        <f t="shared" si="170"/>
        <v>0</v>
      </c>
      <c r="BL326" s="786">
        <f t="shared" si="170"/>
        <v>0</v>
      </c>
      <c r="BM326" s="786">
        <f t="shared" si="170"/>
        <v>0</v>
      </c>
      <c r="BN326" s="786">
        <f t="shared" si="170"/>
        <v>0</v>
      </c>
      <c r="BO326" s="786">
        <f t="shared" si="170"/>
        <v>0</v>
      </c>
      <c r="BP326" s="786">
        <f t="shared" si="170"/>
        <v>0</v>
      </c>
      <c r="BQ326" s="786">
        <f t="shared" si="170"/>
        <v>0</v>
      </c>
      <c r="BR326" s="786">
        <f t="shared" si="170"/>
        <v>0</v>
      </c>
      <c r="BS326" s="786">
        <f t="shared" si="171"/>
        <v>0</v>
      </c>
      <c r="BT326" s="786">
        <f t="shared" si="171"/>
        <v>0</v>
      </c>
      <c r="BU326" s="786">
        <f t="shared" si="171"/>
        <v>0</v>
      </c>
      <c r="BV326" s="786">
        <f t="shared" si="171"/>
        <v>0</v>
      </c>
      <c r="BW326" s="786">
        <f t="shared" si="171"/>
        <v>0</v>
      </c>
      <c r="BX326" s="786">
        <f t="shared" si="171"/>
        <v>0</v>
      </c>
      <c r="BY326" s="786">
        <f t="shared" si="171"/>
        <v>0</v>
      </c>
      <c r="BZ326" s="786">
        <f t="shared" si="171"/>
        <v>0</v>
      </c>
      <c r="CA326" s="786">
        <f t="shared" si="171"/>
        <v>0</v>
      </c>
      <c r="CB326" s="786">
        <f t="shared" si="171"/>
        <v>0</v>
      </c>
      <c r="CC326" s="786">
        <f t="shared" si="171"/>
        <v>0</v>
      </c>
      <c r="CD326" s="786">
        <f t="shared" si="171"/>
        <v>0</v>
      </c>
      <c r="CE326" s="786">
        <f t="shared" si="171"/>
        <v>0</v>
      </c>
      <c r="CF326" s="786">
        <f t="shared" si="171"/>
        <v>0</v>
      </c>
      <c r="CG326" s="786">
        <f t="shared" si="171"/>
        <v>0</v>
      </c>
      <c r="CH326" s="786">
        <f t="shared" si="171"/>
        <v>0</v>
      </c>
      <c r="CI326" s="787">
        <f t="shared" si="171"/>
        <v>0</v>
      </c>
      <c r="CK326" s="1366"/>
    </row>
    <row r="327" spans="2:89" x14ac:dyDescent="0.25">
      <c r="B327" s="990" t="s">
        <v>636</v>
      </c>
      <c r="C327" s="951" t="s">
        <v>426</v>
      </c>
      <c r="D327" s="957" t="s">
        <v>637</v>
      </c>
      <c r="E327" s="988" t="s">
        <v>146</v>
      </c>
      <c r="F327" s="989">
        <v>2</v>
      </c>
      <c r="G327" s="607"/>
      <c r="H327" s="607"/>
      <c r="I327" s="607">
        <f t="shared" si="170"/>
        <v>0</v>
      </c>
      <c r="J327" s="607">
        <f t="shared" si="170"/>
        <v>0</v>
      </c>
      <c r="K327" s="607">
        <f t="shared" si="170"/>
        <v>0</v>
      </c>
      <c r="L327" s="607">
        <f t="shared" si="170"/>
        <v>0</v>
      </c>
      <c r="M327" s="768">
        <f t="shared" si="170"/>
        <v>0</v>
      </c>
      <c r="N327" s="768">
        <f t="shared" si="170"/>
        <v>0</v>
      </c>
      <c r="O327" s="768">
        <f t="shared" si="170"/>
        <v>0</v>
      </c>
      <c r="P327" s="768">
        <f t="shared" si="170"/>
        <v>0</v>
      </c>
      <c r="Q327" s="768">
        <f t="shared" si="170"/>
        <v>0</v>
      </c>
      <c r="R327" s="768">
        <f t="shared" si="170"/>
        <v>0</v>
      </c>
      <c r="S327" s="768">
        <f t="shared" si="170"/>
        <v>0</v>
      </c>
      <c r="T327" s="768">
        <f t="shared" si="170"/>
        <v>0</v>
      </c>
      <c r="U327" s="768">
        <f t="shared" si="170"/>
        <v>0</v>
      </c>
      <c r="V327" s="768">
        <f t="shared" si="170"/>
        <v>0</v>
      </c>
      <c r="W327" s="768">
        <f t="shared" si="170"/>
        <v>0</v>
      </c>
      <c r="X327" s="768">
        <f t="shared" si="170"/>
        <v>0</v>
      </c>
      <c r="Y327" s="768">
        <f t="shared" si="170"/>
        <v>0</v>
      </c>
      <c r="Z327" s="768">
        <f t="shared" si="170"/>
        <v>0</v>
      </c>
      <c r="AA327" s="768">
        <f t="shared" si="170"/>
        <v>0</v>
      </c>
      <c r="AB327" s="768">
        <f t="shared" si="170"/>
        <v>0</v>
      </c>
      <c r="AC327" s="768">
        <f t="shared" si="170"/>
        <v>0</v>
      </c>
      <c r="AD327" s="768">
        <f t="shared" si="170"/>
        <v>0</v>
      </c>
      <c r="AE327" s="768">
        <f t="shared" si="170"/>
        <v>0</v>
      </c>
      <c r="AF327" s="768">
        <f t="shared" si="170"/>
        <v>0</v>
      </c>
      <c r="AG327" s="768">
        <f t="shared" si="170"/>
        <v>0</v>
      </c>
      <c r="AH327" s="768">
        <f t="shared" si="170"/>
        <v>0</v>
      </c>
      <c r="AI327" s="768">
        <f t="shared" si="170"/>
        <v>0</v>
      </c>
      <c r="AJ327" s="768">
        <f t="shared" si="170"/>
        <v>0</v>
      </c>
      <c r="AK327" s="768">
        <f t="shared" si="170"/>
        <v>0</v>
      </c>
      <c r="AL327" s="768">
        <f t="shared" si="170"/>
        <v>0</v>
      </c>
      <c r="AM327" s="768">
        <f t="shared" si="170"/>
        <v>0</v>
      </c>
      <c r="AN327" s="768">
        <f t="shared" si="170"/>
        <v>0</v>
      </c>
      <c r="AO327" s="768">
        <f t="shared" si="170"/>
        <v>0</v>
      </c>
      <c r="AP327" s="768">
        <f t="shared" si="170"/>
        <v>0</v>
      </c>
      <c r="AQ327" s="768">
        <f t="shared" si="170"/>
        <v>0</v>
      </c>
      <c r="AR327" s="768">
        <f t="shared" si="170"/>
        <v>0</v>
      </c>
      <c r="AS327" s="768">
        <f t="shared" si="170"/>
        <v>0</v>
      </c>
      <c r="AT327" s="768">
        <f t="shared" si="170"/>
        <v>0</v>
      </c>
      <c r="AU327" s="768">
        <f t="shared" si="170"/>
        <v>0</v>
      </c>
      <c r="AV327" s="768">
        <f t="shared" si="170"/>
        <v>0</v>
      </c>
      <c r="AW327" s="768">
        <f t="shared" si="170"/>
        <v>0</v>
      </c>
      <c r="AX327" s="768">
        <f t="shared" si="170"/>
        <v>0</v>
      </c>
      <c r="AY327" s="768">
        <f t="shared" si="170"/>
        <v>0</v>
      </c>
      <c r="AZ327" s="768">
        <f t="shared" si="170"/>
        <v>0</v>
      </c>
      <c r="BA327" s="768">
        <f t="shared" si="170"/>
        <v>0</v>
      </c>
      <c r="BB327" s="768">
        <f t="shared" si="170"/>
        <v>0</v>
      </c>
      <c r="BC327" s="768">
        <f t="shared" si="170"/>
        <v>0</v>
      </c>
      <c r="BD327" s="768">
        <f t="shared" si="170"/>
        <v>0</v>
      </c>
      <c r="BE327" s="768">
        <f t="shared" si="170"/>
        <v>0</v>
      </c>
      <c r="BF327" s="768">
        <f t="shared" si="170"/>
        <v>0</v>
      </c>
      <c r="BG327" s="768">
        <f t="shared" si="170"/>
        <v>0</v>
      </c>
      <c r="BH327" s="768">
        <f t="shared" si="170"/>
        <v>0</v>
      </c>
      <c r="BI327" s="768">
        <f t="shared" si="170"/>
        <v>0</v>
      </c>
      <c r="BJ327" s="768">
        <f t="shared" si="170"/>
        <v>0</v>
      </c>
      <c r="BK327" s="768">
        <f t="shared" si="170"/>
        <v>0</v>
      </c>
      <c r="BL327" s="768">
        <f t="shared" si="170"/>
        <v>0</v>
      </c>
      <c r="BM327" s="768">
        <f t="shared" si="170"/>
        <v>0</v>
      </c>
      <c r="BN327" s="768">
        <f t="shared" si="170"/>
        <v>0</v>
      </c>
      <c r="BO327" s="768">
        <f t="shared" si="170"/>
        <v>0</v>
      </c>
      <c r="BP327" s="768">
        <f t="shared" si="170"/>
        <v>0</v>
      </c>
      <c r="BQ327" s="768">
        <f t="shared" si="170"/>
        <v>0</v>
      </c>
      <c r="BR327" s="768">
        <f>BR237+BR295</f>
        <v>0</v>
      </c>
      <c r="BS327" s="768">
        <f t="shared" si="171"/>
        <v>0</v>
      </c>
      <c r="BT327" s="768">
        <f t="shared" si="171"/>
        <v>0</v>
      </c>
      <c r="BU327" s="768">
        <f t="shared" si="171"/>
        <v>0</v>
      </c>
      <c r="BV327" s="768">
        <f t="shared" si="171"/>
        <v>0</v>
      </c>
      <c r="BW327" s="768">
        <f t="shared" si="171"/>
        <v>0</v>
      </c>
      <c r="BX327" s="768">
        <f t="shared" si="171"/>
        <v>0</v>
      </c>
      <c r="BY327" s="768">
        <f t="shared" si="171"/>
        <v>0</v>
      </c>
      <c r="BZ327" s="768">
        <f t="shared" si="171"/>
        <v>0</v>
      </c>
      <c r="CA327" s="768">
        <f t="shared" si="171"/>
        <v>0</v>
      </c>
      <c r="CB327" s="768">
        <f t="shared" si="171"/>
        <v>0</v>
      </c>
      <c r="CC327" s="768">
        <f t="shared" si="171"/>
        <v>0</v>
      </c>
      <c r="CD327" s="768">
        <f t="shared" si="171"/>
        <v>0</v>
      </c>
      <c r="CE327" s="768">
        <f t="shared" si="171"/>
        <v>0</v>
      </c>
      <c r="CF327" s="768">
        <f t="shared" si="171"/>
        <v>0</v>
      </c>
      <c r="CG327" s="768">
        <f t="shared" si="171"/>
        <v>0</v>
      </c>
      <c r="CH327" s="768">
        <f t="shared" si="171"/>
        <v>0</v>
      </c>
      <c r="CI327" s="769">
        <f t="shared" si="171"/>
        <v>0</v>
      </c>
      <c r="CK327" s="1366"/>
    </row>
    <row r="328" spans="2:89" x14ac:dyDescent="0.25">
      <c r="B328" s="990" t="s">
        <v>638</v>
      </c>
      <c r="C328" s="951" t="s">
        <v>428</v>
      </c>
      <c r="D328" s="957" t="s">
        <v>639</v>
      </c>
      <c r="E328" s="988" t="s">
        <v>146</v>
      </c>
      <c r="F328" s="989">
        <v>2</v>
      </c>
      <c r="G328" s="607"/>
      <c r="H328" s="607"/>
      <c r="I328" s="607">
        <f t="shared" ref="I328:BR331" si="172">I238+I296</f>
        <v>0</v>
      </c>
      <c r="J328" s="607">
        <f t="shared" si="172"/>
        <v>0</v>
      </c>
      <c r="K328" s="607">
        <f t="shared" si="172"/>
        <v>0</v>
      </c>
      <c r="L328" s="607">
        <f t="shared" si="172"/>
        <v>0</v>
      </c>
      <c r="M328" s="768">
        <f t="shared" si="172"/>
        <v>0</v>
      </c>
      <c r="N328" s="768">
        <f t="shared" si="172"/>
        <v>0</v>
      </c>
      <c r="O328" s="768">
        <f t="shared" si="172"/>
        <v>0</v>
      </c>
      <c r="P328" s="768">
        <f t="shared" si="172"/>
        <v>0</v>
      </c>
      <c r="Q328" s="768">
        <f t="shared" si="172"/>
        <v>0</v>
      </c>
      <c r="R328" s="768">
        <f t="shared" si="172"/>
        <v>0</v>
      </c>
      <c r="S328" s="768">
        <f t="shared" si="172"/>
        <v>0</v>
      </c>
      <c r="T328" s="768">
        <f t="shared" si="172"/>
        <v>0</v>
      </c>
      <c r="U328" s="768">
        <f t="shared" si="172"/>
        <v>0</v>
      </c>
      <c r="V328" s="768">
        <f t="shared" si="172"/>
        <v>0</v>
      </c>
      <c r="W328" s="768">
        <f t="shared" si="172"/>
        <v>0</v>
      </c>
      <c r="X328" s="768">
        <f t="shared" si="172"/>
        <v>0</v>
      </c>
      <c r="Y328" s="768">
        <f t="shared" si="172"/>
        <v>0</v>
      </c>
      <c r="Z328" s="768">
        <f t="shared" si="172"/>
        <v>0</v>
      </c>
      <c r="AA328" s="768">
        <f t="shared" si="172"/>
        <v>0</v>
      </c>
      <c r="AB328" s="768">
        <f t="shared" si="172"/>
        <v>0</v>
      </c>
      <c r="AC328" s="768">
        <f t="shared" si="172"/>
        <v>0</v>
      </c>
      <c r="AD328" s="768">
        <f t="shared" si="172"/>
        <v>0</v>
      </c>
      <c r="AE328" s="768">
        <f t="shared" si="172"/>
        <v>0</v>
      </c>
      <c r="AF328" s="768">
        <f t="shared" si="172"/>
        <v>0</v>
      </c>
      <c r="AG328" s="768">
        <f t="shared" si="172"/>
        <v>0</v>
      </c>
      <c r="AH328" s="768">
        <f t="shared" si="172"/>
        <v>0</v>
      </c>
      <c r="AI328" s="768">
        <f t="shared" si="172"/>
        <v>0</v>
      </c>
      <c r="AJ328" s="768">
        <f t="shared" si="172"/>
        <v>0</v>
      </c>
      <c r="AK328" s="768">
        <f t="shared" si="172"/>
        <v>0</v>
      </c>
      <c r="AL328" s="768">
        <f t="shared" si="172"/>
        <v>0</v>
      </c>
      <c r="AM328" s="768">
        <f t="shared" si="172"/>
        <v>0</v>
      </c>
      <c r="AN328" s="768">
        <f t="shared" si="172"/>
        <v>0</v>
      </c>
      <c r="AO328" s="768">
        <f t="shared" si="172"/>
        <v>0</v>
      </c>
      <c r="AP328" s="768">
        <f t="shared" si="172"/>
        <v>0</v>
      </c>
      <c r="AQ328" s="768">
        <f t="shared" si="172"/>
        <v>0</v>
      </c>
      <c r="AR328" s="768">
        <f t="shared" si="172"/>
        <v>0</v>
      </c>
      <c r="AS328" s="768">
        <f t="shared" si="172"/>
        <v>0</v>
      </c>
      <c r="AT328" s="768">
        <f t="shared" si="172"/>
        <v>0</v>
      </c>
      <c r="AU328" s="768">
        <f t="shared" si="172"/>
        <v>0</v>
      </c>
      <c r="AV328" s="768">
        <f t="shared" si="172"/>
        <v>0</v>
      </c>
      <c r="AW328" s="768">
        <f t="shared" si="172"/>
        <v>0</v>
      </c>
      <c r="AX328" s="768">
        <f t="shared" si="172"/>
        <v>0</v>
      </c>
      <c r="AY328" s="768">
        <f t="shared" si="172"/>
        <v>0</v>
      </c>
      <c r="AZ328" s="768">
        <f t="shared" si="172"/>
        <v>0</v>
      </c>
      <c r="BA328" s="768">
        <f t="shared" si="172"/>
        <v>0</v>
      </c>
      <c r="BB328" s="768">
        <f t="shared" si="172"/>
        <v>0</v>
      </c>
      <c r="BC328" s="768">
        <f t="shared" si="172"/>
        <v>0</v>
      </c>
      <c r="BD328" s="768">
        <f t="shared" si="172"/>
        <v>0</v>
      </c>
      <c r="BE328" s="768">
        <f t="shared" si="172"/>
        <v>0</v>
      </c>
      <c r="BF328" s="768">
        <f t="shared" si="172"/>
        <v>0</v>
      </c>
      <c r="BG328" s="768">
        <f t="shared" si="172"/>
        <v>0</v>
      </c>
      <c r="BH328" s="768">
        <f t="shared" si="172"/>
        <v>0</v>
      </c>
      <c r="BI328" s="768">
        <f t="shared" si="172"/>
        <v>0</v>
      </c>
      <c r="BJ328" s="768">
        <f t="shared" si="172"/>
        <v>0</v>
      </c>
      <c r="BK328" s="768">
        <f t="shared" si="172"/>
        <v>0</v>
      </c>
      <c r="BL328" s="768">
        <f t="shared" si="172"/>
        <v>0</v>
      </c>
      <c r="BM328" s="768">
        <f t="shared" si="172"/>
        <v>0</v>
      </c>
      <c r="BN328" s="768">
        <f t="shared" si="172"/>
        <v>0</v>
      </c>
      <c r="BO328" s="768">
        <f t="shared" si="172"/>
        <v>0</v>
      </c>
      <c r="BP328" s="768">
        <f t="shared" si="172"/>
        <v>0</v>
      </c>
      <c r="BQ328" s="768">
        <f t="shared" si="172"/>
        <v>0</v>
      </c>
      <c r="BR328" s="768">
        <f t="shared" si="172"/>
        <v>0</v>
      </c>
      <c r="BS328" s="768">
        <f t="shared" si="171"/>
        <v>0</v>
      </c>
      <c r="BT328" s="768">
        <f t="shared" si="171"/>
        <v>0</v>
      </c>
      <c r="BU328" s="768">
        <f t="shared" si="171"/>
        <v>0</v>
      </c>
      <c r="BV328" s="768">
        <f t="shared" si="171"/>
        <v>0</v>
      </c>
      <c r="BW328" s="768">
        <f t="shared" si="171"/>
        <v>0</v>
      </c>
      <c r="BX328" s="768">
        <f t="shared" si="171"/>
        <v>0</v>
      </c>
      <c r="BY328" s="768">
        <f t="shared" si="171"/>
        <v>0</v>
      </c>
      <c r="BZ328" s="768">
        <f t="shared" si="171"/>
        <v>0</v>
      </c>
      <c r="CA328" s="768">
        <f t="shared" si="171"/>
        <v>0</v>
      </c>
      <c r="CB328" s="768">
        <f t="shared" si="171"/>
        <v>0</v>
      </c>
      <c r="CC328" s="768">
        <f t="shared" si="171"/>
        <v>0</v>
      </c>
      <c r="CD328" s="768">
        <f t="shared" si="171"/>
        <v>0</v>
      </c>
      <c r="CE328" s="768">
        <f t="shared" si="171"/>
        <v>0</v>
      </c>
      <c r="CF328" s="768">
        <f t="shared" si="171"/>
        <v>0</v>
      </c>
      <c r="CG328" s="768">
        <f t="shared" si="171"/>
        <v>0</v>
      </c>
      <c r="CH328" s="768">
        <f t="shared" si="171"/>
        <v>0</v>
      </c>
      <c r="CI328" s="769">
        <f t="shared" si="171"/>
        <v>0</v>
      </c>
      <c r="CK328" s="1366"/>
    </row>
    <row r="329" spans="2:89" x14ac:dyDescent="0.25">
      <c r="B329" s="990" t="s">
        <v>640</v>
      </c>
      <c r="C329" s="951" t="s">
        <v>430</v>
      </c>
      <c r="D329" s="957" t="s">
        <v>641</v>
      </c>
      <c r="E329" s="988" t="s">
        <v>146</v>
      </c>
      <c r="F329" s="989">
        <v>2</v>
      </c>
      <c r="G329" s="607"/>
      <c r="H329" s="607"/>
      <c r="I329" s="607">
        <f t="shared" si="172"/>
        <v>0</v>
      </c>
      <c r="J329" s="607">
        <f t="shared" si="172"/>
        <v>0</v>
      </c>
      <c r="K329" s="607">
        <f t="shared" si="172"/>
        <v>0</v>
      </c>
      <c r="L329" s="607">
        <f t="shared" si="172"/>
        <v>0</v>
      </c>
      <c r="M329" s="768">
        <f t="shared" si="172"/>
        <v>0</v>
      </c>
      <c r="N329" s="768">
        <f t="shared" si="172"/>
        <v>0</v>
      </c>
      <c r="O329" s="768">
        <f t="shared" si="172"/>
        <v>0</v>
      </c>
      <c r="P329" s="768">
        <f t="shared" si="172"/>
        <v>0</v>
      </c>
      <c r="Q329" s="768">
        <f t="shared" si="172"/>
        <v>0</v>
      </c>
      <c r="R329" s="768">
        <f t="shared" si="172"/>
        <v>0</v>
      </c>
      <c r="S329" s="768">
        <f t="shared" si="172"/>
        <v>0</v>
      </c>
      <c r="T329" s="768">
        <f t="shared" si="172"/>
        <v>0</v>
      </c>
      <c r="U329" s="768">
        <f t="shared" si="172"/>
        <v>0</v>
      </c>
      <c r="V329" s="768">
        <f t="shared" si="172"/>
        <v>0</v>
      </c>
      <c r="W329" s="768">
        <f t="shared" si="172"/>
        <v>0</v>
      </c>
      <c r="X329" s="768">
        <f t="shared" si="172"/>
        <v>0</v>
      </c>
      <c r="Y329" s="768">
        <f t="shared" si="172"/>
        <v>0</v>
      </c>
      <c r="Z329" s="768">
        <f t="shared" si="172"/>
        <v>0</v>
      </c>
      <c r="AA329" s="768">
        <f t="shared" si="172"/>
        <v>0</v>
      </c>
      <c r="AB329" s="768">
        <f t="shared" si="172"/>
        <v>0</v>
      </c>
      <c r="AC329" s="768">
        <f t="shared" si="172"/>
        <v>0</v>
      </c>
      <c r="AD329" s="768">
        <f t="shared" si="172"/>
        <v>0</v>
      </c>
      <c r="AE329" s="768">
        <f t="shared" si="172"/>
        <v>0</v>
      </c>
      <c r="AF329" s="768">
        <f t="shared" si="172"/>
        <v>0</v>
      </c>
      <c r="AG329" s="768">
        <f t="shared" si="172"/>
        <v>0</v>
      </c>
      <c r="AH329" s="768">
        <f t="shared" si="172"/>
        <v>0</v>
      </c>
      <c r="AI329" s="768">
        <f t="shared" si="172"/>
        <v>0</v>
      </c>
      <c r="AJ329" s="768">
        <f t="shared" si="172"/>
        <v>0</v>
      </c>
      <c r="AK329" s="768">
        <f t="shared" si="172"/>
        <v>0</v>
      </c>
      <c r="AL329" s="768">
        <f t="shared" si="172"/>
        <v>0</v>
      </c>
      <c r="AM329" s="768">
        <f t="shared" si="172"/>
        <v>0</v>
      </c>
      <c r="AN329" s="768">
        <f t="shared" si="172"/>
        <v>0</v>
      </c>
      <c r="AO329" s="768">
        <f t="shared" si="172"/>
        <v>0</v>
      </c>
      <c r="AP329" s="768">
        <f t="shared" si="172"/>
        <v>0</v>
      </c>
      <c r="AQ329" s="768">
        <f t="shared" si="172"/>
        <v>0</v>
      </c>
      <c r="AR329" s="768">
        <f t="shared" si="172"/>
        <v>0</v>
      </c>
      <c r="AS329" s="768">
        <f t="shared" si="172"/>
        <v>0</v>
      </c>
      <c r="AT329" s="768">
        <f t="shared" si="172"/>
        <v>0</v>
      </c>
      <c r="AU329" s="768">
        <f t="shared" si="172"/>
        <v>0</v>
      </c>
      <c r="AV329" s="768">
        <f t="shared" si="172"/>
        <v>0</v>
      </c>
      <c r="AW329" s="768">
        <f t="shared" si="172"/>
        <v>0</v>
      </c>
      <c r="AX329" s="768">
        <f t="shared" si="172"/>
        <v>0</v>
      </c>
      <c r="AY329" s="768">
        <f t="shared" si="172"/>
        <v>0</v>
      </c>
      <c r="AZ329" s="768">
        <f t="shared" si="172"/>
        <v>0</v>
      </c>
      <c r="BA329" s="768">
        <f t="shared" si="172"/>
        <v>0</v>
      </c>
      <c r="BB329" s="768">
        <f t="shared" si="172"/>
        <v>0</v>
      </c>
      <c r="BC329" s="768">
        <f t="shared" si="172"/>
        <v>0</v>
      </c>
      <c r="BD329" s="768">
        <f t="shared" si="172"/>
        <v>0</v>
      </c>
      <c r="BE329" s="768">
        <f t="shared" si="172"/>
        <v>0</v>
      </c>
      <c r="BF329" s="768">
        <f t="shared" si="172"/>
        <v>0</v>
      </c>
      <c r="BG329" s="768">
        <f t="shared" si="172"/>
        <v>0</v>
      </c>
      <c r="BH329" s="768">
        <f t="shared" si="172"/>
        <v>0</v>
      </c>
      <c r="BI329" s="768">
        <f t="shared" si="172"/>
        <v>0</v>
      </c>
      <c r="BJ329" s="768">
        <f t="shared" si="172"/>
        <v>0</v>
      </c>
      <c r="BK329" s="768">
        <f t="shared" si="172"/>
        <v>0</v>
      </c>
      <c r="BL329" s="768">
        <f t="shared" si="172"/>
        <v>0</v>
      </c>
      <c r="BM329" s="768">
        <f t="shared" si="172"/>
        <v>0</v>
      </c>
      <c r="BN329" s="768">
        <f t="shared" si="172"/>
        <v>0</v>
      </c>
      <c r="BO329" s="768">
        <f t="shared" si="172"/>
        <v>0</v>
      </c>
      <c r="BP329" s="768">
        <f t="shared" si="172"/>
        <v>0</v>
      </c>
      <c r="BQ329" s="768">
        <f t="shared" si="172"/>
        <v>0</v>
      </c>
      <c r="BR329" s="768">
        <f t="shared" si="172"/>
        <v>0</v>
      </c>
      <c r="BS329" s="768">
        <f t="shared" si="171"/>
        <v>0</v>
      </c>
      <c r="BT329" s="768">
        <f t="shared" si="171"/>
        <v>0</v>
      </c>
      <c r="BU329" s="768">
        <f t="shared" si="171"/>
        <v>0</v>
      </c>
      <c r="BV329" s="768">
        <f t="shared" si="171"/>
        <v>0</v>
      </c>
      <c r="BW329" s="768">
        <f t="shared" si="171"/>
        <v>0</v>
      </c>
      <c r="BX329" s="768">
        <f t="shared" si="171"/>
        <v>0</v>
      </c>
      <c r="BY329" s="768">
        <f t="shared" si="171"/>
        <v>0</v>
      </c>
      <c r="BZ329" s="768">
        <f t="shared" si="171"/>
        <v>0</v>
      </c>
      <c r="CA329" s="768">
        <f t="shared" si="171"/>
        <v>0</v>
      </c>
      <c r="CB329" s="768">
        <f t="shared" si="171"/>
        <v>0</v>
      </c>
      <c r="CC329" s="768">
        <f t="shared" si="171"/>
        <v>0</v>
      </c>
      <c r="CD329" s="768">
        <f t="shared" si="171"/>
        <v>0</v>
      </c>
      <c r="CE329" s="768">
        <f t="shared" si="171"/>
        <v>0</v>
      </c>
      <c r="CF329" s="768">
        <f t="shared" si="171"/>
        <v>0</v>
      </c>
      <c r="CG329" s="768">
        <f t="shared" si="171"/>
        <v>0</v>
      </c>
      <c r="CH329" s="768">
        <f t="shared" si="171"/>
        <v>0</v>
      </c>
      <c r="CI329" s="769">
        <f t="shared" si="171"/>
        <v>0</v>
      </c>
      <c r="CK329" s="1366"/>
    </row>
    <row r="330" spans="2:89" x14ac:dyDescent="0.25">
      <c r="B330" s="990" t="s">
        <v>642</v>
      </c>
      <c r="C330" s="951" t="s">
        <v>432</v>
      </c>
      <c r="D330" s="957" t="s">
        <v>643</v>
      </c>
      <c r="E330" s="988" t="s">
        <v>146</v>
      </c>
      <c r="F330" s="989">
        <v>2</v>
      </c>
      <c r="G330" s="607"/>
      <c r="H330" s="607"/>
      <c r="I330" s="607">
        <f t="shared" si="172"/>
        <v>0</v>
      </c>
      <c r="J330" s="607">
        <f t="shared" si="172"/>
        <v>0</v>
      </c>
      <c r="K330" s="607">
        <f t="shared" si="172"/>
        <v>0</v>
      </c>
      <c r="L330" s="607">
        <f t="shared" si="172"/>
        <v>0</v>
      </c>
      <c r="M330" s="768">
        <f t="shared" si="172"/>
        <v>0</v>
      </c>
      <c r="N330" s="768">
        <f t="shared" si="172"/>
        <v>0</v>
      </c>
      <c r="O330" s="768">
        <f t="shared" si="172"/>
        <v>0</v>
      </c>
      <c r="P330" s="768">
        <f t="shared" si="172"/>
        <v>0</v>
      </c>
      <c r="Q330" s="768">
        <f t="shared" si="172"/>
        <v>0</v>
      </c>
      <c r="R330" s="768">
        <f t="shared" si="172"/>
        <v>0</v>
      </c>
      <c r="S330" s="768">
        <f t="shared" si="172"/>
        <v>0</v>
      </c>
      <c r="T330" s="768">
        <f t="shared" si="172"/>
        <v>0</v>
      </c>
      <c r="U330" s="768">
        <f t="shared" si="172"/>
        <v>0</v>
      </c>
      <c r="V330" s="768">
        <f t="shared" si="172"/>
        <v>0</v>
      </c>
      <c r="W330" s="768">
        <f t="shared" si="172"/>
        <v>0</v>
      </c>
      <c r="X330" s="768">
        <f t="shared" si="172"/>
        <v>0</v>
      </c>
      <c r="Y330" s="768">
        <f t="shared" si="172"/>
        <v>0</v>
      </c>
      <c r="Z330" s="768">
        <f t="shared" si="172"/>
        <v>0</v>
      </c>
      <c r="AA330" s="768">
        <f t="shared" si="172"/>
        <v>0</v>
      </c>
      <c r="AB330" s="768">
        <f t="shared" si="172"/>
        <v>0</v>
      </c>
      <c r="AC330" s="768">
        <f t="shared" si="172"/>
        <v>0</v>
      </c>
      <c r="AD330" s="768">
        <f t="shared" si="172"/>
        <v>0</v>
      </c>
      <c r="AE330" s="768">
        <f t="shared" si="172"/>
        <v>0</v>
      </c>
      <c r="AF330" s="768">
        <f t="shared" si="172"/>
        <v>0</v>
      </c>
      <c r="AG330" s="768">
        <f t="shared" si="172"/>
        <v>0</v>
      </c>
      <c r="AH330" s="768">
        <f t="shared" si="172"/>
        <v>0</v>
      </c>
      <c r="AI330" s="768">
        <f t="shared" si="172"/>
        <v>0</v>
      </c>
      <c r="AJ330" s="768">
        <f t="shared" si="172"/>
        <v>0</v>
      </c>
      <c r="AK330" s="768">
        <f t="shared" si="172"/>
        <v>0</v>
      </c>
      <c r="AL330" s="768">
        <f t="shared" si="172"/>
        <v>0</v>
      </c>
      <c r="AM330" s="768">
        <f t="shared" si="172"/>
        <v>0</v>
      </c>
      <c r="AN330" s="768">
        <f t="shared" si="172"/>
        <v>0</v>
      </c>
      <c r="AO330" s="768">
        <f t="shared" si="172"/>
        <v>0</v>
      </c>
      <c r="AP330" s="768">
        <f t="shared" si="172"/>
        <v>0</v>
      </c>
      <c r="AQ330" s="768">
        <f t="shared" si="172"/>
        <v>0</v>
      </c>
      <c r="AR330" s="768">
        <f t="shared" si="172"/>
        <v>0</v>
      </c>
      <c r="AS330" s="768">
        <f t="shared" si="172"/>
        <v>0</v>
      </c>
      <c r="AT330" s="768">
        <f t="shared" si="172"/>
        <v>0</v>
      </c>
      <c r="AU330" s="768">
        <f t="shared" si="172"/>
        <v>0</v>
      </c>
      <c r="AV330" s="768">
        <f t="shared" si="172"/>
        <v>0</v>
      </c>
      <c r="AW330" s="768">
        <f t="shared" si="172"/>
        <v>0</v>
      </c>
      <c r="AX330" s="768">
        <f t="shared" si="172"/>
        <v>0</v>
      </c>
      <c r="AY330" s="768">
        <f t="shared" si="172"/>
        <v>0</v>
      </c>
      <c r="AZ330" s="768">
        <f t="shared" si="172"/>
        <v>0</v>
      </c>
      <c r="BA330" s="768">
        <f t="shared" si="172"/>
        <v>0</v>
      </c>
      <c r="BB330" s="768">
        <f t="shared" si="172"/>
        <v>0</v>
      </c>
      <c r="BC330" s="768">
        <f t="shared" si="172"/>
        <v>0</v>
      </c>
      <c r="BD330" s="768">
        <f t="shared" si="172"/>
        <v>0</v>
      </c>
      <c r="BE330" s="768">
        <f t="shared" si="172"/>
        <v>0</v>
      </c>
      <c r="BF330" s="768">
        <f t="shared" si="172"/>
        <v>0</v>
      </c>
      <c r="BG330" s="768">
        <f t="shared" si="172"/>
        <v>0</v>
      </c>
      <c r="BH330" s="768">
        <f t="shared" si="172"/>
        <v>0</v>
      </c>
      <c r="BI330" s="768">
        <f t="shared" si="172"/>
        <v>0</v>
      </c>
      <c r="BJ330" s="768">
        <f t="shared" si="172"/>
        <v>0</v>
      </c>
      <c r="BK330" s="768">
        <f t="shared" si="172"/>
        <v>0</v>
      </c>
      <c r="BL330" s="768">
        <f t="shared" si="172"/>
        <v>0</v>
      </c>
      <c r="BM330" s="768">
        <f t="shared" si="172"/>
        <v>0</v>
      </c>
      <c r="BN330" s="768">
        <f t="shared" si="172"/>
        <v>0</v>
      </c>
      <c r="BO330" s="768">
        <f t="shared" si="172"/>
        <v>0</v>
      </c>
      <c r="BP330" s="768">
        <f t="shared" si="172"/>
        <v>0</v>
      </c>
      <c r="BQ330" s="768">
        <f t="shared" si="172"/>
        <v>0</v>
      </c>
      <c r="BR330" s="768">
        <f t="shared" si="172"/>
        <v>0</v>
      </c>
      <c r="BS330" s="768">
        <f t="shared" si="171"/>
        <v>0</v>
      </c>
      <c r="BT330" s="768">
        <f t="shared" si="171"/>
        <v>0</v>
      </c>
      <c r="BU330" s="768">
        <f t="shared" si="171"/>
        <v>0</v>
      </c>
      <c r="BV330" s="768">
        <f t="shared" si="171"/>
        <v>0</v>
      </c>
      <c r="BW330" s="768">
        <f t="shared" si="171"/>
        <v>0</v>
      </c>
      <c r="BX330" s="768">
        <f t="shared" si="171"/>
        <v>0</v>
      </c>
      <c r="BY330" s="768">
        <f t="shared" si="171"/>
        <v>0</v>
      </c>
      <c r="BZ330" s="768">
        <f t="shared" si="171"/>
        <v>0</v>
      </c>
      <c r="CA330" s="768">
        <f t="shared" si="171"/>
        <v>0</v>
      </c>
      <c r="CB330" s="768">
        <f t="shared" si="171"/>
        <v>0</v>
      </c>
      <c r="CC330" s="768">
        <f t="shared" si="171"/>
        <v>0</v>
      </c>
      <c r="CD330" s="768">
        <f t="shared" si="171"/>
        <v>0</v>
      </c>
      <c r="CE330" s="768">
        <f t="shared" si="171"/>
        <v>0</v>
      </c>
      <c r="CF330" s="768">
        <f t="shared" si="171"/>
        <v>0</v>
      </c>
      <c r="CG330" s="768">
        <f t="shared" si="171"/>
        <v>0</v>
      </c>
      <c r="CH330" s="768">
        <f t="shared" si="171"/>
        <v>0</v>
      </c>
      <c r="CI330" s="769">
        <f t="shared" si="171"/>
        <v>0</v>
      </c>
      <c r="CK330" s="1366"/>
    </row>
    <row r="331" spans="2:89" x14ac:dyDescent="0.25">
      <c r="B331" s="990" t="s">
        <v>644</v>
      </c>
      <c r="C331" s="954" t="s">
        <v>434</v>
      </c>
      <c r="D331" s="957" t="s">
        <v>645</v>
      </c>
      <c r="E331" s="988" t="s">
        <v>146</v>
      </c>
      <c r="F331" s="989">
        <v>2</v>
      </c>
      <c r="G331" s="607"/>
      <c r="H331" s="607"/>
      <c r="I331" s="607">
        <f t="shared" si="172"/>
        <v>0</v>
      </c>
      <c r="J331" s="607">
        <f t="shared" si="172"/>
        <v>0</v>
      </c>
      <c r="K331" s="607">
        <f t="shared" si="172"/>
        <v>0</v>
      </c>
      <c r="L331" s="607">
        <f t="shared" si="172"/>
        <v>0</v>
      </c>
      <c r="M331" s="768">
        <f t="shared" si="172"/>
        <v>0</v>
      </c>
      <c r="N331" s="768">
        <f t="shared" si="172"/>
        <v>0</v>
      </c>
      <c r="O331" s="768">
        <f t="shared" si="172"/>
        <v>0</v>
      </c>
      <c r="P331" s="768">
        <f t="shared" si="172"/>
        <v>0</v>
      </c>
      <c r="Q331" s="768">
        <f t="shared" si="172"/>
        <v>0</v>
      </c>
      <c r="R331" s="768">
        <f t="shared" si="172"/>
        <v>0</v>
      </c>
      <c r="S331" s="768">
        <f t="shared" si="172"/>
        <v>0</v>
      </c>
      <c r="T331" s="768">
        <f t="shared" si="172"/>
        <v>0</v>
      </c>
      <c r="U331" s="768">
        <f t="shared" si="172"/>
        <v>0</v>
      </c>
      <c r="V331" s="768">
        <f t="shared" si="172"/>
        <v>0</v>
      </c>
      <c r="W331" s="768">
        <f t="shared" si="172"/>
        <v>0</v>
      </c>
      <c r="X331" s="768">
        <f t="shared" si="172"/>
        <v>0</v>
      </c>
      <c r="Y331" s="768">
        <f t="shared" si="172"/>
        <v>0</v>
      </c>
      <c r="Z331" s="768">
        <f t="shared" si="172"/>
        <v>0</v>
      </c>
      <c r="AA331" s="768">
        <f t="shared" si="172"/>
        <v>0</v>
      </c>
      <c r="AB331" s="768">
        <f t="shared" si="172"/>
        <v>0</v>
      </c>
      <c r="AC331" s="768">
        <f t="shared" si="172"/>
        <v>0</v>
      </c>
      <c r="AD331" s="768">
        <f t="shared" si="172"/>
        <v>0</v>
      </c>
      <c r="AE331" s="768">
        <f t="shared" si="172"/>
        <v>0</v>
      </c>
      <c r="AF331" s="768">
        <f t="shared" si="172"/>
        <v>0</v>
      </c>
      <c r="AG331" s="768">
        <f t="shared" si="172"/>
        <v>0</v>
      </c>
      <c r="AH331" s="768">
        <f t="shared" si="172"/>
        <v>0</v>
      </c>
      <c r="AI331" s="768">
        <f t="shared" si="172"/>
        <v>0</v>
      </c>
      <c r="AJ331" s="768">
        <f t="shared" si="172"/>
        <v>0</v>
      </c>
      <c r="AK331" s="768">
        <f t="shared" si="172"/>
        <v>0</v>
      </c>
      <c r="AL331" s="768">
        <f t="shared" si="172"/>
        <v>0</v>
      </c>
      <c r="AM331" s="768">
        <f t="shared" si="172"/>
        <v>0</v>
      </c>
      <c r="AN331" s="768">
        <f t="shared" si="172"/>
        <v>0</v>
      </c>
      <c r="AO331" s="768">
        <f t="shared" si="172"/>
        <v>0</v>
      </c>
      <c r="AP331" s="768">
        <f t="shared" si="172"/>
        <v>0</v>
      </c>
      <c r="AQ331" s="768">
        <f t="shared" si="172"/>
        <v>0</v>
      </c>
      <c r="AR331" s="768">
        <f t="shared" si="172"/>
        <v>0</v>
      </c>
      <c r="AS331" s="768">
        <f t="shared" si="172"/>
        <v>0</v>
      </c>
      <c r="AT331" s="768">
        <f t="shared" si="172"/>
        <v>0</v>
      </c>
      <c r="AU331" s="768">
        <f t="shared" si="172"/>
        <v>0</v>
      </c>
      <c r="AV331" s="768">
        <f t="shared" si="172"/>
        <v>0</v>
      </c>
      <c r="AW331" s="768">
        <f t="shared" si="172"/>
        <v>0</v>
      </c>
      <c r="AX331" s="768">
        <f t="shared" si="172"/>
        <v>0</v>
      </c>
      <c r="AY331" s="768">
        <f t="shared" si="172"/>
        <v>0</v>
      </c>
      <c r="AZ331" s="768">
        <f t="shared" si="172"/>
        <v>0</v>
      </c>
      <c r="BA331" s="768">
        <f t="shared" si="172"/>
        <v>0</v>
      </c>
      <c r="BB331" s="768">
        <f t="shared" si="172"/>
        <v>0</v>
      </c>
      <c r="BC331" s="768">
        <f t="shared" si="172"/>
        <v>0</v>
      </c>
      <c r="BD331" s="768">
        <f t="shared" si="172"/>
        <v>0</v>
      </c>
      <c r="BE331" s="768">
        <f t="shared" si="172"/>
        <v>0</v>
      </c>
      <c r="BF331" s="768">
        <f t="shared" si="172"/>
        <v>0</v>
      </c>
      <c r="BG331" s="768">
        <f t="shared" si="172"/>
        <v>0</v>
      </c>
      <c r="BH331" s="768">
        <f t="shared" si="172"/>
        <v>0</v>
      </c>
      <c r="BI331" s="768">
        <f t="shared" si="172"/>
        <v>0</v>
      </c>
      <c r="BJ331" s="768">
        <f t="shared" si="172"/>
        <v>0</v>
      </c>
      <c r="BK331" s="768">
        <f t="shared" si="172"/>
        <v>0</v>
      </c>
      <c r="BL331" s="768">
        <f t="shared" si="172"/>
        <v>0</v>
      </c>
      <c r="BM331" s="768">
        <f t="shared" si="172"/>
        <v>0</v>
      </c>
      <c r="BN331" s="768">
        <f t="shared" si="172"/>
        <v>0</v>
      </c>
      <c r="BO331" s="768">
        <f t="shared" si="172"/>
        <v>0</v>
      </c>
      <c r="BP331" s="768">
        <f t="shared" si="172"/>
        <v>0</v>
      </c>
      <c r="BQ331" s="768">
        <f t="shared" si="172"/>
        <v>0</v>
      </c>
      <c r="BR331" s="768">
        <f>BR241+BR299</f>
        <v>0</v>
      </c>
      <c r="BS331" s="768">
        <f t="shared" si="171"/>
        <v>0</v>
      </c>
      <c r="BT331" s="768">
        <f t="shared" si="171"/>
        <v>0</v>
      </c>
      <c r="BU331" s="768">
        <f t="shared" si="171"/>
        <v>0</v>
      </c>
      <c r="BV331" s="768">
        <f t="shared" si="171"/>
        <v>0</v>
      </c>
      <c r="BW331" s="768">
        <f t="shared" si="171"/>
        <v>0</v>
      </c>
      <c r="BX331" s="768">
        <f t="shared" si="171"/>
        <v>0</v>
      </c>
      <c r="BY331" s="768">
        <f t="shared" si="171"/>
        <v>0</v>
      </c>
      <c r="BZ331" s="768">
        <f t="shared" si="171"/>
        <v>0</v>
      </c>
      <c r="CA331" s="768">
        <f t="shared" si="171"/>
        <v>0</v>
      </c>
      <c r="CB331" s="768">
        <f t="shared" si="171"/>
        <v>0</v>
      </c>
      <c r="CC331" s="768">
        <f t="shared" si="171"/>
        <v>0</v>
      </c>
      <c r="CD331" s="768">
        <f t="shared" si="171"/>
        <v>0</v>
      </c>
      <c r="CE331" s="768">
        <f t="shared" si="171"/>
        <v>0</v>
      </c>
      <c r="CF331" s="768">
        <f t="shared" si="171"/>
        <v>0</v>
      </c>
      <c r="CG331" s="768">
        <f t="shared" si="171"/>
        <v>0</v>
      </c>
      <c r="CH331" s="768">
        <f t="shared" si="171"/>
        <v>0</v>
      </c>
      <c r="CI331" s="769">
        <f t="shared" si="171"/>
        <v>0</v>
      </c>
      <c r="CK331" s="1366"/>
    </row>
    <row r="332" spans="2:89" x14ac:dyDescent="0.25">
      <c r="B332" s="990" t="s">
        <v>646</v>
      </c>
      <c r="C332" s="954" t="s">
        <v>153</v>
      </c>
      <c r="D332" s="957" t="s">
        <v>647</v>
      </c>
      <c r="E332" s="988" t="s">
        <v>146</v>
      </c>
      <c r="F332" s="989">
        <v>2</v>
      </c>
      <c r="G332" s="607"/>
      <c r="H332" s="607"/>
      <c r="I332" s="607">
        <f t="shared" ref="I332:BS332" si="173">SUM(I326:I331)</f>
        <v>0</v>
      </c>
      <c r="J332" s="607">
        <f t="shared" si="173"/>
        <v>0</v>
      </c>
      <c r="K332" s="607">
        <f t="shared" si="173"/>
        <v>0</v>
      </c>
      <c r="L332" s="607">
        <f t="shared" si="173"/>
        <v>0</v>
      </c>
      <c r="M332" s="768">
        <f t="shared" si="173"/>
        <v>0</v>
      </c>
      <c r="N332" s="768">
        <f t="shared" si="173"/>
        <v>0</v>
      </c>
      <c r="O332" s="768">
        <f t="shared" si="173"/>
        <v>0</v>
      </c>
      <c r="P332" s="768">
        <f t="shared" si="173"/>
        <v>0</v>
      </c>
      <c r="Q332" s="768">
        <f t="shared" si="173"/>
        <v>0</v>
      </c>
      <c r="R332" s="768">
        <f t="shared" si="173"/>
        <v>0</v>
      </c>
      <c r="S332" s="768">
        <f t="shared" si="173"/>
        <v>0</v>
      </c>
      <c r="T332" s="768">
        <f t="shared" si="173"/>
        <v>0</v>
      </c>
      <c r="U332" s="768">
        <f t="shared" si="173"/>
        <v>0</v>
      </c>
      <c r="V332" s="768">
        <f t="shared" si="173"/>
        <v>0</v>
      </c>
      <c r="W332" s="768">
        <f t="shared" si="173"/>
        <v>0</v>
      </c>
      <c r="X332" s="768">
        <f t="shared" si="173"/>
        <v>0</v>
      </c>
      <c r="Y332" s="768">
        <f t="shared" si="173"/>
        <v>0</v>
      </c>
      <c r="Z332" s="768">
        <f t="shared" si="173"/>
        <v>0</v>
      </c>
      <c r="AA332" s="768">
        <f t="shared" si="173"/>
        <v>0</v>
      </c>
      <c r="AB332" s="768">
        <f t="shared" si="173"/>
        <v>0</v>
      </c>
      <c r="AC332" s="768">
        <f t="shared" si="173"/>
        <v>0</v>
      </c>
      <c r="AD332" s="768">
        <f t="shared" si="173"/>
        <v>0</v>
      </c>
      <c r="AE332" s="768">
        <f t="shared" si="173"/>
        <v>0</v>
      </c>
      <c r="AF332" s="768">
        <f t="shared" si="173"/>
        <v>0</v>
      </c>
      <c r="AG332" s="768">
        <f t="shared" si="173"/>
        <v>0</v>
      </c>
      <c r="AH332" s="768">
        <f t="shared" si="173"/>
        <v>0</v>
      </c>
      <c r="AI332" s="768">
        <f t="shared" si="173"/>
        <v>0</v>
      </c>
      <c r="AJ332" s="768">
        <f t="shared" si="173"/>
        <v>0</v>
      </c>
      <c r="AK332" s="768">
        <f t="shared" si="173"/>
        <v>0</v>
      </c>
      <c r="AL332" s="768">
        <f t="shared" si="173"/>
        <v>0</v>
      </c>
      <c r="AM332" s="768">
        <f t="shared" si="173"/>
        <v>0</v>
      </c>
      <c r="AN332" s="768">
        <f t="shared" si="173"/>
        <v>0</v>
      </c>
      <c r="AO332" s="768">
        <f t="shared" si="173"/>
        <v>0</v>
      </c>
      <c r="AP332" s="768">
        <f t="shared" si="173"/>
        <v>0</v>
      </c>
      <c r="AQ332" s="768">
        <f t="shared" si="173"/>
        <v>0</v>
      </c>
      <c r="AR332" s="768">
        <f t="shared" si="173"/>
        <v>0</v>
      </c>
      <c r="AS332" s="768">
        <f t="shared" si="173"/>
        <v>0</v>
      </c>
      <c r="AT332" s="768">
        <f t="shared" si="173"/>
        <v>0</v>
      </c>
      <c r="AU332" s="768">
        <f t="shared" si="173"/>
        <v>0</v>
      </c>
      <c r="AV332" s="768">
        <f t="shared" si="173"/>
        <v>0</v>
      </c>
      <c r="AW332" s="768">
        <f t="shared" si="173"/>
        <v>0</v>
      </c>
      <c r="AX332" s="768">
        <f t="shared" si="173"/>
        <v>0</v>
      </c>
      <c r="AY332" s="768">
        <f t="shared" si="173"/>
        <v>0</v>
      </c>
      <c r="AZ332" s="768">
        <f t="shared" si="173"/>
        <v>0</v>
      </c>
      <c r="BA332" s="768">
        <f t="shared" si="173"/>
        <v>0</v>
      </c>
      <c r="BB332" s="768">
        <f t="shared" si="173"/>
        <v>0</v>
      </c>
      <c r="BC332" s="768">
        <f t="shared" si="173"/>
        <v>0</v>
      </c>
      <c r="BD332" s="768">
        <f t="shared" si="173"/>
        <v>0</v>
      </c>
      <c r="BE332" s="768">
        <f t="shared" si="173"/>
        <v>0</v>
      </c>
      <c r="BF332" s="768">
        <f t="shared" si="173"/>
        <v>0</v>
      </c>
      <c r="BG332" s="768">
        <f t="shared" si="173"/>
        <v>0</v>
      </c>
      <c r="BH332" s="768">
        <f t="shared" si="173"/>
        <v>0</v>
      </c>
      <c r="BI332" s="768">
        <f t="shared" si="173"/>
        <v>0</v>
      </c>
      <c r="BJ332" s="768">
        <f t="shared" si="173"/>
        <v>0</v>
      </c>
      <c r="BK332" s="768">
        <f t="shared" si="173"/>
        <v>0</v>
      </c>
      <c r="BL332" s="768">
        <f t="shared" si="173"/>
        <v>0</v>
      </c>
      <c r="BM332" s="768">
        <f t="shared" si="173"/>
        <v>0</v>
      </c>
      <c r="BN332" s="768">
        <f t="shared" si="173"/>
        <v>0</v>
      </c>
      <c r="BO332" s="768">
        <f t="shared" si="173"/>
        <v>0</v>
      </c>
      <c r="BP332" s="768">
        <f t="shared" si="173"/>
        <v>0</v>
      </c>
      <c r="BQ332" s="768">
        <f t="shared" si="173"/>
        <v>0</v>
      </c>
      <c r="BR332" s="768">
        <f t="shared" si="173"/>
        <v>0</v>
      </c>
      <c r="BS332" s="768">
        <f t="shared" si="173"/>
        <v>0</v>
      </c>
      <c r="BT332" s="768">
        <f t="shared" ref="BT332:CI332" si="174">SUM(BT326:BT331)</f>
        <v>0</v>
      </c>
      <c r="BU332" s="768">
        <f t="shared" si="174"/>
        <v>0</v>
      </c>
      <c r="BV332" s="768">
        <f t="shared" si="174"/>
        <v>0</v>
      </c>
      <c r="BW332" s="768">
        <f t="shared" si="174"/>
        <v>0</v>
      </c>
      <c r="BX332" s="768">
        <f t="shared" si="174"/>
        <v>0</v>
      </c>
      <c r="BY332" s="768">
        <f t="shared" si="174"/>
        <v>0</v>
      </c>
      <c r="BZ332" s="768">
        <f t="shared" si="174"/>
        <v>0</v>
      </c>
      <c r="CA332" s="768">
        <f t="shared" si="174"/>
        <v>0</v>
      </c>
      <c r="CB332" s="768">
        <f t="shared" si="174"/>
        <v>0</v>
      </c>
      <c r="CC332" s="768">
        <f t="shared" si="174"/>
        <v>0</v>
      </c>
      <c r="CD332" s="768">
        <f t="shared" si="174"/>
        <v>0</v>
      </c>
      <c r="CE332" s="768">
        <f t="shared" si="174"/>
        <v>0</v>
      </c>
      <c r="CF332" s="768">
        <f t="shared" si="174"/>
        <v>0</v>
      </c>
      <c r="CG332" s="768">
        <f t="shared" si="174"/>
        <v>0</v>
      </c>
      <c r="CH332" s="768">
        <f t="shared" si="174"/>
        <v>0</v>
      </c>
      <c r="CI332" s="769">
        <f t="shared" si="174"/>
        <v>0</v>
      </c>
      <c r="CK332" s="1366"/>
    </row>
    <row r="333" spans="2:89" ht="14.4" thickBot="1" x14ac:dyDescent="0.3">
      <c r="B333" s="1017" t="s">
        <v>648</v>
      </c>
      <c r="C333" s="1018" t="s">
        <v>438</v>
      </c>
      <c r="D333" s="1019" t="s">
        <v>649</v>
      </c>
      <c r="E333" s="1020" t="s">
        <v>440</v>
      </c>
      <c r="F333" s="997">
        <v>2</v>
      </c>
      <c r="G333" s="779"/>
      <c r="H333" s="779"/>
      <c r="I333" s="779" t="e">
        <f t="shared" ref="I333:BS333" si="175">(I332*1000000)/(I347*1000)</f>
        <v>#DIV/0!</v>
      </c>
      <c r="J333" s="779" t="e">
        <f t="shared" si="175"/>
        <v>#DIV/0!</v>
      </c>
      <c r="K333" s="779" t="e">
        <f t="shared" si="175"/>
        <v>#DIV/0!</v>
      </c>
      <c r="L333" s="779" t="e">
        <f t="shared" si="175"/>
        <v>#DIV/0!</v>
      </c>
      <c r="M333" s="808" t="e">
        <f t="shared" si="175"/>
        <v>#DIV/0!</v>
      </c>
      <c r="N333" s="808" t="e">
        <f t="shared" si="175"/>
        <v>#DIV/0!</v>
      </c>
      <c r="O333" s="808" t="e">
        <f t="shared" si="175"/>
        <v>#DIV/0!</v>
      </c>
      <c r="P333" s="808" t="e">
        <f t="shared" si="175"/>
        <v>#DIV/0!</v>
      </c>
      <c r="Q333" s="808" t="e">
        <f t="shared" si="175"/>
        <v>#DIV/0!</v>
      </c>
      <c r="R333" s="808" t="e">
        <f t="shared" si="175"/>
        <v>#DIV/0!</v>
      </c>
      <c r="S333" s="808" t="e">
        <f t="shared" si="175"/>
        <v>#DIV/0!</v>
      </c>
      <c r="T333" s="808" t="e">
        <f t="shared" si="175"/>
        <v>#DIV/0!</v>
      </c>
      <c r="U333" s="808" t="e">
        <f t="shared" si="175"/>
        <v>#DIV/0!</v>
      </c>
      <c r="V333" s="808" t="e">
        <f t="shared" si="175"/>
        <v>#DIV/0!</v>
      </c>
      <c r="W333" s="808" t="e">
        <f t="shared" si="175"/>
        <v>#DIV/0!</v>
      </c>
      <c r="X333" s="808" t="e">
        <f t="shared" si="175"/>
        <v>#DIV/0!</v>
      </c>
      <c r="Y333" s="808" t="e">
        <f t="shared" si="175"/>
        <v>#DIV/0!</v>
      </c>
      <c r="Z333" s="808" t="e">
        <f t="shared" si="175"/>
        <v>#DIV/0!</v>
      </c>
      <c r="AA333" s="808" t="e">
        <f t="shared" si="175"/>
        <v>#DIV/0!</v>
      </c>
      <c r="AB333" s="808" t="e">
        <f t="shared" si="175"/>
        <v>#DIV/0!</v>
      </c>
      <c r="AC333" s="808" t="e">
        <f t="shared" si="175"/>
        <v>#DIV/0!</v>
      </c>
      <c r="AD333" s="808" t="e">
        <f t="shared" si="175"/>
        <v>#DIV/0!</v>
      </c>
      <c r="AE333" s="808" t="e">
        <f t="shared" si="175"/>
        <v>#DIV/0!</v>
      </c>
      <c r="AF333" s="808" t="e">
        <f t="shared" si="175"/>
        <v>#DIV/0!</v>
      </c>
      <c r="AG333" s="808" t="e">
        <f t="shared" si="175"/>
        <v>#DIV/0!</v>
      </c>
      <c r="AH333" s="808" t="e">
        <f t="shared" si="175"/>
        <v>#DIV/0!</v>
      </c>
      <c r="AI333" s="808" t="e">
        <f t="shared" si="175"/>
        <v>#DIV/0!</v>
      </c>
      <c r="AJ333" s="808" t="e">
        <f t="shared" si="175"/>
        <v>#DIV/0!</v>
      </c>
      <c r="AK333" s="808" t="e">
        <f t="shared" si="175"/>
        <v>#DIV/0!</v>
      </c>
      <c r="AL333" s="808" t="e">
        <f t="shared" si="175"/>
        <v>#DIV/0!</v>
      </c>
      <c r="AM333" s="808" t="e">
        <f t="shared" si="175"/>
        <v>#DIV/0!</v>
      </c>
      <c r="AN333" s="808" t="e">
        <f t="shared" si="175"/>
        <v>#DIV/0!</v>
      </c>
      <c r="AO333" s="808" t="e">
        <f t="shared" si="175"/>
        <v>#DIV/0!</v>
      </c>
      <c r="AP333" s="808" t="e">
        <f t="shared" si="175"/>
        <v>#DIV/0!</v>
      </c>
      <c r="AQ333" s="808" t="e">
        <f t="shared" si="175"/>
        <v>#DIV/0!</v>
      </c>
      <c r="AR333" s="808" t="e">
        <f t="shared" si="175"/>
        <v>#DIV/0!</v>
      </c>
      <c r="AS333" s="808" t="e">
        <f t="shared" si="175"/>
        <v>#DIV/0!</v>
      </c>
      <c r="AT333" s="808" t="e">
        <f t="shared" si="175"/>
        <v>#DIV/0!</v>
      </c>
      <c r="AU333" s="808" t="e">
        <f t="shared" si="175"/>
        <v>#DIV/0!</v>
      </c>
      <c r="AV333" s="808" t="e">
        <f t="shared" si="175"/>
        <v>#DIV/0!</v>
      </c>
      <c r="AW333" s="808" t="e">
        <f t="shared" si="175"/>
        <v>#DIV/0!</v>
      </c>
      <c r="AX333" s="808" t="e">
        <f t="shared" si="175"/>
        <v>#DIV/0!</v>
      </c>
      <c r="AY333" s="808" t="e">
        <f t="shared" si="175"/>
        <v>#DIV/0!</v>
      </c>
      <c r="AZ333" s="808" t="e">
        <f t="shared" si="175"/>
        <v>#DIV/0!</v>
      </c>
      <c r="BA333" s="808" t="e">
        <f t="shared" si="175"/>
        <v>#DIV/0!</v>
      </c>
      <c r="BB333" s="808" t="e">
        <f t="shared" si="175"/>
        <v>#DIV/0!</v>
      </c>
      <c r="BC333" s="808" t="e">
        <f t="shared" si="175"/>
        <v>#DIV/0!</v>
      </c>
      <c r="BD333" s="808" t="e">
        <f t="shared" si="175"/>
        <v>#DIV/0!</v>
      </c>
      <c r="BE333" s="808" t="e">
        <f t="shared" si="175"/>
        <v>#DIV/0!</v>
      </c>
      <c r="BF333" s="808" t="e">
        <f t="shared" si="175"/>
        <v>#DIV/0!</v>
      </c>
      <c r="BG333" s="808" t="e">
        <f t="shared" si="175"/>
        <v>#DIV/0!</v>
      </c>
      <c r="BH333" s="808" t="e">
        <f t="shared" si="175"/>
        <v>#DIV/0!</v>
      </c>
      <c r="BI333" s="808" t="e">
        <f t="shared" si="175"/>
        <v>#DIV/0!</v>
      </c>
      <c r="BJ333" s="808" t="e">
        <f t="shared" si="175"/>
        <v>#DIV/0!</v>
      </c>
      <c r="BK333" s="808" t="e">
        <f t="shared" si="175"/>
        <v>#DIV/0!</v>
      </c>
      <c r="BL333" s="808" t="e">
        <f t="shared" si="175"/>
        <v>#DIV/0!</v>
      </c>
      <c r="BM333" s="808" t="e">
        <f t="shared" si="175"/>
        <v>#DIV/0!</v>
      </c>
      <c r="BN333" s="808" t="e">
        <f t="shared" si="175"/>
        <v>#DIV/0!</v>
      </c>
      <c r="BO333" s="808" t="e">
        <f t="shared" si="175"/>
        <v>#DIV/0!</v>
      </c>
      <c r="BP333" s="808" t="e">
        <f t="shared" si="175"/>
        <v>#DIV/0!</v>
      </c>
      <c r="BQ333" s="808" t="e">
        <f t="shared" si="175"/>
        <v>#DIV/0!</v>
      </c>
      <c r="BR333" s="808" t="e">
        <f t="shared" si="175"/>
        <v>#DIV/0!</v>
      </c>
      <c r="BS333" s="808" t="e">
        <f t="shared" si="175"/>
        <v>#DIV/0!</v>
      </c>
      <c r="BT333" s="808" t="e">
        <f t="shared" ref="BT333:CI333" si="176">(BT332*1000000)/(BT347*1000)</f>
        <v>#DIV/0!</v>
      </c>
      <c r="BU333" s="808" t="e">
        <f t="shared" si="176"/>
        <v>#DIV/0!</v>
      </c>
      <c r="BV333" s="808" t="e">
        <f t="shared" si="176"/>
        <v>#DIV/0!</v>
      </c>
      <c r="BW333" s="808" t="e">
        <f t="shared" si="176"/>
        <v>#DIV/0!</v>
      </c>
      <c r="BX333" s="808" t="e">
        <f t="shared" si="176"/>
        <v>#DIV/0!</v>
      </c>
      <c r="BY333" s="808" t="e">
        <f t="shared" si="176"/>
        <v>#DIV/0!</v>
      </c>
      <c r="BZ333" s="808" t="e">
        <f t="shared" si="176"/>
        <v>#DIV/0!</v>
      </c>
      <c r="CA333" s="808" t="e">
        <f t="shared" si="176"/>
        <v>#DIV/0!</v>
      </c>
      <c r="CB333" s="808" t="e">
        <f t="shared" si="176"/>
        <v>#DIV/0!</v>
      </c>
      <c r="CC333" s="808" t="e">
        <f t="shared" si="176"/>
        <v>#DIV/0!</v>
      </c>
      <c r="CD333" s="808" t="e">
        <f t="shared" si="176"/>
        <v>#DIV/0!</v>
      </c>
      <c r="CE333" s="808" t="e">
        <f t="shared" si="176"/>
        <v>#DIV/0!</v>
      </c>
      <c r="CF333" s="808" t="e">
        <f t="shared" si="176"/>
        <v>#DIV/0!</v>
      </c>
      <c r="CG333" s="808" t="e">
        <f t="shared" si="176"/>
        <v>#DIV/0!</v>
      </c>
      <c r="CH333" s="808" t="e">
        <f t="shared" si="176"/>
        <v>#DIV/0!</v>
      </c>
      <c r="CI333" s="809" t="e">
        <f t="shared" si="176"/>
        <v>#DIV/0!</v>
      </c>
      <c r="CK333" s="1366"/>
    </row>
    <row r="334" spans="2:89" x14ac:dyDescent="0.25">
      <c r="B334" s="998" t="s">
        <v>650</v>
      </c>
      <c r="C334" s="999" t="s">
        <v>442</v>
      </c>
      <c r="D334" s="964" t="s">
        <v>79</v>
      </c>
      <c r="E334" s="1021" t="s">
        <v>254</v>
      </c>
      <c r="F334" s="1022">
        <v>2</v>
      </c>
      <c r="G334" s="631"/>
      <c r="H334" s="631"/>
      <c r="I334" s="631"/>
      <c r="J334" s="631"/>
      <c r="K334" s="631"/>
      <c r="L334" s="631"/>
      <c r="M334" s="632"/>
      <c r="N334" s="632"/>
      <c r="O334" s="632"/>
      <c r="P334" s="632"/>
      <c r="Q334" s="632"/>
      <c r="R334" s="632"/>
      <c r="S334" s="632"/>
      <c r="T334" s="632"/>
      <c r="U334" s="632"/>
      <c r="V334" s="632"/>
      <c r="W334" s="632"/>
      <c r="X334" s="632"/>
      <c r="Y334" s="632"/>
      <c r="Z334" s="632"/>
      <c r="AA334" s="632"/>
      <c r="AB334" s="632"/>
      <c r="AC334" s="632"/>
      <c r="AD334" s="632"/>
      <c r="AE334" s="632"/>
      <c r="AF334" s="632"/>
      <c r="AG334" s="632"/>
      <c r="AH334" s="632"/>
      <c r="AI334" s="632"/>
      <c r="AJ334" s="632"/>
      <c r="AK334" s="632"/>
      <c r="AL334" s="632"/>
      <c r="AM334" s="632"/>
      <c r="AN334" s="632"/>
      <c r="AO334" s="632"/>
      <c r="AP334" s="632"/>
      <c r="AQ334" s="632"/>
      <c r="AR334" s="632"/>
      <c r="AS334" s="632"/>
      <c r="AT334" s="632"/>
      <c r="AU334" s="632"/>
      <c r="AV334" s="632"/>
      <c r="AW334" s="632"/>
      <c r="AX334" s="632"/>
      <c r="AY334" s="632"/>
      <c r="AZ334" s="632"/>
      <c r="BA334" s="632"/>
      <c r="BB334" s="632"/>
      <c r="BC334" s="632"/>
      <c r="BD334" s="632"/>
      <c r="BE334" s="632"/>
      <c r="BF334" s="632"/>
      <c r="BG334" s="632"/>
      <c r="BH334" s="632"/>
      <c r="BI334" s="632"/>
      <c r="BJ334" s="632"/>
      <c r="BK334" s="632"/>
      <c r="BL334" s="632"/>
      <c r="BM334" s="632"/>
      <c r="BN334" s="632"/>
      <c r="BO334" s="632"/>
      <c r="BP334" s="632"/>
      <c r="BQ334" s="632"/>
      <c r="BR334" s="632"/>
      <c r="BS334" s="632"/>
      <c r="BT334" s="632"/>
      <c r="BU334" s="632"/>
      <c r="BV334" s="632"/>
      <c r="BW334" s="632"/>
      <c r="BX334" s="632"/>
      <c r="BY334" s="632"/>
      <c r="BZ334" s="632"/>
      <c r="CA334" s="632"/>
      <c r="CB334" s="632"/>
      <c r="CC334" s="632"/>
      <c r="CD334" s="632"/>
      <c r="CE334" s="632"/>
      <c r="CF334" s="632"/>
      <c r="CG334" s="632"/>
      <c r="CH334" s="632"/>
      <c r="CI334" s="633"/>
      <c r="CK334" s="1366"/>
    </row>
    <row r="335" spans="2:89" x14ac:dyDescent="0.25">
      <c r="B335" s="1003" t="s">
        <v>651</v>
      </c>
      <c r="C335" s="1004" t="s">
        <v>444</v>
      </c>
      <c r="D335" s="968" t="s">
        <v>79</v>
      </c>
      <c r="E335" s="1010" t="s">
        <v>254</v>
      </c>
      <c r="F335" s="1011">
        <v>2</v>
      </c>
      <c r="G335" s="635"/>
      <c r="H335" s="635"/>
      <c r="I335" s="635"/>
      <c r="J335" s="635"/>
      <c r="K335" s="635"/>
      <c r="L335" s="635"/>
      <c r="M335" s="636"/>
      <c r="N335" s="636"/>
      <c r="O335" s="636"/>
      <c r="P335" s="636"/>
      <c r="Q335" s="636"/>
      <c r="R335" s="636"/>
      <c r="S335" s="636"/>
      <c r="T335" s="636"/>
      <c r="U335" s="636"/>
      <c r="V335" s="636"/>
      <c r="W335" s="636"/>
      <c r="X335" s="636"/>
      <c r="Y335" s="636"/>
      <c r="Z335" s="636"/>
      <c r="AA335" s="636"/>
      <c r="AB335" s="636"/>
      <c r="AC335" s="636"/>
      <c r="AD335" s="636"/>
      <c r="AE335" s="636"/>
      <c r="AF335" s="636"/>
      <c r="AG335" s="636"/>
      <c r="AH335" s="636"/>
      <c r="AI335" s="636"/>
      <c r="AJ335" s="636"/>
      <c r="AK335" s="636"/>
      <c r="AL335" s="636"/>
      <c r="AM335" s="636"/>
      <c r="AN335" s="636"/>
      <c r="AO335" s="636"/>
      <c r="AP335" s="636"/>
      <c r="AQ335" s="636"/>
      <c r="AR335" s="636"/>
      <c r="AS335" s="636"/>
      <c r="AT335" s="636"/>
      <c r="AU335" s="636"/>
      <c r="AV335" s="636"/>
      <c r="AW335" s="636"/>
      <c r="AX335" s="636"/>
      <c r="AY335" s="636"/>
      <c r="AZ335" s="636"/>
      <c r="BA335" s="636"/>
      <c r="BB335" s="636"/>
      <c r="BC335" s="636"/>
      <c r="BD335" s="636"/>
      <c r="BE335" s="636"/>
      <c r="BF335" s="636"/>
      <c r="BG335" s="636"/>
      <c r="BH335" s="636"/>
      <c r="BI335" s="636"/>
      <c r="BJ335" s="636"/>
      <c r="BK335" s="636"/>
      <c r="BL335" s="636"/>
      <c r="BM335" s="636"/>
      <c r="BN335" s="636"/>
      <c r="BO335" s="636"/>
      <c r="BP335" s="636"/>
      <c r="BQ335" s="636"/>
      <c r="BR335" s="636"/>
      <c r="BS335" s="636"/>
      <c r="BT335" s="636"/>
      <c r="BU335" s="636"/>
      <c r="BV335" s="636"/>
      <c r="BW335" s="636"/>
      <c r="BX335" s="636"/>
      <c r="BY335" s="636"/>
      <c r="BZ335" s="636"/>
      <c r="CA335" s="636"/>
      <c r="CB335" s="636"/>
      <c r="CC335" s="636"/>
      <c r="CD335" s="636"/>
      <c r="CE335" s="636"/>
      <c r="CF335" s="636"/>
      <c r="CG335" s="636"/>
      <c r="CH335" s="636"/>
      <c r="CI335" s="637"/>
      <c r="CK335" s="1366"/>
    </row>
    <row r="336" spans="2:89" x14ac:dyDescent="0.25">
      <c r="B336" s="1023" t="s">
        <v>652</v>
      </c>
      <c r="C336" s="1024" t="s">
        <v>446</v>
      </c>
      <c r="D336" s="968" t="s">
        <v>79</v>
      </c>
      <c r="E336" s="1010" t="s">
        <v>254</v>
      </c>
      <c r="F336" s="1011">
        <v>2</v>
      </c>
      <c r="G336" s="635"/>
      <c r="H336" s="635"/>
      <c r="I336" s="635"/>
      <c r="J336" s="635"/>
      <c r="K336" s="635"/>
      <c r="L336" s="635"/>
      <c r="M336" s="636"/>
      <c r="N336" s="636"/>
      <c r="O336" s="636"/>
      <c r="P336" s="636"/>
      <c r="Q336" s="636"/>
      <c r="R336" s="636"/>
      <c r="S336" s="636"/>
      <c r="T336" s="636"/>
      <c r="U336" s="636"/>
      <c r="V336" s="636"/>
      <c r="W336" s="636"/>
      <c r="X336" s="636"/>
      <c r="Y336" s="636"/>
      <c r="Z336" s="636"/>
      <c r="AA336" s="636"/>
      <c r="AB336" s="636"/>
      <c r="AC336" s="636"/>
      <c r="AD336" s="636"/>
      <c r="AE336" s="636"/>
      <c r="AF336" s="636"/>
      <c r="AG336" s="636"/>
      <c r="AH336" s="636"/>
      <c r="AI336" s="636"/>
      <c r="AJ336" s="636"/>
      <c r="AK336" s="636"/>
      <c r="AL336" s="636"/>
      <c r="AM336" s="636"/>
      <c r="AN336" s="636"/>
      <c r="AO336" s="636"/>
      <c r="AP336" s="636"/>
      <c r="AQ336" s="636"/>
      <c r="AR336" s="636"/>
      <c r="AS336" s="636"/>
      <c r="AT336" s="636"/>
      <c r="AU336" s="636"/>
      <c r="AV336" s="636"/>
      <c r="AW336" s="636"/>
      <c r="AX336" s="636"/>
      <c r="AY336" s="636"/>
      <c r="AZ336" s="636"/>
      <c r="BA336" s="636"/>
      <c r="BB336" s="636"/>
      <c r="BC336" s="636"/>
      <c r="BD336" s="636"/>
      <c r="BE336" s="636"/>
      <c r="BF336" s="636"/>
      <c r="BG336" s="636"/>
      <c r="BH336" s="636"/>
      <c r="BI336" s="636"/>
      <c r="BJ336" s="636"/>
      <c r="BK336" s="636"/>
      <c r="BL336" s="636"/>
      <c r="BM336" s="636"/>
      <c r="BN336" s="636"/>
      <c r="BO336" s="636"/>
      <c r="BP336" s="636"/>
      <c r="BQ336" s="636"/>
      <c r="BR336" s="636"/>
      <c r="BS336" s="636"/>
      <c r="BT336" s="636"/>
      <c r="BU336" s="636"/>
      <c r="BV336" s="636"/>
      <c r="BW336" s="636"/>
      <c r="BX336" s="636"/>
      <c r="BY336" s="636"/>
      <c r="BZ336" s="636"/>
      <c r="CA336" s="636"/>
      <c r="CB336" s="636"/>
      <c r="CC336" s="636"/>
      <c r="CD336" s="636"/>
      <c r="CE336" s="636"/>
      <c r="CF336" s="636"/>
      <c r="CG336" s="636"/>
      <c r="CH336" s="636"/>
      <c r="CI336" s="637"/>
      <c r="CK336" s="1366"/>
    </row>
    <row r="337" spans="2:89" x14ac:dyDescent="0.25">
      <c r="B337" s="1023" t="s">
        <v>653</v>
      </c>
      <c r="C337" s="1024" t="s">
        <v>448</v>
      </c>
      <c r="D337" s="640" t="s">
        <v>449</v>
      </c>
      <c r="E337" s="641" t="s">
        <v>254</v>
      </c>
      <c r="F337" s="642">
        <v>2</v>
      </c>
      <c r="G337" s="635"/>
      <c r="H337" s="635"/>
      <c r="I337" s="635">
        <f t="shared" ref="I337:M337" si="177">H337+SUM(I338:I343)</f>
        <v>0</v>
      </c>
      <c r="J337" s="635">
        <f t="shared" si="177"/>
        <v>0</v>
      </c>
      <c r="K337" s="635">
        <f t="shared" si="177"/>
        <v>0</v>
      </c>
      <c r="L337" s="635">
        <f t="shared" si="177"/>
        <v>0</v>
      </c>
      <c r="M337" s="588">
        <f t="shared" si="177"/>
        <v>0</v>
      </c>
      <c r="N337" s="588">
        <f t="shared" ref="N337:BY337" si="178">M337+SUM(N338:N343)</f>
        <v>0</v>
      </c>
      <c r="O337" s="588">
        <f t="shared" si="178"/>
        <v>0</v>
      </c>
      <c r="P337" s="588">
        <f t="shared" si="178"/>
        <v>0</v>
      </c>
      <c r="Q337" s="588">
        <f t="shared" si="178"/>
        <v>0</v>
      </c>
      <c r="R337" s="588">
        <f t="shared" si="178"/>
        <v>0</v>
      </c>
      <c r="S337" s="588">
        <f t="shared" si="178"/>
        <v>0</v>
      </c>
      <c r="T337" s="588">
        <f t="shared" si="178"/>
        <v>0</v>
      </c>
      <c r="U337" s="588">
        <f t="shared" si="178"/>
        <v>0</v>
      </c>
      <c r="V337" s="588">
        <f t="shared" si="178"/>
        <v>0</v>
      </c>
      <c r="W337" s="588">
        <f t="shared" si="178"/>
        <v>0</v>
      </c>
      <c r="X337" s="588">
        <f t="shared" si="178"/>
        <v>0</v>
      </c>
      <c r="Y337" s="588">
        <f t="shared" si="178"/>
        <v>0</v>
      </c>
      <c r="Z337" s="588">
        <f t="shared" si="178"/>
        <v>0</v>
      </c>
      <c r="AA337" s="588">
        <f t="shared" si="178"/>
        <v>0</v>
      </c>
      <c r="AB337" s="588">
        <f t="shared" si="178"/>
        <v>0</v>
      </c>
      <c r="AC337" s="588">
        <f t="shared" si="178"/>
        <v>0</v>
      </c>
      <c r="AD337" s="588">
        <f t="shared" si="178"/>
        <v>0</v>
      </c>
      <c r="AE337" s="588">
        <f t="shared" si="178"/>
        <v>0</v>
      </c>
      <c r="AF337" s="588">
        <f t="shared" si="178"/>
        <v>0</v>
      </c>
      <c r="AG337" s="588">
        <f t="shared" si="178"/>
        <v>0</v>
      </c>
      <c r="AH337" s="588">
        <f t="shared" si="178"/>
        <v>0</v>
      </c>
      <c r="AI337" s="588">
        <f t="shared" si="178"/>
        <v>0</v>
      </c>
      <c r="AJ337" s="588">
        <f t="shared" si="178"/>
        <v>0</v>
      </c>
      <c r="AK337" s="588">
        <f t="shared" si="178"/>
        <v>0</v>
      </c>
      <c r="AL337" s="588">
        <f t="shared" si="178"/>
        <v>0</v>
      </c>
      <c r="AM337" s="588">
        <f t="shared" si="178"/>
        <v>0</v>
      </c>
      <c r="AN337" s="588">
        <f t="shared" si="178"/>
        <v>0</v>
      </c>
      <c r="AO337" s="588">
        <f t="shared" si="178"/>
        <v>0</v>
      </c>
      <c r="AP337" s="588">
        <f t="shared" si="178"/>
        <v>0</v>
      </c>
      <c r="AQ337" s="588">
        <f t="shared" si="178"/>
        <v>0</v>
      </c>
      <c r="AR337" s="588">
        <f t="shared" si="178"/>
        <v>0</v>
      </c>
      <c r="AS337" s="588">
        <f t="shared" si="178"/>
        <v>0</v>
      </c>
      <c r="AT337" s="588">
        <f t="shared" si="178"/>
        <v>0</v>
      </c>
      <c r="AU337" s="588">
        <f t="shared" si="178"/>
        <v>0</v>
      </c>
      <c r="AV337" s="588">
        <f t="shared" si="178"/>
        <v>0</v>
      </c>
      <c r="AW337" s="588">
        <f t="shared" si="178"/>
        <v>0</v>
      </c>
      <c r="AX337" s="588">
        <f t="shared" si="178"/>
        <v>0</v>
      </c>
      <c r="AY337" s="588">
        <f t="shared" si="178"/>
        <v>0</v>
      </c>
      <c r="AZ337" s="588">
        <f t="shared" si="178"/>
        <v>0</v>
      </c>
      <c r="BA337" s="588">
        <f t="shared" si="178"/>
        <v>0</v>
      </c>
      <c r="BB337" s="588">
        <f t="shared" si="178"/>
        <v>0</v>
      </c>
      <c r="BC337" s="588">
        <f t="shared" si="178"/>
        <v>0</v>
      </c>
      <c r="BD337" s="588">
        <f t="shared" si="178"/>
        <v>0</v>
      </c>
      <c r="BE337" s="588">
        <f t="shared" si="178"/>
        <v>0</v>
      </c>
      <c r="BF337" s="588">
        <f t="shared" si="178"/>
        <v>0</v>
      </c>
      <c r="BG337" s="588">
        <f t="shared" si="178"/>
        <v>0</v>
      </c>
      <c r="BH337" s="588">
        <f t="shared" si="178"/>
        <v>0</v>
      </c>
      <c r="BI337" s="588">
        <f t="shared" si="178"/>
        <v>0</v>
      </c>
      <c r="BJ337" s="588">
        <f t="shared" si="178"/>
        <v>0</v>
      </c>
      <c r="BK337" s="588">
        <f t="shared" si="178"/>
        <v>0</v>
      </c>
      <c r="BL337" s="588">
        <f t="shared" si="178"/>
        <v>0</v>
      </c>
      <c r="BM337" s="588">
        <f t="shared" si="178"/>
        <v>0</v>
      </c>
      <c r="BN337" s="588">
        <f t="shared" si="178"/>
        <v>0</v>
      </c>
      <c r="BO337" s="588">
        <f t="shared" si="178"/>
        <v>0</v>
      </c>
      <c r="BP337" s="588">
        <f t="shared" si="178"/>
        <v>0</v>
      </c>
      <c r="BQ337" s="588">
        <f t="shared" si="178"/>
        <v>0</v>
      </c>
      <c r="BR337" s="588">
        <f t="shared" si="178"/>
        <v>0</v>
      </c>
      <c r="BS337" s="588">
        <f t="shared" si="178"/>
        <v>0</v>
      </c>
      <c r="BT337" s="588">
        <f t="shared" si="178"/>
        <v>0</v>
      </c>
      <c r="BU337" s="588">
        <f t="shared" si="178"/>
        <v>0</v>
      </c>
      <c r="BV337" s="588">
        <f t="shared" si="178"/>
        <v>0</v>
      </c>
      <c r="BW337" s="588">
        <f t="shared" si="178"/>
        <v>0</v>
      </c>
      <c r="BX337" s="588">
        <f t="shared" si="178"/>
        <v>0</v>
      </c>
      <c r="BY337" s="588">
        <f t="shared" si="178"/>
        <v>0</v>
      </c>
      <c r="BZ337" s="588">
        <f t="shared" ref="BZ337:CI337" si="179">BY337+SUM(BZ338:BZ343)</f>
        <v>0</v>
      </c>
      <c r="CA337" s="588">
        <f t="shared" si="179"/>
        <v>0</v>
      </c>
      <c r="CB337" s="588">
        <f t="shared" si="179"/>
        <v>0</v>
      </c>
      <c r="CC337" s="588">
        <f t="shared" si="179"/>
        <v>0</v>
      </c>
      <c r="CD337" s="588">
        <f t="shared" si="179"/>
        <v>0</v>
      </c>
      <c r="CE337" s="588">
        <f t="shared" si="179"/>
        <v>0</v>
      </c>
      <c r="CF337" s="588">
        <f t="shared" si="179"/>
        <v>0</v>
      </c>
      <c r="CG337" s="588">
        <f t="shared" si="179"/>
        <v>0</v>
      </c>
      <c r="CH337" s="588">
        <f t="shared" si="179"/>
        <v>0</v>
      </c>
      <c r="CI337" s="584">
        <f t="shared" si="179"/>
        <v>0</v>
      </c>
      <c r="CK337" s="1366"/>
    </row>
    <row r="338" spans="2:89" x14ac:dyDescent="0.25">
      <c r="B338" s="1023" t="s">
        <v>654</v>
      </c>
      <c r="C338" s="1024" t="s">
        <v>451</v>
      </c>
      <c r="D338" s="640" t="s">
        <v>452</v>
      </c>
      <c r="E338" s="641" t="s">
        <v>254</v>
      </c>
      <c r="F338" s="642">
        <v>2</v>
      </c>
      <c r="G338" s="635"/>
      <c r="H338" s="635"/>
      <c r="I338" s="635"/>
      <c r="J338" s="635"/>
      <c r="K338" s="635"/>
      <c r="L338" s="635"/>
      <c r="M338" s="636"/>
      <c r="N338" s="636"/>
      <c r="O338" s="636"/>
      <c r="P338" s="636"/>
      <c r="Q338" s="636"/>
      <c r="R338" s="636"/>
      <c r="S338" s="636"/>
      <c r="T338" s="636"/>
      <c r="U338" s="636"/>
      <c r="V338" s="636"/>
      <c r="W338" s="636"/>
      <c r="X338" s="636"/>
      <c r="Y338" s="636"/>
      <c r="Z338" s="636"/>
      <c r="AA338" s="636"/>
      <c r="AB338" s="636"/>
      <c r="AC338" s="636"/>
      <c r="AD338" s="636"/>
      <c r="AE338" s="636"/>
      <c r="AF338" s="636"/>
      <c r="AG338" s="636"/>
      <c r="AH338" s="636"/>
      <c r="AI338" s="636"/>
      <c r="AJ338" s="636"/>
      <c r="AK338" s="636"/>
      <c r="AL338" s="636"/>
      <c r="AM338" s="636"/>
      <c r="AN338" s="636"/>
      <c r="AO338" s="636"/>
      <c r="AP338" s="636"/>
      <c r="AQ338" s="636"/>
      <c r="AR338" s="636"/>
      <c r="AS338" s="636"/>
      <c r="AT338" s="636"/>
      <c r="AU338" s="636"/>
      <c r="AV338" s="636"/>
      <c r="AW338" s="636"/>
      <c r="AX338" s="636"/>
      <c r="AY338" s="636"/>
      <c r="AZ338" s="636"/>
      <c r="BA338" s="636"/>
      <c r="BB338" s="636"/>
      <c r="BC338" s="636"/>
      <c r="BD338" s="636"/>
      <c r="BE338" s="636"/>
      <c r="BF338" s="636"/>
      <c r="BG338" s="636"/>
      <c r="BH338" s="636"/>
      <c r="BI338" s="636"/>
      <c r="BJ338" s="636"/>
      <c r="BK338" s="636"/>
      <c r="BL338" s="636"/>
      <c r="BM338" s="636"/>
      <c r="BN338" s="636"/>
      <c r="BO338" s="636"/>
      <c r="BP338" s="636"/>
      <c r="BQ338" s="636"/>
      <c r="BR338" s="636"/>
      <c r="BS338" s="636"/>
      <c r="BT338" s="636"/>
      <c r="BU338" s="636"/>
      <c r="BV338" s="636"/>
      <c r="BW338" s="636"/>
      <c r="BX338" s="636"/>
      <c r="BY338" s="636"/>
      <c r="BZ338" s="636"/>
      <c r="CA338" s="636"/>
      <c r="CB338" s="636"/>
      <c r="CC338" s="636"/>
      <c r="CD338" s="636"/>
      <c r="CE338" s="636"/>
      <c r="CF338" s="636"/>
      <c r="CG338" s="636"/>
      <c r="CH338" s="636"/>
      <c r="CI338" s="637"/>
      <c r="CK338" s="1366"/>
    </row>
    <row r="339" spans="2:89" x14ac:dyDescent="0.25">
      <c r="B339" s="1023" t="s">
        <v>655</v>
      </c>
      <c r="C339" s="1024" t="s">
        <v>454</v>
      </c>
      <c r="D339" s="640" t="s">
        <v>455</v>
      </c>
      <c r="E339" s="641" t="s">
        <v>254</v>
      </c>
      <c r="F339" s="642">
        <v>2</v>
      </c>
      <c r="G339" s="635"/>
      <c r="H339" s="635"/>
      <c r="I339" s="635"/>
      <c r="J339" s="635"/>
      <c r="K339" s="635"/>
      <c r="L339" s="635"/>
      <c r="M339" s="636"/>
      <c r="N339" s="636"/>
      <c r="O339" s="636"/>
      <c r="P339" s="636"/>
      <c r="Q339" s="636"/>
      <c r="R339" s="636"/>
      <c r="S339" s="636"/>
      <c r="T339" s="636"/>
      <c r="U339" s="636"/>
      <c r="V339" s="636"/>
      <c r="W339" s="636"/>
      <c r="X339" s="636"/>
      <c r="Y339" s="636"/>
      <c r="Z339" s="636"/>
      <c r="AA339" s="636"/>
      <c r="AB339" s="636"/>
      <c r="AC339" s="636"/>
      <c r="AD339" s="636"/>
      <c r="AE339" s="636"/>
      <c r="AF339" s="636"/>
      <c r="AG339" s="636"/>
      <c r="AH339" s="636"/>
      <c r="AI339" s="636"/>
      <c r="AJ339" s="636"/>
      <c r="AK339" s="636"/>
      <c r="AL339" s="636"/>
      <c r="AM339" s="636"/>
      <c r="AN339" s="636"/>
      <c r="AO339" s="636"/>
      <c r="AP339" s="636"/>
      <c r="AQ339" s="636"/>
      <c r="AR339" s="636"/>
      <c r="AS339" s="636"/>
      <c r="AT339" s="636"/>
      <c r="AU339" s="636"/>
      <c r="AV339" s="636"/>
      <c r="AW339" s="636"/>
      <c r="AX339" s="636"/>
      <c r="AY339" s="636"/>
      <c r="AZ339" s="636"/>
      <c r="BA339" s="636"/>
      <c r="BB339" s="636"/>
      <c r="BC339" s="636"/>
      <c r="BD339" s="636"/>
      <c r="BE339" s="636"/>
      <c r="BF339" s="636"/>
      <c r="BG339" s="636"/>
      <c r="BH339" s="636"/>
      <c r="BI339" s="636"/>
      <c r="BJ339" s="636"/>
      <c r="BK339" s="636"/>
      <c r="BL339" s="636"/>
      <c r="BM339" s="636"/>
      <c r="BN339" s="636"/>
      <c r="BO339" s="636"/>
      <c r="BP339" s="636"/>
      <c r="BQ339" s="636"/>
      <c r="BR339" s="636"/>
      <c r="BS339" s="636"/>
      <c r="BT339" s="636"/>
      <c r="BU339" s="636"/>
      <c r="BV339" s="636"/>
      <c r="BW339" s="636"/>
      <c r="BX339" s="636"/>
      <c r="BY339" s="636"/>
      <c r="BZ339" s="636"/>
      <c r="CA339" s="636"/>
      <c r="CB339" s="636"/>
      <c r="CC339" s="636"/>
      <c r="CD339" s="636"/>
      <c r="CE339" s="636"/>
      <c r="CF339" s="636"/>
      <c r="CG339" s="636"/>
      <c r="CH339" s="636"/>
      <c r="CI339" s="637"/>
      <c r="CK339" s="1366"/>
    </row>
    <row r="340" spans="2:89" x14ac:dyDescent="0.25">
      <c r="B340" s="1023" t="s">
        <v>656</v>
      </c>
      <c r="C340" s="1024" t="s">
        <v>457</v>
      </c>
      <c r="D340" s="640" t="s">
        <v>458</v>
      </c>
      <c r="E340" s="641" t="s">
        <v>254</v>
      </c>
      <c r="F340" s="642">
        <v>2</v>
      </c>
      <c r="G340" s="635"/>
      <c r="H340" s="635"/>
      <c r="I340" s="635"/>
      <c r="J340" s="635"/>
      <c r="K340" s="635"/>
      <c r="L340" s="635"/>
      <c r="M340" s="636"/>
      <c r="N340" s="636"/>
      <c r="O340" s="636"/>
      <c r="P340" s="636"/>
      <c r="Q340" s="636"/>
      <c r="R340" s="636"/>
      <c r="S340" s="636"/>
      <c r="T340" s="636"/>
      <c r="U340" s="636"/>
      <c r="V340" s="636"/>
      <c r="W340" s="636"/>
      <c r="X340" s="636"/>
      <c r="Y340" s="636"/>
      <c r="Z340" s="636"/>
      <c r="AA340" s="636"/>
      <c r="AB340" s="636"/>
      <c r="AC340" s="636"/>
      <c r="AD340" s="636"/>
      <c r="AE340" s="636"/>
      <c r="AF340" s="636"/>
      <c r="AG340" s="636"/>
      <c r="AH340" s="636"/>
      <c r="AI340" s="636"/>
      <c r="AJ340" s="636"/>
      <c r="AK340" s="636"/>
      <c r="AL340" s="636"/>
      <c r="AM340" s="636"/>
      <c r="AN340" s="636"/>
      <c r="AO340" s="636"/>
      <c r="AP340" s="636"/>
      <c r="AQ340" s="636"/>
      <c r="AR340" s="636"/>
      <c r="AS340" s="636"/>
      <c r="AT340" s="636"/>
      <c r="AU340" s="636"/>
      <c r="AV340" s="636"/>
      <c r="AW340" s="636"/>
      <c r="AX340" s="636"/>
      <c r="AY340" s="636"/>
      <c r="AZ340" s="636"/>
      <c r="BA340" s="636"/>
      <c r="BB340" s="636"/>
      <c r="BC340" s="636"/>
      <c r="BD340" s="636"/>
      <c r="BE340" s="636"/>
      <c r="BF340" s="636"/>
      <c r="BG340" s="636"/>
      <c r="BH340" s="636"/>
      <c r="BI340" s="636"/>
      <c r="BJ340" s="636"/>
      <c r="BK340" s="636"/>
      <c r="BL340" s="636"/>
      <c r="BM340" s="636"/>
      <c r="BN340" s="636"/>
      <c r="BO340" s="636"/>
      <c r="BP340" s="636"/>
      <c r="BQ340" s="636"/>
      <c r="BR340" s="636"/>
      <c r="BS340" s="636"/>
      <c r="BT340" s="636"/>
      <c r="BU340" s="636"/>
      <c r="BV340" s="636"/>
      <c r="BW340" s="636"/>
      <c r="BX340" s="636"/>
      <c r="BY340" s="636"/>
      <c r="BZ340" s="636"/>
      <c r="CA340" s="636"/>
      <c r="CB340" s="636"/>
      <c r="CC340" s="636"/>
      <c r="CD340" s="636"/>
      <c r="CE340" s="636"/>
      <c r="CF340" s="636"/>
      <c r="CG340" s="636"/>
      <c r="CH340" s="636"/>
      <c r="CI340" s="637"/>
      <c r="CK340" s="1366"/>
    </row>
    <row r="341" spans="2:89" ht="27.6" x14ac:dyDescent="0.25">
      <c r="B341" s="1023" t="s">
        <v>657</v>
      </c>
      <c r="C341" s="1024" t="s">
        <v>460</v>
      </c>
      <c r="D341" s="640" t="s">
        <v>461</v>
      </c>
      <c r="E341" s="641" t="s">
        <v>254</v>
      </c>
      <c r="F341" s="642">
        <v>2</v>
      </c>
      <c r="G341" s="635"/>
      <c r="H341" s="635"/>
      <c r="I341" s="635"/>
      <c r="J341" s="635"/>
      <c r="K341" s="635"/>
      <c r="L341" s="635"/>
      <c r="M341" s="636"/>
      <c r="N341" s="636"/>
      <c r="O341" s="636"/>
      <c r="P341" s="636"/>
      <c r="Q341" s="636"/>
      <c r="R341" s="636"/>
      <c r="S341" s="636"/>
      <c r="T341" s="636"/>
      <c r="U341" s="636"/>
      <c r="V341" s="636"/>
      <c r="W341" s="636"/>
      <c r="X341" s="636"/>
      <c r="Y341" s="636"/>
      <c r="Z341" s="636"/>
      <c r="AA341" s="636"/>
      <c r="AB341" s="636"/>
      <c r="AC341" s="636"/>
      <c r="AD341" s="636"/>
      <c r="AE341" s="636"/>
      <c r="AF341" s="636"/>
      <c r="AG341" s="636"/>
      <c r="AH341" s="636"/>
      <c r="AI341" s="636"/>
      <c r="AJ341" s="636"/>
      <c r="AK341" s="636"/>
      <c r="AL341" s="636"/>
      <c r="AM341" s="636"/>
      <c r="AN341" s="636"/>
      <c r="AO341" s="636"/>
      <c r="AP341" s="636"/>
      <c r="AQ341" s="636"/>
      <c r="AR341" s="636"/>
      <c r="AS341" s="636"/>
      <c r="AT341" s="636"/>
      <c r="AU341" s="636"/>
      <c r="AV341" s="636"/>
      <c r="AW341" s="636"/>
      <c r="AX341" s="636"/>
      <c r="AY341" s="636"/>
      <c r="AZ341" s="636"/>
      <c r="BA341" s="636"/>
      <c r="BB341" s="636"/>
      <c r="BC341" s="636"/>
      <c r="BD341" s="636"/>
      <c r="BE341" s="636"/>
      <c r="BF341" s="636"/>
      <c r="BG341" s="636"/>
      <c r="BH341" s="636"/>
      <c r="BI341" s="636"/>
      <c r="BJ341" s="636"/>
      <c r="BK341" s="636"/>
      <c r="BL341" s="636"/>
      <c r="BM341" s="636"/>
      <c r="BN341" s="636"/>
      <c r="BO341" s="636"/>
      <c r="BP341" s="636"/>
      <c r="BQ341" s="636"/>
      <c r="BR341" s="636"/>
      <c r="BS341" s="636"/>
      <c r="BT341" s="636"/>
      <c r="BU341" s="636"/>
      <c r="BV341" s="636"/>
      <c r="BW341" s="636"/>
      <c r="BX341" s="636"/>
      <c r="BY341" s="636"/>
      <c r="BZ341" s="636"/>
      <c r="CA341" s="636"/>
      <c r="CB341" s="636"/>
      <c r="CC341" s="636"/>
      <c r="CD341" s="636"/>
      <c r="CE341" s="636"/>
      <c r="CF341" s="636"/>
      <c r="CG341" s="636"/>
      <c r="CH341" s="636"/>
      <c r="CI341" s="637"/>
      <c r="CK341" s="1366"/>
    </row>
    <row r="342" spans="2:89" x14ac:dyDescent="0.25">
      <c r="B342" s="1023" t="s">
        <v>658</v>
      </c>
      <c r="C342" s="1024" t="s">
        <v>463</v>
      </c>
      <c r="D342" s="640" t="s">
        <v>464</v>
      </c>
      <c r="E342" s="641" t="s">
        <v>254</v>
      </c>
      <c r="F342" s="642">
        <v>2</v>
      </c>
      <c r="G342" s="635"/>
      <c r="H342" s="635"/>
      <c r="I342" s="635"/>
      <c r="J342" s="635"/>
      <c r="K342" s="635"/>
      <c r="L342" s="635"/>
      <c r="M342" s="636"/>
      <c r="N342" s="636"/>
      <c r="O342" s="636"/>
      <c r="P342" s="636"/>
      <c r="Q342" s="636"/>
      <c r="R342" s="636"/>
      <c r="S342" s="636"/>
      <c r="T342" s="636"/>
      <c r="U342" s="636"/>
      <c r="V342" s="636"/>
      <c r="W342" s="636"/>
      <c r="X342" s="636"/>
      <c r="Y342" s="636"/>
      <c r="Z342" s="636"/>
      <c r="AA342" s="636"/>
      <c r="AB342" s="636"/>
      <c r="AC342" s="636"/>
      <c r="AD342" s="636"/>
      <c r="AE342" s="636"/>
      <c r="AF342" s="636"/>
      <c r="AG342" s="636"/>
      <c r="AH342" s="636"/>
      <c r="AI342" s="636"/>
      <c r="AJ342" s="636"/>
      <c r="AK342" s="636"/>
      <c r="AL342" s="636"/>
      <c r="AM342" s="636"/>
      <c r="AN342" s="636"/>
      <c r="AO342" s="636"/>
      <c r="AP342" s="636"/>
      <c r="AQ342" s="636"/>
      <c r="AR342" s="636"/>
      <c r="AS342" s="636"/>
      <c r="AT342" s="636"/>
      <c r="AU342" s="636"/>
      <c r="AV342" s="636"/>
      <c r="AW342" s="636"/>
      <c r="AX342" s="636"/>
      <c r="AY342" s="636"/>
      <c r="AZ342" s="636"/>
      <c r="BA342" s="636"/>
      <c r="BB342" s="636"/>
      <c r="BC342" s="636"/>
      <c r="BD342" s="636"/>
      <c r="BE342" s="636"/>
      <c r="BF342" s="636"/>
      <c r="BG342" s="636"/>
      <c r="BH342" s="636"/>
      <c r="BI342" s="636"/>
      <c r="BJ342" s="636"/>
      <c r="BK342" s="636"/>
      <c r="BL342" s="636"/>
      <c r="BM342" s="636"/>
      <c r="BN342" s="636"/>
      <c r="BO342" s="636"/>
      <c r="BP342" s="636"/>
      <c r="BQ342" s="636"/>
      <c r="BR342" s="636"/>
      <c r="BS342" s="636"/>
      <c r="BT342" s="636"/>
      <c r="BU342" s="636"/>
      <c r="BV342" s="636"/>
      <c r="BW342" s="636"/>
      <c r="BX342" s="636"/>
      <c r="BY342" s="636"/>
      <c r="BZ342" s="636"/>
      <c r="CA342" s="636"/>
      <c r="CB342" s="636"/>
      <c r="CC342" s="636"/>
      <c r="CD342" s="636"/>
      <c r="CE342" s="636"/>
      <c r="CF342" s="636"/>
      <c r="CG342" s="636"/>
      <c r="CH342" s="636"/>
      <c r="CI342" s="637"/>
      <c r="CK342" s="1366"/>
    </row>
    <row r="343" spans="2:89" ht="27.6" x14ac:dyDescent="0.25">
      <c r="B343" s="1023" t="s">
        <v>659</v>
      </c>
      <c r="C343" s="1024" t="s">
        <v>466</v>
      </c>
      <c r="D343" s="640" t="s">
        <v>467</v>
      </c>
      <c r="E343" s="641" t="s">
        <v>254</v>
      </c>
      <c r="F343" s="642">
        <v>2</v>
      </c>
      <c r="G343" s="635"/>
      <c r="H343" s="635"/>
      <c r="I343" s="635"/>
      <c r="J343" s="635"/>
      <c r="K343" s="635"/>
      <c r="L343" s="635"/>
      <c r="M343" s="636"/>
      <c r="N343" s="636"/>
      <c r="O343" s="636"/>
      <c r="P343" s="636"/>
      <c r="Q343" s="636"/>
      <c r="R343" s="636"/>
      <c r="S343" s="636"/>
      <c r="T343" s="636"/>
      <c r="U343" s="636"/>
      <c r="V343" s="636"/>
      <c r="W343" s="636"/>
      <c r="X343" s="636"/>
      <c r="Y343" s="636"/>
      <c r="Z343" s="636"/>
      <c r="AA343" s="636"/>
      <c r="AB343" s="636"/>
      <c r="AC343" s="636"/>
      <c r="AD343" s="636"/>
      <c r="AE343" s="636"/>
      <c r="AF343" s="636"/>
      <c r="AG343" s="636"/>
      <c r="AH343" s="636"/>
      <c r="AI343" s="636"/>
      <c r="AJ343" s="636"/>
      <c r="AK343" s="636"/>
      <c r="AL343" s="636"/>
      <c r="AM343" s="636"/>
      <c r="AN343" s="636"/>
      <c r="AO343" s="636"/>
      <c r="AP343" s="636"/>
      <c r="AQ343" s="636"/>
      <c r="AR343" s="636"/>
      <c r="AS343" s="636"/>
      <c r="AT343" s="636"/>
      <c r="AU343" s="636"/>
      <c r="AV343" s="636"/>
      <c r="AW343" s="636"/>
      <c r="AX343" s="636"/>
      <c r="AY343" s="636"/>
      <c r="AZ343" s="636"/>
      <c r="BA343" s="636"/>
      <c r="BB343" s="636"/>
      <c r="BC343" s="636"/>
      <c r="BD343" s="636"/>
      <c r="BE343" s="636"/>
      <c r="BF343" s="636"/>
      <c r="BG343" s="636"/>
      <c r="BH343" s="636"/>
      <c r="BI343" s="636"/>
      <c r="BJ343" s="636"/>
      <c r="BK343" s="636"/>
      <c r="BL343" s="636"/>
      <c r="BM343" s="636"/>
      <c r="BN343" s="636"/>
      <c r="BO343" s="636"/>
      <c r="BP343" s="636"/>
      <c r="BQ343" s="636"/>
      <c r="BR343" s="636"/>
      <c r="BS343" s="636"/>
      <c r="BT343" s="636"/>
      <c r="BU343" s="636"/>
      <c r="BV343" s="636"/>
      <c r="BW343" s="636"/>
      <c r="BX343" s="636"/>
      <c r="BY343" s="636"/>
      <c r="BZ343" s="636"/>
      <c r="CA343" s="636"/>
      <c r="CB343" s="636"/>
      <c r="CC343" s="636"/>
      <c r="CD343" s="636"/>
      <c r="CE343" s="636"/>
      <c r="CF343" s="636"/>
      <c r="CG343" s="636"/>
      <c r="CH343" s="636"/>
      <c r="CI343" s="637"/>
      <c r="CK343" s="1366"/>
    </row>
    <row r="344" spans="2:89" x14ac:dyDescent="0.25">
      <c r="B344" s="1023" t="s">
        <v>660</v>
      </c>
      <c r="C344" s="1024" t="s">
        <v>469</v>
      </c>
      <c r="D344" s="968" t="s">
        <v>79</v>
      </c>
      <c r="E344" s="1010" t="s">
        <v>254</v>
      </c>
      <c r="F344" s="1011">
        <v>2</v>
      </c>
      <c r="G344" s="635"/>
      <c r="H344" s="635"/>
      <c r="I344" s="635"/>
      <c r="J344" s="635"/>
      <c r="K344" s="635"/>
      <c r="L344" s="635"/>
      <c r="M344" s="636"/>
      <c r="N344" s="636"/>
      <c r="O344" s="636"/>
      <c r="P344" s="636"/>
      <c r="Q344" s="636"/>
      <c r="R344" s="636"/>
      <c r="S344" s="636"/>
      <c r="T344" s="636"/>
      <c r="U344" s="636"/>
      <c r="V344" s="636"/>
      <c r="W344" s="636"/>
      <c r="X344" s="636"/>
      <c r="Y344" s="636"/>
      <c r="Z344" s="636"/>
      <c r="AA344" s="636"/>
      <c r="AB344" s="636"/>
      <c r="AC344" s="636"/>
      <c r="AD344" s="636"/>
      <c r="AE344" s="636"/>
      <c r="AF344" s="636"/>
      <c r="AG344" s="636"/>
      <c r="AH344" s="636"/>
      <c r="AI344" s="636"/>
      <c r="AJ344" s="636"/>
      <c r="AK344" s="636"/>
      <c r="AL344" s="636"/>
      <c r="AM344" s="636"/>
      <c r="AN344" s="636"/>
      <c r="AO344" s="636"/>
      <c r="AP344" s="636"/>
      <c r="AQ344" s="636"/>
      <c r="AR344" s="636"/>
      <c r="AS344" s="636"/>
      <c r="AT344" s="636"/>
      <c r="AU344" s="636"/>
      <c r="AV344" s="636"/>
      <c r="AW344" s="636"/>
      <c r="AX344" s="636"/>
      <c r="AY344" s="636"/>
      <c r="AZ344" s="636"/>
      <c r="BA344" s="636"/>
      <c r="BB344" s="636"/>
      <c r="BC344" s="636"/>
      <c r="BD344" s="636"/>
      <c r="BE344" s="636"/>
      <c r="BF344" s="636"/>
      <c r="BG344" s="636"/>
      <c r="BH344" s="636"/>
      <c r="BI344" s="636"/>
      <c r="BJ344" s="636"/>
      <c r="BK344" s="636"/>
      <c r="BL344" s="636"/>
      <c r="BM344" s="636"/>
      <c r="BN344" s="636"/>
      <c r="BO344" s="636"/>
      <c r="BP344" s="636"/>
      <c r="BQ344" s="636"/>
      <c r="BR344" s="636"/>
      <c r="BS344" s="636"/>
      <c r="BT344" s="636"/>
      <c r="BU344" s="636"/>
      <c r="BV344" s="636"/>
      <c r="BW344" s="636"/>
      <c r="BX344" s="636"/>
      <c r="BY344" s="636"/>
      <c r="BZ344" s="636"/>
      <c r="CA344" s="636"/>
      <c r="CB344" s="636"/>
      <c r="CC344" s="636"/>
      <c r="CD344" s="636"/>
      <c r="CE344" s="636"/>
      <c r="CF344" s="636"/>
      <c r="CG344" s="636"/>
      <c r="CH344" s="636"/>
      <c r="CI344" s="637"/>
      <c r="CK344" s="1366"/>
    </row>
    <row r="345" spans="2:89" x14ac:dyDescent="0.25">
      <c r="B345" s="1023" t="s">
        <v>661</v>
      </c>
      <c r="C345" s="1024" t="s">
        <v>471</v>
      </c>
      <c r="D345" s="968" t="s">
        <v>79</v>
      </c>
      <c r="E345" s="1010" t="s">
        <v>254</v>
      </c>
      <c r="F345" s="1011">
        <v>2</v>
      </c>
      <c r="G345" s="635"/>
      <c r="H345" s="635"/>
      <c r="I345" s="635"/>
      <c r="J345" s="635"/>
      <c r="K345" s="635"/>
      <c r="L345" s="635"/>
      <c r="M345" s="636"/>
      <c r="N345" s="636"/>
      <c r="O345" s="636"/>
      <c r="P345" s="636"/>
      <c r="Q345" s="636"/>
      <c r="R345" s="636"/>
      <c r="S345" s="636"/>
      <c r="T345" s="636"/>
      <c r="U345" s="636"/>
      <c r="V345" s="636"/>
      <c r="W345" s="636"/>
      <c r="X345" s="636"/>
      <c r="Y345" s="636"/>
      <c r="Z345" s="636"/>
      <c r="AA345" s="636"/>
      <c r="AB345" s="636"/>
      <c r="AC345" s="636"/>
      <c r="AD345" s="636"/>
      <c r="AE345" s="636"/>
      <c r="AF345" s="636"/>
      <c r="AG345" s="636"/>
      <c r="AH345" s="636"/>
      <c r="AI345" s="636"/>
      <c r="AJ345" s="636"/>
      <c r="AK345" s="636"/>
      <c r="AL345" s="636"/>
      <c r="AM345" s="636"/>
      <c r="AN345" s="636"/>
      <c r="AO345" s="636"/>
      <c r="AP345" s="636"/>
      <c r="AQ345" s="636"/>
      <c r="AR345" s="636"/>
      <c r="AS345" s="636"/>
      <c r="AT345" s="636"/>
      <c r="AU345" s="636"/>
      <c r="AV345" s="636"/>
      <c r="AW345" s="636"/>
      <c r="AX345" s="636"/>
      <c r="AY345" s="636"/>
      <c r="AZ345" s="636"/>
      <c r="BA345" s="636"/>
      <c r="BB345" s="636"/>
      <c r="BC345" s="636"/>
      <c r="BD345" s="636"/>
      <c r="BE345" s="636"/>
      <c r="BF345" s="636"/>
      <c r="BG345" s="636"/>
      <c r="BH345" s="636"/>
      <c r="BI345" s="636"/>
      <c r="BJ345" s="636"/>
      <c r="BK345" s="636"/>
      <c r="BL345" s="636"/>
      <c r="BM345" s="636"/>
      <c r="BN345" s="636"/>
      <c r="BO345" s="636"/>
      <c r="BP345" s="636"/>
      <c r="BQ345" s="636"/>
      <c r="BR345" s="636"/>
      <c r="BS345" s="636"/>
      <c r="BT345" s="636"/>
      <c r="BU345" s="636"/>
      <c r="BV345" s="636"/>
      <c r="BW345" s="636"/>
      <c r="BX345" s="636"/>
      <c r="BY345" s="636"/>
      <c r="BZ345" s="636"/>
      <c r="CA345" s="636"/>
      <c r="CB345" s="636"/>
      <c r="CC345" s="636"/>
      <c r="CD345" s="636"/>
      <c r="CE345" s="636"/>
      <c r="CF345" s="636"/>
      <c r="CG345" s="636"/>
      <c r="CH345" s="636"/>
      <c r="CI345" s="637"/>
      <c r="CK345" s="1366"/>
    </row>
    <row r="346" spans="2:89" x14ac:dyDescent="0.25">
      <c r="B346" s="1023" t="s">
        <v>662</v>
      </c>
      <c r="C346" s="1024" t="s">
        <v>473</v>
      </c>
      <c r="D346" s="968" t="s">
        <v>79</v>
      </c>
      <c r="E346" s="1010" t="s">
        <v>254</v>
      </c>
      <c r="F346" s="1011">
        <v>2</v>
      </c>
      <c r="G346" s="635"/>
      <c r="H346" s="635"/>
      <c r="I346" s="635"/>
      <c r="J346" s="635"/>
      <c r="K346" s="635"/>
      <c r="L346" s="635"/>
      <c r="M346" s="636"/>
      <c r="N346" s="636"/>
      <c r="O346" s="636"/>
      <c r="P346" s="636"/>
      <c r="Q346" s="636"/>
      <c r="R346" s="636"/>
      <c r="S346" s="636"/>
      <c r="T346" s="636"/>
      <c r="U346" s="636"/>
      <c r="V346" s="636"/>
      <c r="W346" s="636"/>
      <c r="X346" s="636"/>
      <c r="Y346" s="636"/>
      <c r="Z346" s="636"/>
      <c r="AA346" s="636"/>
      <c r="AB346" s="636"/>
      <c r="AC346" s="636"/>
      <c r="AD346" s="636"/>
      <c r="AE346" s="636"/>
      <c r="AF346" s="636"/>
      <c r="AG346" s="636"/>
      <c r="AH346" s="636"/>
      <c r="AI346" s="636"/>
      <c r="AJ346" s="636"/>
      <c r="AK346" s="636"/>
      <c r="AL346" s="636"/>
      <c r="AM346" s="636"/>
      <c r="AN346" s="636"/>
      <c r="AO346" s="636"/>
      <c r="AP346" s="636"/>
      <c r="AQ346" s="636"/>
      <c r="AR346" s="636"/>
      <c r="AS346" s="636"/>
      <c r="AT346" s="636"/>
      <c r="AU346" s="636"/>
      <c r="AV346" s="636"/>
      <c r="AW346" s="636"/>
      <c r="AX346" s="636"/>
      <c r="AY346" s="636"/>
      <c r="AZ346" s="636"/>
      <c r="BA346" s="636"/>
      <c r="BB346" s="636"/>
      <c r="BC346" s="636"/>
      <c r="BD346" s="636"/>
      <c r="BE346" s="636"/>
      <c r="BF346" s="636"/>
      <c r="BG346" s="636"/>
      <c r="BH346" s="636"/>
      <c r="BI346" s="636"/>
      <c r="BJ346" s="636"/>
      <c r="BK346" s="636"/>
      <c r="BL346" s="636"/>
      <c r="BM346" s="636"/>
      <c r="BN346" s="636"/>
      <c r="BO346" s="636"/>
      <c r="BP346" s="636"/>
      <c r="BQ346" s="636"/>
      <c r="BR346" s="636"/>
      <c r="BS346" s="636"/>
      <c r="BT346" s="636"/>
      <c r="BU346" s="636"/>
      <c r="BV346" s="636"/>
      <c r="BW346" s="636"/>
      <c r="BX346" s="636"/>
      <c r="BY346" s="636"/>
      <c r="BZ346" s="636"/>
      <c r="CA346" s="636"/>
      <c r="CB346" s="636"/>
      <c r="CC346" s="636"/>
      <c r="CD346" s="636"/>
      <c r="CE346" s="636"/>
      <c r="CF346" s="636"/>
      <c r="CG346" s="636"/>
      <c r="CH346" s="636"/>
      <c r="CI346" s="637"/>
      <c r="CK346" s="1366"/>
    </row>
    <row r="347" spans="2:89" ht="28.2" thickBot="1" x14ac:dyDescent="0.3">
      <c r="B347" s="1025" t="s">
        <v>663</v>
      </c>
      <c r="C347" s="1026" t="s">
        <v>475</v>
      </c>
      <c r="D347" s="1027" t="s">
        <v>664</v>
      </c>
      <c r="E347" s="1028" t="s">
        <v>254</v>
      </c>
      <c r="F347" s="1029">
        <v>2</v>
      </c>
      <c r="G347" s="779"/>
      <c r="H347" s="779"/>
      <c r="I347" s="779">
        <f t="shared" ref="I347:BS347" si="180">SUM(I334:I337)+I344+I345+I346</f>
        <v>0</v>
      </c>
      <c r="J347" s="779">
        <f t="shared" si="180"/>
        <v>0</v>
      </c>
      <c r="K347" s="779">
        <f t="shared" si="180"/>
        <v>0</v>
      </c>
      <c r="L347" s="779">
        <f t="shared" si="180"/>
        <v>0</v>
      </c>
      <c r="M347" s="779">
        <f t="shared" si="180"/>
        <v>0</v>
      </c>
      <c r="N347" s="779">
        <f t="shared" si="180"/>
        <v>0</v>
      </c>
      <c r="O347" s="779">
        <f t="shared" si="180"/>
        <v>0</v>
      </c>
      <c r="P347" s="779">
        <f t="shared" si="180"/>
        <v>0</v>
      </c>
      <c r="Q347" s="779">
        <f t="shared" si="180"/>
        <v>0</v>
      </c>
      <c r="R347" s="779">
        <f t="shared" si="180"/>
        <v>0</v>
      </c>
      <c r="S347" s="779">
        <f t="shared" si="180"/>
        <v>0</v>
      </c>
      <c r="T347" s="779">
        <f t="shared" si="180"/>
        <v>0</v>
      </c>
      <c r="U347" s="779">
        <f t="shared" si="180"/>
        <v>0</v>
      </c>
      <c r="V347" s="779">
        <f t="shared" si="180"/>
        <v>0</v>
      </c>
      <c r="W347" s="779">
        <f t="shared" si="180"/>
        <v>0</v>
      </c>
      <c r="X347" s="779">
        <f t="shared" si="180"/>
        <v>0</v>
      </c>
      <c r="Y347" s="779">
        <f t="shared" si="180"/>
        <v>0</v>
      </c>
      <c r="Z347" s="779">
        <f t="shared" si="180"/>
        <v>0</v>
      </c>
      <c r="AA347" s="779">
        <f t="shared" si="180"/>
        <v>0</v>
      </c>
      <c r="AB347" s="779">
        <f t="shared" si="180"/>
        <v>0</v>
      </c>
      <c r="AC347" s="779">
        <f t="shared" si="180"/>
        <v>0</v>
      </c>
      <c r="AD347" s="779">
        <f t="shared" si="180"/>
        <v>0</v>
      </c>
      <c r="AE347" s="779">
        <f t="shared" si="180"/>
        <v>0</v>
      </c>
      <c r="AF347" s="779">
        <f t="shared" si="180"/>
        <v>0</v>
      </c>
      <c r="AG347" s="779">
        <f t="shared" si="180"/>
        <v>0</v>
      </c>
      <c r="AH347" s="779">
        <f t="shared" si="180"/>
        <v>0</v>
      </c>
      <c r="AI347" s="779">
        <f t="shared" si="180"/>
        <v>0</v>
      </c>
      <c r="AJ347" s="779">
        <f t="shared" si="180"/>
        <v>0</v>
      </c>
      <c r="AK347" s="779">
        <f t="shared" si="180"/>
        <v>0</v>
      </c>
      <c r="AL347" s="779">
        <f t="shared" si="180"/>
        <v>0</v>
      </c>
      <c r="AM347" s="779">
        <f t="shared" si="180"/>
        <v>0</v>
      </c>
      <c r="AN347" s="779">
        <f t="shared" si="180"/>
        <v>0</v>
      </c>
      <c r="AO347" s="779">
        <f t="shared" si="180"/>
        <v>0</v>
      </c>
      <c r="AP347" s="779">
        <f t="shared" si="180"/>
        <v>0</v>
      </c>
      <c r="AQ347" s="779">
        <f t="shared" si="180"/>
        <v>0</v>
      </c>
      <c r="AR347" s="779">
        <f t="shared" si="180"/>
        <v>0</v>
      </c>
      <c r="AS347" s="779">
        <f t="shared" si="180"/>
        <v>0</v>
      </c>
      <c r="AT347" s="779">
        <f t="shared" si="180"/>
        <v>0</v>
      </c>
      <c r="AU347" s="779">
        <f t="shared" si="180"/>
        <v>0</v>
      </c>
      <c r="AV347" s="779">
        <f t="shared" si="180"/>
        <v>0</v>
      </c>
      <c r="AW347" s="779">
        <f t="shared" si="180"/>
        <v>0</v>
      </c>
      <c r="AX347" s="779">
        <f t="shared" si="180"/>
        <v>0</v>
      </c>
      <c r="AY347" s="779">
        <f t="shared" si="180"/>
        <v>0</v>
      </c>
      <c r="AZ347" s="779">
        <f t="shared" si="180"/>
        <v>0</v>
      </c>
      <c r="BA347" s="779">
        <f t="shared" si="180"/>
        <v>0</v>
      </c>
      <c r="BB347" s="779">
        <f t="shared" si="180"/>
        <v>0</v>
      </c>
      <c r="BC347" s="779">
        <f t="shared" si="180"/>
        <v>0</v>
      </c>
      <c r="BD347" s="779">
        <f t="shared" si="180"/>
        <v>0</v>
      </c>
      <c r="BE347" s="779">
        <f t="shared" si="180"/>
        <v>0</v>
      </c>
      <c r="BF347" s="779">
        <f t="shared" si="180"/>
        <v>0</v>
      </c>
      <c r="BG347" s="779">
        <f t="shared" si="180"/>
        <v>0</v>
      </c>
      <c r="BH347" s="779">
        <f t="shared" si="180"/>
        <v>0</v>
      </c>
      <c r="BI347" s="779">
        <f t="shared" si="180"/>
        <v>0</v>
      </c>
      <c r="BJ347" s="779">
        <f t="shared" si="180"/>
        <v>0</v>
      </c>
      <c r="BK347" s="779">
        <f t="shared" si="180"/>
        <v>0</v>
      </c>
      <c r="BL347" s="779">
        <f t="shared" si="180"/>
        <v>0</v>
      </c>
      <c r="BM347" s="779">
        <f t="shared" si="180"/>
        <v>0</v>
      </c>
      <c r="BN347" s="779">
        <f t="shared" si="180"/>
        <v>0</v>
      </c>
      <c r="BO347" s="779">
        <f t="shared" si="180"/>
        <v>0</v>
      </c>
      <c r="BP347" s="779">
        <f t="shared" si="180"/>
        <v>0</v>
      </c>
      <c r="BQ347" s="779">
        <f t="shared" si="180"/>
        <v>0</v>
      </c>
      <c r="BR347" s="779">
        <f t="shared" si="180"/>
        <v>0</v>
      </c>
      <c r="BS347" s="779">
        <f t="shared" si="180"/>
        <v>0</v>
      </c>
      <c r="BT347" s="779">
        <f t="shared" ref="BT347:CI347" si="181">SUM(BT334:BT337)+BT344+BT345+BT346</f>
        <v>0</v>
      </c>
      <c r="BU347" s="779">
        <f t="shared" si="181"/>
        <v>0</v>
      </c>
      <c r="BV347" s="779">
        <f t="shared" si="181"/>
        <v>0</v>
      </c>
      <c r="BW347" s="779">
        <f t="shared" si="181"/>
        <v>0</v>
      </c>
      <c r="BX347" s="779">
        <f t="shared" si="181"/>
        <v>0</v>
      </c>
      <c r="BY347" s="779">
        <f t="shared" si="181"/>
        <v>0</v>
      </c>
      <c r="BZ347" s="779">
        <f t="shared" si="181"/>
        <v>0</v>
      </c>
      <c r="CA347" s="779">
        <f t="shared" si="181"/>
        <v>0</v>
      </c>
      <c r="CB347" s="779">
        <f t="shared" si="181"/>
        <v>0</v>
      </c>
      <c r="CC347" s="779">
        <f t="shared" si="181"/>
        <v>0</v>
      </c>
      <c r="CD347" s="779">
        <f t="shared" si="181"/>
        <v>0</v>
      </c>
      <c r="CE347" s="779">
        <f t="shared" si="181"/>
        <v>0</v>
      </c>
      <c r="CF347" s="779">
        <f t="shared" si="181"/>
        <v>0</v>
      </c>
      <c r="CG347" s="779">
        <f t="shared" si="181"/>
        <v>0</v>
      </c>
      <c r="CH347" s="779">
        <f t="shared" si="181"/>
        <v>0</v>
      </c>
      <c r="CI347" s="779">
        <f t="shared" si="181"/>
        <v>0</v>
      </c>
      <c r="CK347" s="1366"/>
    </row>
    <row r="348" spans="2:89" x14ac:dyDescent="0.25">
      <c r="B348" s="983" t="s">
        <v>665</v>
      </c>
      <c r="C348" s="984" t="s">
        <v>478</v>
      </c>
      <c r="D348" s="975" t="s">
        <v>79</v>
      </c>
      <c r="E348" s="1030" t="s">
        <v>254</v>
      </c>
      <c r="F348" s="1031">
        <v>2</v>
      </c>
      <c r="G348" s="631"/>
      <c r="H348" s="631"/>
      <c r="I348" s="631"/>
      <c r="J348" s="631"/>
      <c r="K348" s="631"/>
      <c r="L348" s="631"/>
      <c r="M348" s="632"/>
      <c r="N348" s="632"/>
      <c r="O348" s="632"/>
      <c r="P348" s="632"/>
      <c r="Q348" s="632"/>
      <c r="R348" s="632"/>
      <c r="S348" s="632"/>
      <c r="T348" s="632"/>
      <c r="U348" s="632"/>
      <c r="V348" s="632"/>
      <c r="W348" s="632"/>
      <c r="X348" s="632"/>
      <c r="Y348" s="632"/>
      <c r="Z348" s="632"/>
      <c r="AA348" s="632"/>
      <c r="AB348" s="632"/>
      <c r="AC348" s="632"/>
      <c r="AD348" s="632"/>
      <c r="AE348" s="632"/>
      <c r="AF348" s="632"/>
      <c r="AG348" s="632"/>
      <c r="AH348" s="632"/>
      <c r="AI348" s="632"/>
      <c r="AJ348" s="632"/>
      <c r="AK348" s="632"/>
      <c r="AL348" s="632"/>
      <c r="AM348" s="632"/>
      <c r="AN348" s="632"/>
      <c r="AO348" s="632"/>
      <c r="AP348" s="632"/>
      <c r="AQ348" s="632"/>
      <c r="AR348" s="632"/>
      <c r="AS348" s="632"/>
      <c r="AT348" s="632"/>
      <c r="AU348" s="632"/>
      <c r="AV348" s="632"/>
      <c r="AW348" s="632"/>
      <c r="AX348" s="632"/>
      <c r="AY348" s="632"/>
      <c r="AZ348" s="632"/>
      <c r="BA348" s="632"/>
      <c r="BB348" s="632"/>
      <c r="BC348" s="632"/>
      <c r="BD348" s="632"/>
      <c r="BE348" s="632"/>
      <c r="BF348" s="632"/>
      <c r="BG348" s="632"/>
      <c r="BH348" s="632"/>
      <c r="BI348" s="632"/>
      <c r="BJ348" s="632"/>
      <c r="BK348" s="632"/>
      <c r="BL348" s="632"/>
      <c r="BM348" s="632"/>
      <c r="BN348" s="632"/>
      <c r="BO348" s="632"/>
      <c r="BP348" s="632"/>
      <c r="BQ348" s="632"/>
      <c r="BR348" s="632"/>
      <c r="BS348" s="632"/>
      <c r="BT348" s="632"/>
      <c r="BU348" s="632"/>
      <c r="BV348" s="632"/>
      <c r="BW348" s="632"/>
      <c r="BX348" s="632"/>
      <c r="BY348" s="632"/>
      <c r="BZ348" s="632"/>
      <c r="CA348" s="632"/>
      <c r="CB348" s="632"/>
      <c r="CC348" s="632"/>
      <c r="CD348" s="632"/>
      <c r="CE348" s="632"/>
      <c r="CF348" s="632"/>
      <c r="CG348" s="632"/>
      <c r="CH348" s="632"/>
      <c r="CI348" s="633"/>
      <c r="CK348" s="1366"/>
    </row>
    <row r="349" spans="2:89" x14ac:dyDescent="0.25">
      <c r="B349" s="990" t="s">
        <v>666</v>
      </c>
      <c r="C349" s="951" t="s">
        <v>480</v>
      </c>
      <c r="D349" s="957" t="s">
        <v>79</v>
      </c>
      <c r="E349" s="1032" t="s">
        <v>254</v>
      </c>
      <c r="F349" s="1033">
        <v>2</v>
      </c>
      <c r="G349" s="635"/>
      <c r="H349" s="635"/>
      <c r="I349" s="635"/>
      <c r="J349" s="635"/>
      <c r="K349" s="635"/>
      <c r="L349" s="635"/>
      <c r="M349" s="636"/>
      <c r="N349" s="636"/>
      <c r="O349" s="636"/>
      <c r="P349" s="636"/>
      <c r="Q349" s="636"/>
      <c r="R349" s="636"/>
      <c r="S349" s="636"/>
      <c r="T349" s="636"/>
      <c r="U349" s="636"/>
      <c r="V349" s="636"/>
      <c r="W349" s="636"/>
      <c r="X349" s="636"/>
      <c r="Y349" s="636"/>
      <c r="Z349" s="636"/>
      <c r="AA349" s="636"/>
      <c r="AB349" s="636"/>
      <c r="AC349" s="636"/>
      <c r="AD349" s="636"/>
      <c r="AE349" s="636"/>
      <c r="AF349" s="636"/>
      <c r="AG349" s="636"/>
      <c r="AH349" s="636"/>
      <c r="AI349" s="636"/>
      <c r="AJ349" s="636"/>
      <c r="AK349" s="636"/>
      <c r="AL349" s="636"/>
      <c r="AM349" s="636"/>
      <c r="AN349" s="636"/>
      <c r="AO349" s="636"/>
      <c r="AP349" s="636"/>
      <c r="AQ349" s="636"/>
      <c r="AR349" s="636"/>
      <c r="AS349" s="636"/>
      <c r="AT349" s="636"/>
      <c r="AU349" s="636"/>
      <c r="AV349" s="636"/>
      <c r="AW349" s="636"/>
      <c r="AX349" s="636"/>
      <c r="AY349" s="636"/>
      <c r="AZ349" s="636"/>
      <c r="BA349" s="636"/>
      <c r="BB349" s="636"/>
      <c r="BC349" s="636"/>
      <c r="BD349" s="636"/>
      <c r="BE349" s="636"/>
      <c r="BF349" s="636"/>
      <c r="BG349" s="636"/>
      <c r="BH349" s="636"/>
      <c r="BI349" s="636"/>
      <c r="BJ349" s="636"/>
      <c r="BK349" s="636"/>
      <c r="BL349" s="636"/>
      <c r="BM349" s="636"/>
      <c r="BN349" s="636"/>
      <c r="BO349" s="636"/>
      <c r="BP349" s="636"/>
      <c r="BQ349" s="636"/>
      <c r="BR349" s="636"/>
      <c r="BS349" s="636"/>
      <c r="BT349" s="636"/>
      <c r="BU349" s="636"/>
      <c r="BV349" s="636"/>
      <c r="BW349" s="636"/>
      <c r="BX349" s="636"/>
      <c r="BY349" s="636"/>
      <c r="BZ349" s="636"/>
      <c r="CA349" s="636"/>
      <c r="CB349" s="636"/>
      <c r="CC349" s="636"/>
      <c r="CD349" s="636"/>
      <c r="CE349" s="636"/>
      <c r="CF349" s="636"/>
      <c r="CG349" s="636"/>
      <c r="CH349" s="636"/>
      <c r="CI349" s="637"/>
      <c r="CK349" s="1366"/>
    </row>
    <row r="350" spans="2:89" x14ac:dyDescent="0.25">
      <c r="B350" s="987" t="s">
        <v>667</v>
      </c>
      <c r="C350" s="1034" t="s">
        <v>482</v>
      </c>
      <c r="D350" s="957" t="s">
        <v>79</v>
      </c>
      <c r="E350" s="1032" t="s">
        <v>254</v>
      </c>
      <c r="F350" s="1033">
        <v>2</v>
      </c>
      <c r="G350" s="635"/>
      <c r="H350" s="635"/>
      <c r="I350" s="635"/>
      <c r="J350" s="635"/>
      <c r="K350" s="635"/>
      <c r="L350" s="635"/>
      <c r="M350" s="636"/>
      <c r="N350" s="636"/>
      <c r="O350" s="636"/>
      <c r="P350" s="636"/>
      <c r="Q350" s="636"/>
      <c r="R350" s="636"/>
      <c r="S350" s="636"/>
      <c r="T350" s="636"/>
      <c r="U350" s="636"/>
      <c r="V350" s="636"/>
      <c r="W350" s="636"/>
      <c r="X350" s="636"/>
      <c r="Y350" s="636"/>
      <c r="Z350" s="636"/>
      <c r="AA350" s="636"/>
      <c r="AB350" s="636"/>
      <c r="AC350" s="636"/>
      <c r="AD350" s="636"/>
      <c r="AE350" s="636"/>
      <c r="AF350" s="636"/>
      <c r="AG350" s="636"/>
      <c r="AH350" s="636"/>
      <c r="AI350" s="636"/>
      <c r="AJ350" s="636"/>
      <c r="AK350" s="636"/>
      <c r="AL350" s="636"/>
      <c r="AM350" s="636"/>
      <c r="AN350" s="636"/>
      <c r="AO350" s="636"/>
      <c r="AP350" s="636"/>
      <c r="AQ350" s="636"/>
      <c r="AR350" s="636"/>
      <c r="AS350" s="636"/>
      <c r="AT350" s="636"/>
      <c r="AU350" s="636"/>
      <c r="AV350" s="636"/>
      <c r="AW350" s="636"/>
      <c r="AX350" s="636"/>
      <c r="AY350" s="636"/>
      <c r="AZ350" s="636"/>
      <c r="BA350" s="636"/>
      <c r="BB350" s="636"/>
      <c r="BC350" s="636"/>
      <c r="BD350" s="636"/>
      <c r="BE350" s="636"/>
      <c r="BF350" s="636"/>
      <c r="BG350" s="636"/>
      <c r="BH350" s="636"/>
      <c r="BI350" s="636"/>
      <c r="BJ350" s="636"/>
      <c r="BK350" s="636"/>
      <c r="BL350" s="636"/>
      <c r="BM350" s="636"/>
      <c r="BN350" s="636"/>
      <c r="BO350" s="636"/>
      <c r="BP350" s="636"/>
      <c r="BQ350" s="636"/>
      <c r="BR350" s="636"/>
      <c r="BS350" s="636"/>
      <c r="BT350" s="636"/>
      <c r="BU350" s="636"/>
      <c r="BV350" s="636"/>
      <c r="BW350" s="636"/>
      <c r="BX350" s="636"/>
      <c r="BY350" s="636"/>
      <c r="BZ350" s="636"/>
      <c r="CA350" s="636"/>
      <c r="CB350" s="636"/>
      <c r="CC350" s="636"/>
      <c r="CD350" s="636"/>
      <c r="CE350" s="636"/>
      <c r="CF350" s="636"/>
      <c r="CG350" s="636"/>
      <c r="CH350" s="636"/>
      <c r="CI350" s="637"/>
      <c r="CK350" s="1366"/>
    </row>
    <row r="351" spans="2:89" x14ac:dyDescent="0.25">
      <c r="B351" s="987" t="s">
        <v>668</v>
      </c>
      <c r="C351" s="1034" t="s">
        <v>484</v>
      </c>
      <c r="D351" s="957" t="s">
        <v>79</v>
      </c>
      <c r="E351" s="1032" t="s">
        <v>254</v>
      </c>
      <c r="F351" s="1033">
        <v>2</v>
      </c>
      <c r="G351" s="635"/>
      <c r="H351" s="635"/>
      <c r="I351" s="635"/>
      <c r="J351" s="635"/>
      <c r="K351" s="635"/>
      <c r="L351" s="635"/>
      <c r="M351" s="636"/>
      <c r="N351" s="636"/>
      <c r="O351" s="636"/>
      <c r="P351" s="636"/>
      <c r="Q351" s="636"/>
      <c r="R351" s="636"/>
      <c r="S351" s="636"/>
      <c r="T351" s="636"/>
      <c r="U351" s="636"/>
      <c r="V351" s="636"/>
      <c r="W351" s="636"/>
      <c r="X351" s="636"/>
      <c r="Y351" s="636"/>
      <c r="Z351" s="636"/>
      <c r="AA351" s="636"/>
      <c r="AB351" s="636"/>
      <c r="AC351" s="636"/>
      <c r="AD351" s="636"/>
      <c r="AE351" s="636"/>
      <c r="AF351" s="636"/>
      <c r="AG351" s="636"/>
      <c r="AH351" s="636"/>
      <c r="AI351" s="636"/>
      <c r="AJ351" s="636"/>
      <c r="AK351" s="636"/>
      <c r="AL351" s="636"/>
      <c r="AM351" s="636"/>
      <c r="AN351" s="636"/>
      <c r="AO351" s="636"/>
      <c r="AP351" s="636"/>
      <c r="AQ351" s="636"/>
      <c r="AR351" s="636"/>
      <c r="AS351" s="636"/>
      <c r="AT351" s="636"/>
      <c r="AU351" s="636"/>
      <c r="AV351" s="636"/>
      <c r="AW351" s="636"/>
      <c r="AX351" s="636"/>
      <c r="AY351" s="636"/>
      <c r="AZ351" s="636"/>
      <c r="BA351" s="636"/>
      <c r="BB351" s="636"/>
      <c r="BC351" s="636"/>
      <c r="BD351" s="636"/>
      <c r="BE351" s="636"/>
      <c r="BF351" s="636"/>
      <c r="BG351" s="636"/>
      <c r="BH351" s="636"/>
      <c r="BI351" s="636"/>
      <c r="BJ351" s="636"/>
      <c r="BK351" s="636"/>
      <c r="BL351" s="636"/>
      <c r="BM351" s="636"/>
      <c r="BN351" s="636"/>
      <c r="BO351" s="636"/>
      <c r="BP351" s="636"/>
      <c r="BQ351" s="636"/>
      <c r="BR351" s="636"/>
      <c r="BS351" s="636"/>
      <c r="BT351" s="636"/>
      <c r="BU351" s="636"/>
      <c r="BV351" s="636"/>
      <c r="BW351" s="636"/>
      <c r="BX351" s="636"/>
      <c r="BY351" s="636"/>
      <c r="BZ351" s="636"/>
      <c r="CA351" s="636"/>
      <c r="CB351" s="636"/>
      <c r="CC351" s="636"/>
      <c r="CD351" s="636"/>
      <c r="CE351" s="636"/>
      <c r="CF351" s="636"/>
      <c r="CG351" s="636"/>
      <c r="CH351" s="636"/>
      <c r="CI351" s="637"/>
      <c r="CK351" s="1366"/>
    </row>
    <row r="352" spans="2:89" x14ac:dyDescent="0.25">
      <c r="B352" s="1035" t="s">
        <v>669</v>
      </c>
      <c r="C352" s="1034" t="s">
        <v>486</v>
      </c>
      <c r="D352" s="1036" t="s">
        <v>670</v>
      </c>
      <c r="E352" s="1032" t="s">
        <v>254</v>
      </c>
      <c r="F352" s="1033">
        <v>2</v>
      </c>
      <c r="G352" s="607"/>
      <c r="H352" s="607"/>
      <c r="I352" s="607">
        <f t="shared" ref="I352:BS352" si="182">SUM(I348:I351)</f>
        <v>0</v>
      </c>
      <c r="J352" s="607">
        <f t="shared" si="182"/>
        <v>0</v>
      </c>
      <c r="K352" s="607">
        <f t="shared" si="182"/>
        <v>0</v>
      </c>
      <c r="L352" s="607">
        <f t="shared" si="182"/>
        <v>0</v>
      </c>
      <c r="M352" s="768">
        <f t="shared" si="182"/>
        <v>0</v>
      </c>
      <c r="N352" s="768">
        <f t="shared" si="182"/>
        <v>0</v>
      </c>
      <c r="O352" s="768">
        <f t="shared" si="182"/>
        <v>0</v>
      </c>
      <c r="P352" s="768">
        <f t="shared" si="182"/>
        <v>0</v>
      </c>
      <c r="Q352" s="768">
        <f t="shared" si="182"/>
        <v>0</v>
      </c>
      <c r="R352" s="768">
        <f t="shared" si="182"/>
        <v>0</v>
      </c>
      <c r="S352" s="768">
        <f t="shared" si="182"/>
        <v>0</v>
      </c>
      <c r="T352" s="768">
        <f t="shared" si="182"/>
        <v>0</v>
      </c>
      <c r="U352" s="768">
        <f t="shared" si="182"/>
        <v>0</v>
      </c>
      <c r="V352" s="768">
        <f t="shared" si="182"/>
        <v>0</v>
      </c>
      <c r="W352" s="768">
        <f t="shared" si="182"/>
        <v>0</v>
      </c>
      <c r="X352" s="768">
        <f t="shared" si="182"/>
        <v>0</v>
      </c>
      <c r="Y352" s="768">
        <f t="shared" si="182"/>
        <v>0</v>
      </c>
      <c r="Z352" s="768">
        <f t="shared" si="182"/>
        <v>0</v>
      </c>
      <c r="AA352" s="768">
        <f t="shared" si="182"/>
        <v>0</v>
      </c>
      <c r="AB352" s="768">
        <f t="shared" si="182"/>
        <v>0</v>
      </c>
      <c r="AC352" s="768">
        <f t="shared" si="182"/>
        <v>0</v>
      </c>
      <c r="AD352" s="768">
        <f t="shared" si="182"/>
        <v>0</v>
      </c>
      <c r="AE352" s="768">
        <f t="shared" si="182"/>
        <v>0</v>
      </c>
      <c r="AF352" s="768">
        <f t="shared" si="182"/>
        <v>0</v>
      </c>
      <c r="AG352" s="768">
        <f t="shared" si="182"/>
        <v>0</v>
      </c>
      <c r="AH352" s="768">
        <f t="shared" si="182"/>
        <v>0</v>
      </c>
      <c r="AI352" s="768">
        <f t="shared" si="182"/>
        <v>0</v>
      </c>
      <c r="AJ352" s="768">
        <f t="shared" si="182"/>
        <v>0</v>
      </c>
      <c r="AK352" s="768">
        <f t="shared" si="182"/>
        <v>0</v>
      </c>
      <c r="AL352" s="768">
        <f t="shared" si="182"/>
        <v>0</v>
      </c>
      <c r="AM352" s="768">
        <f t="shared" si="182"/>
        <v>0</v>
      </c>
      <c r="AN352" s="768">
        <f t="shared" si="182"/>
        <v>0</v>
      </c>
      <c r="AO352" s="768">
        <f t="shared" si="182"/>
        <v>0</v>
      </c>
      <c r="AP352" s="768">
        <f t="shared" si="182"/>
        <v>0</v>
      </c>
      <c r="AQ352" s="768">
        <f t="shared" si="182"/>
        <v>0</v>
      </c>
      <c r="AR352" s="768">
        <f t="shared" si="182"/>
        <v>0</v>
      </c>
      <c r="AS352" s="768">
        <f t="shared" si="182"/>
        <v>0</v>
      </c>
      <c r="AT352" s="768">
        <f t="shared" si="182"/>
        <v>0</v>
      </c>
      <c r="AU352" s="768">
        <f t="shared" si="182"/>
        <v>0</v>
      </c>
      <c r="AV352" s="768">
        <f t="shared" si="182"/>
        <v>0</v>
      </c>
      <c r="AW352" s="768">
        <f t="shared" si="182"/>
        <v>0</v>
      </c>
      <c r="AX352" s="768">
        <f t="shared" si="182"/>
        <v>0</v>
      </c>
      <c r="AY352" s="768">
        <f t="shared" si="182"/>
        <v>0</v>
      </c>
      <c r="AZ352" s="768">
        <f t="shared" si="182"/>
        <v>0</v>
      </c>
      <c r="BA352" s="768">
        <f t="shared" si="182"/>
        <v>0</v>
      </c>
      <c r="BB352" s="768">
        <f t="shared" si="182"/>
        <v>0</v>
      </c>
      <c r="BC352" s="768">
        <f t="shared" si="182"/>
        <v>0</v>
      </c>
      <c r="BD352" s="768">
        <f t="shared" si="182"/>
        <v>0</v>
      </c>
      <c r="BE352" s="768">
        <f t="shared" si="182"/>
        <v>0</v>
      </c>
      <c r="BF352" s="768">
        <f t="shared" si="182"/>
        <v>0</v>
      </c>
      <c r="BG352" s="768">
        <f t="shared" si="182"/>
        <v>0</v>
      </c>
      <c r="BH352" s="768">
        <f t="shared" si="182"/>
        <v>0</v>
      </c>
      <c r="BI352" s="768">
        <f t="shared" si="182"/>
        <v>0</v>
      </c>
      <c r="BJ352" s="768">
        <f t="shared" si="182"/>
        <v>0</v>
      </c>
      <c r="BK352" s="768">
        <f t="shared" si="182"/>
        <v>0</v>
      </c>
      <c r="BL352" s="768">
        <f t="shared" si="182"/>
        <v>0</v>
      </c>
      <c r="BM352" s="768">
        <f t="shared" si="182"/>
        <v>0</v>
      </c>
      <c r="BN352" s="768">
        <f t="shared" si="182"/>
        <v>0</v>
      </c>
      <c r="BO352" s="768">
        <f t="shared" si="182"/>
        <v>0</v>
      </c>
      <c r="BP352" s="768">
        <f t="shared" si="182"/>
        <v>0</v>
      </c>
      <c r="BQ352" s="768">
        <f t="shared" si="182"/>
        <v>0</v>
      </c>
      <c r="BR352" s="768">
        <f t="shared" si="182"/>
        <v>0</v>
      </c>
      <c r="BS352" s="768">
        <f t="shared" si="182"/>
        <v>0</v>
      </c>
      <c r="BT352" s="768">
        <f t="shared" ref="BT352:CI352" si="183">SUM(BT348:BT351)</f>
        <v>0</v>
      </c>
      <c r="BU352" s="768">
        <f t="shared" si="183"/>
        <v>0</v>
      </c>
      <c r="BV352" s="768">
        <f t="shared" si="183"/>
        <v>0</v>
      </c>
      <c r="BW352" s="768">
        <f t="shared" si="183"/>
        <v>0</v>
      </c>
      <c r="BX352" s="768">
        <f t="shared" si="183"/>
        <v>0</v>
      </c>
      <c r="BY352" s="768">
        <f t="shared" si="183"/>
        <v>0</v>
      </c>
      <c r="BZ352" s="768">
        <f t="shared" si="183"/>
        <v>0</v>
      </c>
      <c r="CA352" s="768">
        <f t="shared" si="183"/>
        <v>0</v>
      </c>
      <c r="CB352" s="768">
        <f t="shared" si="183"/>
        <v>0</v>
      </c>
      <c r="CC352" s="768">
        <f t="shared" si="183"/>
        <v>0</v>
      </c>
      <c r="CD352" s="768">
        <f t="shared" si="183"/>
        <v>0</v>
      </c>
      <c r="CE352" s="768">
        <f t="shared" si="183"/>
        <v>0</v>
      </c>
      <c r="CF352" s="768">
        <f t="shared" si="183"/>
        <v>0</v>
      </c>
      <c r="CG352" s="768">
        <f t="shared" si="183"/>
        <v>0</v>
      </c>
      <c r="CH352" s="768">
        <f t="shared" si="183"/>
        <v>0</v>
      </c>
      <c r="CI352" s="769">
        <f t="shared" si="183"/>
        <v>0</v>
      </c>
      <c r="CK352" s="1366"/>
    </row>
    <row r="353" spans="2:89" x14ac:dyDescent="0.25">
      <c r="B353" s="1035" t="s">
        <v>671</v>
      </c>
      <c r="C353" s="1034" t="s">
        <v>489</v>
      </c>
      <c r="D353" s="1036" t="s">
        <v>672</v>
      </c>
      <c r="E353" s="1032" t="s">
        <v>491</v>
      </c>
      <c r="F353" s="1033">
        <v>1</v>
      </c>
      <c r="G353" s="800"/>
      <c r="H353" s="800"/>
      <c r="I353" s="800" t="e">
        <f t="shared" ref="I353:BS353" si="184">(I351+I350)/(I337+I345)</f>
        <v>#DIV/0!</v>
      </c>
      <c r="J353" s="800" t="e">
        <f t="shared" si="184"/>
        <v>#DIV/0!</v>
      </c>
      <c r="K353" s="800" t="e">
        <f t="shared" si="184"/>
        <v>#DIV/0!</v>
      </c>
      <c r="L353" s="800" t="e">
        <f t="shared" si="184"/>
        <v>#DIV/0!</v>
      </c>
      <c r="M353" s="800" t="e">
        <f t="shared" si="184"/>
        <v>#DIV/0!</v>
      </c>
      <c r="N353" s="800" t="e">
        <f t="shared" si="184"/>
        <v>#DIV/0!</v>
      </c>
      <c r="O353" s="800" t="e">
        <f t="shared" si="184"/>
        <v>#DIV/0!</v>
      </c>
      <c r="P353" s="800" t="e">
        <f t="shared" si="184"/>
        <v>#DIV/0!</v>
      </c>
      <c r="Q353" s="800" t="e">
        <f t="shared" si="184"/>
        <v>#DIV/0!</v>
      </c>
      <c r="R353" s="800" t="e">
        <f t="shared" si="184"/>
        <v>#DIV/0!</v>
      </c>
      <c r="S353" s="800" t="e">
        <f t="shared" si="184"/>
        <v>#DIV/0!</v>
      </c>
      <c r="T353" s="800" t="e">
        <f t="shared" si="184"/>
        <v>#DIV/0!</v>
      </c>
      <c r="U353" s="800" t="e">
        <f t="shared" si="184"/>
        <v>#DIV/0!</v>
      </c>
      <c r="V353" s="800" t="e">
        <f t="shared" si="184"/>
        <v>#DIV/0!</v>
      </c>
      <c r="W353" s="800" t="e">
        <f t="shared" si="184"/>
        <v>#DIV/0!</v>
      </c>
      <c r="X353" s="800" t="e">
        <f t="shared" si="184"/>
        <v>#DIV/0!</v>
      </c>
      <c r="Y353" s="800" t="e">
        <f t="shared" si="184"/>
        <v>#DIV/0!</v>
      </c>
      <c r="Z353" s="800" t="e">
        <f t="shared" si="184"/>
        <v>#DIV/0!</v>
      </c>
      <c r="AA353" s="800" t="e">
        <f t="shared" si="184"/>
        <v>#DIV/0!</v>
      </c>
      <c r="AB353" s="800" t="e">
        <f t="shared" si="184"/>
        <v>#DIV/0!</v>
      </c>
      <c r="AC353" s="800" t="e">
        <f t="shared" si="184"/>
        <v>#DIV/0!</v>
      </c>
      <c r="AD353" s="800" t="e">
        <f t="shared" si="184"/>
        <v>#DIV/0!</v>
      </c>
      <c r="AE353" s="800" t="e">
        <f t="shared" si="184"/>
        <v>#DIV/0!</v>
      </c>
      <c r="AF353" s="800" t="e">
        <f t="shared" si="184"/>
        <v>#DIV/0!</v>
      </c>
      <c r="AG353" s="800" t="e">
        <f t="shared" si="184"/>
        <v>#DIV/0!</v>
      </c>
      <c r="AH353" s="800" t="e">
        <f t="shared" si="184"/>
        <v>#DIV/0!</v>
      </c>
      <c r="AI353" s="800" t="e">
        <f t="shared" si="184"/>
        <v>#DIV/0!</v>
      </c>
      <c r="AJ353" s="800" t="e">
        <f t="shared" si="184"/>
        <v>#DIV/0!</v>
      </c>
      <c r="AK353" s="800" t="e">
        <f t="shared" si="184"/>
        <v>#DIV/0!</v>
      </c>
      <c r="AL353" s="800" t="e">
        <f t="shared" si="184"/>
        <v>#DIV/0!</v>
      </c>
      <c r="AM353" s="800" t="e">
        <f t="shared" si="184"/>
        <v>#DIV/0!</v>
      </c>
      <c r="AN353" s="800" t="e">
        <f t="shared" si="184"/>
        <v>#DIV/0!</v>
      </c>
      <c r="AO353" s="800" t="e">
        <f t="shared" si="184"/>
        <v>#DIV/0!</v>
      </c>
      <c r="AP353" s="800" t="e">
        <f t="shared" si="184"/>
        <v>#DIV/0!</v>
      </c>
      <c r="AQ353" s="800" t="e">
        <f t="shared" si="184"/>
        <v>#DIV/0!</v>
      </c>
      <c r="AR353" s="800" t="e">
        <f t="shared" si="184"/>
        <v>#DIV/0!</v>
      </c>
      <c r="AS353" s="800" t="e">
        <f t="shared" si="184"/>
        <v>#DIV/0!</v>
      </c>
      <c r="AT353" s="800" t="e">
        <f t="shared" si="184"/>
        <v>#DIV/0!</v>
      </c>
      <c r="AU353" s="800" t="e">
        <f t="shared" si="184"/>
        <v>#DIV/0!</v>
      </c>
      <c r="AV353" s="800" t="e">
        <f t="shared" si="184"/>
        <v>#DIV/0!</v>
      </c>
      <c r="AW353" s="800" t="e">
        <f t="shared" si="184"/>
        <v>#DIV/0!</v>
      </c>
      <c r="AX353" s="800" t="e">
        <f t="shared" si="184"/>
        <v>#DIV/0!</v>
      </c>
      <c r="AY353" s="800" t="e">
        <f t="shared" si="184"/>
        <v>#DIV/0!</v>
      </c>
      <c r="AZ353" s="800" t="e">
        <f t="shared" si="184"/>
        <v>#DIV/0!</v>
      </c>
      <c r="BA353" s="800" t="e">
        <f t="shared" si="184"/>
        <v>#DIV/0!</v>
      </c>
      <c r="BB353" s="800" t="e">
        <f t="shared" si="184"/>
        <v>#DIV/0!</v>
      </c>
      <c r="BC353" s="800" t="e">
        <f t="shared" si="184"/>
        <v>#DIV/0!</v>
      </c>
      <c r="BD353" s="800" t="e">
        <f t="shared" si="184"/>
        <v>#DIV/0!</v>
      </c>
      <c r="BE353" s="800" t="e">
        <f t="shared" si="184"/>
        <v>#DIV/0!</v>
      </c>
      <c r="BF353" s="800" t="e">
        <f t="shared" si="184"/>
        <v>#DIV/0!</v>
      </c>
      <c r="BG353" s="800" t="e">
        <f t="shared" si="184"/>
        <v>#DIV/0!</v>
      </c>
      <c r="BH353" s="800" t="e">
        <f t="shared" si="184"/>
        <v>#DIV/0!</v>
      </c>
      <c r="BI353" s="800" t="e">
        <f t="shared" si="184"/>
        <v>#DIV/0!</v>
      </c>
      <c r="BJ353" s="800" t="e">
        <f t="shared" si="184"/>
        <v>#DIV/0!</v>
      </c>
      <c r="BK353" s="800" t="e">
        <f t="shared" si="184"/>
        <v>#DIV/0!</v>
      </c>
      <c r="BL353" s="800" t="e">
        <f t="shared" si="184"/>
        <v>#DIV/0!</v>
      </c>
      <c r="BM353" s="800" t="e">
        <f t="shared" si="184"/>
        <v>#DIV/0!</v>
      </c>
      <c r="BN353" s="800" t="e">
        <f t="shared" si="184"/>
        <v>#DIV/0!</v>
      </c>
      <c r="BO353" s="800" t="e">
        <f t="shared" si="184"/>
        <v>#DIV/0!</v>
      </c>
      <c r="BP353" s="800" t="e">
        <f t="shared" si="184"/>
        <v>#DIV/0!</v>
      </c>
      <c r="BQ353" s="800" t="e">
        <f t="shared" si="184"/>
        <v>#DIV/0!</v>
      </c>
      <c r="BR353" s="800" t="e">
        <f t="shared" si="184"/>
        <v>#DIV/0!</v>
      </c>
      <c r="BS353" s="800" t="e">
        <f t="shared" si="184"/>
        <v>#DIV/0!</v>
      </c>
      <c r="BT353" s="800" t="e">
        <f t="shared" ref="BT353:CI353" si="185">(BT351+BT350)/(BT337+BT345)</f>
        <v>#DIV/0!</v>
      </c>
      <c r="BU353" s="800" t="e">
        <f t="shared" si="185"/>
        <v>#DIV/0!</v>
      </c>
      <c r="BV353" s="800" t="e">
        <f t="shared" si="185"/>
        <v>#DIV/0!</v>
      </c>
      <c r="BW353" s="800" t="e">
        <f t="shared" si="185"/>
        <v>#DIV/0!</v>
      </c>
      <c r="BX353" s="800" t="e">
        <f t="shared" si="185"/>
        <v>#DIV/0!</v>
      </c>
      <c r="BY353" s="800" t="e">
        <f t="shared" si="185"/>
        <v>#DIV/0!</v>
      </c>
      <c r="BZ353" s="800" t="e">
        <f t="shared" si="185"/>
        <v>#DIV/0!</v>
      </c>
      <c r="CA353" s="800" t="e">
        <f t="shared" si="185"/>
        <v>#DIV/0!</v>
      </c>
      <c r="CB353" s="800" t="e">
        <f t="shared" si="185"/>
        <v>#DIV/0!</v>
      </c>
      <c r="CC353" s="800" t="e">
        <f t="shared" si="185"/>
        <v>#DIV/0!</v>
      </c>
      <c r="CD353" s="800" t="e">
        <f t="shared" si="185"/>
        <v>#DIV/0!</v>
      </c>
      <c r="CE353" s="800" t="e">
        <f t="shared" si="185"/>
        <v>#DIV/0!</v>
      </c>
      <c r="CF353" s="800" t="e">
        <f t="shared" si="185"/>
        <v>#DIV/0!</v>
      </c>
      <c r="CG353" s="800" t="e">
        <f t="shared" si="185"/>
        <v>#DIV/0!</v>
      </c>
      <c r="CH353" s="800" t="e">
        <f t="shared" si="185"/>
        <v>#DIV/0!</v>
      </c>
      <c r="CI353" s="800" t="e">
        <f t="shared" si="185"/>
        <v>#DIV/0!</v>
      </c>
      <c r="CK353" s="1366"/>
    </row>
    <row r="354" spans="2:89" x14ac:dyDescent="0.25">
      <c r="B354" s="1035" t="s">
        <v>673</v>
      </c>
      <c r="C354" s="1034" t="s">
        <v>493</v>
      </c>
      <c r="D354" s="1036" t="s">
        <v>674</v>
      </c>
      <c r="E354" s="1032" t="s">
        <v>285</v>
      </c>
      <c r="F354" s="1033">
        <v>1</v>
      </c>
      <c r="G354" s="793"/>
      <c r="H354" s="793"/>
      <c r="I354" s="793" t="e">
        <f t="shared" ref="I354:BS354" si="186">I337/(I337+I345)</f>
        <v>#DIV/0!</v>
      </c>
      <c r="J354" s="793" t="e">
        <f t="shared" si="186"/>
        <v>#DIV/0!</v>
      </c>
      <c r="K354" s="793" t="e">
        <f t="shared" si="186"/>
        <v>#DIV/0!</v>
      </c>
      <c r="L354" s="793" t="e">
        <f t="shared" si="186"/>
        <v>#DIV/0!</v>
      </c>
      <c r="M354" s="794" t="e">
        <f t="shared" si="186"/>
        <v>#DIV/0!</v>
      </c>
      <c r="N354" s="794" t="e">
        <f t="shared" si="186"/>
        <v>#DIV/0!</v>
      </c>
      <c r="O354" s="794" t="e">
        <f t="shared" si="186"/>
        <v>#DIV/0!</v>
      </c>
      <c r="P354" s="794" t="e">
        <f t="shared" si="186"/>
        <v>#DIV/0!</v>
      </c>
      <c r="Q354" s="794" t="e">
        <f t="shared" si="186"/>
        <v>#DIV/0!</v>
      </c>
      <c r="R354" s="794" t="e">
        <f t="shared" si="186"/>
        <v>#DIV/0!</v>
      </c>
      <c r="S354" s="794" t="e">
        <f t="shared" si="186"/>
        <v>#DIV/0!</v>
      </c>
      <c r="T354" s="794" t="e">
        <f t="shared" si="186"/>
        <v>#DIV/0!</v>
      </c>
      <c r="U354" s="794" t="e">
        <f t="shared" si="186"/>
        <v>#DIV/0!</v>
      </c>
      <c r="V354" s="794" t="e">
        <f t="shared" si="186"/>
        <v>#DIV/0!</v>
      </c>
      <c r="W354" s="794" t="e">
        <f t="shared" si="186"/>
        <v>#DIV/0!</v>
      </c>
      <c r="X354" s="794" t="e">
        <f t="shared" si="186"/>
        <v>#DIV/0!</v>
      </c>
      <c r="Y354" s="794" t="e">
        <f t="shared" si="186"/>
        <v>#DIV/0!</v>
      </c>
      <c r="Z354" s="794" t="e">
        <f t="shared" si="186"/>
        <v>#DIV/0!</v>
      </c>
      <c r="AA354" s="794" t="e">
        <f t="shared" si="186"/>
        <v>#DIV/0!</v>
      </c>
      <c r="AB354" s="794" t="e">
        <f t="shared" si="186"/>
        <v>#DIV/0!</v>
      </c>
      <c r="AC354" s="794" t="e">
        <f t="shared" si="186"/>
        <v>#DIV/0!</v>
      </c>
      <c r="AD354" s="794" t="e">
        <f t="shared" si="186"/>
        <v>#DIV/0!</v>
      </c>
      <c r="AE354" s="794" t="e">
        <f t="shared" si="186"/>
        <v>#DIV/0!</v>
      </c>
      <c r="AF354" s="794" t="e">
        <f t="shared" si="186"/>
        <v>#DIV/0!</v>
      </c>
      <c r="AG354" s="794" t="e">
        <f t="shared" si="186"/>
        <v>#DIV/0!</v>
      </c>
      <c r="AH354" s="794" t="e">
        <f t="shared" si="186"/>
        <v>#DIV/0!</v>
      </c>
      <c r="AI354" s="794" t="e">
        <f t="shared" si="186"/>
        <v>#DIV/0!</v>
      </c>
      <c r="AJ354" s="794" t="e">
        <f t="shared" si="186"/>
        <v>#DIV/0!</v>
      </c>
      <c r="AK354" s="794" t="e">
        <f t="shared" si="186"/>
        <v>#DIV/0!</v>
      </c>
      <c r="AL354" s="794" t="e">
        <f t="shared" si="186"/>
        <v>#DIV/0!</v>
      </c>
      <c r="AM354" s="794" t="e">
        <f t="shared" si="186"/>
        <v>#DIV/0!</v>
      </c>
      <c r="AN354" s="794" t="e">
        <f t="shared" si="186"/>
        <v>#DIV/0!</v>
      </c>
      <c r="AO354" s="794" t="e">
        <f t="shared" si="186"/>
        <v>#DIV/0!</v>
      </c>
      <c r="AP354" s="794" t="e">
        <f t="shared" si="186"/>
        <v>#DIV/0!</v>
      </c>
      <c r="AQ354" s="794" t="e">
        <f t="shared" si="186"/>
        <v>#DIV/0!</v>
      </c>
      <c r="AR354" s="794" t="e">
        <f t="shared" si="186"/>
        <v>#DIV/0!</v>
      </c>
      <c r="AS354" s="794" t="e">
        <f t="shared" si="186"/>
        <v>#DIV/0!</v>
      </c>
      <c r="AT354" s="794" t="e">
        <f t="shared" si="186"/>
        <v>#DIV/0!</v>
      </c>
      <c r="AU354" s="794" t="e">
        <f t="shared" si="186"/>
        <v>#DIV/0!</v>
      </c>
      <c r="AV354" s="794" t="e">
        <f t="shared" si="186"/>
        <v>#DIV/0!</v>
      </c>
      <c r="AW354" s="794" t="e">
        <f t="shared" si="186"/>
        <v>#DIV/0!</v>
      </c>
      <c r="AX354" s="794" t="e">
        <f t="shared" si="186"/>
        <v>#DIV/0!</v>
      </c>
      <c r="AY354" s="794" t="e">
        <f t="shared" si="186"/>
        <v>#DIV/0!</v>
      </c>
      <c r="AZ354" s="794" t="e">
        <f t="shared" si="186"/>
        <v>#DIV/0!</v>
      </c>
      <c r="BA354" s="794" t="e">
        <f t="shared" si="186"/>
        <v>#DIV/0!</v>
      </c>
      <c r="BB354" s="794" t="e">
        <f t="shared" si="186"/>
        <v>#DIV/0!</v>
      </c>
      <c r="BC354" s="794" t="e">
        <f t="shared" si="186"/>
        <v>#DIV/0!</v>
      </c>
      <c r="BD354" s="794" t="e">
        <f t="shared" si="186"/>
        <v>#DIV/0!</v>
      </c>
      <c r="BE354" s="794" t="e">
        <f t="shared" si="186"/>
        <v>#DIV/0!</v>
      </c>
      <c r="BF354" s="794" t="e">
        <f t="shared" si="186"/>
        <v>#DIV/0!</v>
      </c>
      <c r="BG354" s="794" t="e">
        <f t="shared" si="186"/>
        <v>#DIV/0!</v>
      </c>
      <c r="BH354" s="794" t="e">
        <f t="shared" si="186"/>
        <v>#DIV/0!</v>
      </c>
      <c r="BI354" s="794" t="e">
        <f t="shared" si="186"/>
        <v>#DIV/0!</v>
      </c>
      <c r="BJ354" s="794" t="e">
        <f t="shared" si="186"/>
        <v>#DIV/0!</v>
      </c>
      <c r="BK354" s="794" t="e">
        <f t="shared" si="186"/>
        <v>#DIV/0!</v>
      </c>
      <c r="BL354" s="794" t="e">
        <f t="shared" si="186"/>
        <v>#DIV/0!</v>
      </c>
      <c r="BM354" s="794" t="e">
        <f t="shared" si="186"/>
        <v>#DIV/0!</v>
      </c>
      <c r="BN354" s="794" t="e">
        <f t="shared" si="186"/>
        <v>#DIV/0!</v>
      </c>
      <c r="BO354" s="794" t="e">
        <f t="shared" si="186"/>
        <v>#DIV/0!</v>
      </c>
      <c r="BP354" s="794" t="e">
        <f t="shared" si="186"/>
        <v>#DIV/0!</v>
      </c>
      <c r="BQ354" s="794" t="e">
        <f t="shared" si="186"/>
        <v>#DIV/0!</v>
      </c>
      <c r="BR354" s="794" t="e">
        <f t="shared" si="186"/>
        <v>#DIV/0!</v>
      </c>
      <c r="BS354" s="794" t="e">
        <f t="shared" si="186"/>
        <v>#DIV/0!</v>
      </c>
      <c r="BT354" s="794" t="e">
        <f t="shared" ref="BT354:CI354" si="187">BT337/(BT337+BT345)</f>
        <v>#DIV/0!</v>
      </c>
      <c r="BU354" s="794" t="e">
        <f t="shared" si="187"/>
        <v>#DIV/0!</v>
      </c>
      <c r="BV354" s="794" t="e">
        <f t="shared" si="187"/>
        <v>#DIV/0!</v>
      </c>
      <c r="BW354" s="794" t="e">
        <f t="shared" si="187"/>
        <v>#DIV/0!</v>
      </c>
      <c r="BX354" s="794" t="e">
        <f t="shared" si="187"/>
        <v>#DIV/0!</v>
      </c>
      <c r="BY354" s="794" t="e">
        <f t="shared" si="187"/>
        <v>#DIV/0!</v>
      </c>
      <c r="BZ354" s="794" t="e">
        <f t="shared" si="187"/>
        <v>#DIV/0!</v>
      </c>
      <c r="CA354" s="794" t="e">
        <f t="shared" si="187"/>
        <v>#DIV/0!</v>
      </c>
      <c r="CB354" s="794" t="e">
        <f t="shared" si="187"/>
        <v>#DIV/0!</v>
      </c>
      <c r="CC354" s="794" t="e">
        <f t="shared" si="187"/>
        <v>#DIV/0!</v>
      </c>
      <c r="CD354" s="794" t="e">
        <f t="shared" si="187"/>
        <v>#DIV/0!</v>
      </c>
      <c r="CE354" s="794" t="e">
        <f t="shared" si="187"/>
        <v>#DIV/0!</v>
      </c>
      <c r="CF354" s="794" t="e">
        <f t="shared" si="187"/>
        <v>#DIV/0!</v>
      </c>
      <c r="CG354" s="794" t="e">
        <f t="shared" si="187"/>
        <v>#DIV/0!</v>
      </c>
      <c r="CH354" s="794" t="e">
        <f t="shared" si="187"/>
        <v>#DIV/0!</v>
      </c>
      <c r="CI354" s="795" t="e">
        <f t="shared" si="187"/>
        <v>#DIV/0!</v>
      </c>
      <c r="CK354" s="1366"/>
    </row>
    <row r="355" spans="2:89" ht="28.2" thickBot="1" x14ac:dyDescent="0.3">
      <c r="B355" s="1037" t="s">
        <v>675</v>
      </c>
      <c r="C355" s="1038" t="s">
        <v>496</v>
      </c>
      <c r="D355" s="1039" t="s">
        <v>676</v>
      </c>
      <c r="E355" s="1040" t="s">
        <v>285</v>
      </c>
      <c r="F355" s="1041">
        <v>1</v>
      </c>
      <c r="G355" s="835"/>
      <c r="H355" s="835"/>
      <c r="I355" s="835" t="e">
        <f t="shared" ref="I355:BS355" si="188">(I337)/(I337+I346+I345+I344)</f>
        <v>#DIV/0!</v>
      </c>
      <c r="J355" s="835" t="e">
        <f t="shared" si="188"/>
        <v>#DIV/0!</v>
      </c>
      <c r="K355" s="835" t="e">
        <f t="shared" si="188"/>
        <v>#DIV/0!</v>
      </c>
      <c r="L355" s="835" t="e">
        <f t="shared" si="188"/>
        <v>#DIV/0!</v>
      </c>
      <c r="M355" s="835" t="e">
        <f t="shared" si="188"/>
        <v>#DIV/0!</v>
      </c>
      <c r="N355" s="835" t="e">
        <f t="shared" si="188"/>
        <v>#DIV/0!</v>
      </c>
      <c r="O355" s="835" t="e">
        <f t="shared" si="188"/>
        <v>#DIV/0!</v>
      </c>
      <c r="P355" s="835" t="e">
        <f t="shared" si="188"/>
        <v>#DIV/0!</v>
      </c>
      <c r="Q355" s="835" t="e">
        <f t="shared" si="188"/>
        <v>#DIV/0!</v>
      </c>
      <c r="R355" s="835" t="e">
        <f t="shared" si="188"/>
        <v>#DIV/0!</v>
      </c>
      <c r="S355" s="835" t="e">
        <f t="shared" si="188"/>
        <v>#DIV/0!</v>
      </c>
      <c r="T355" s="835" t="e">
        <f t="shared" si="188"/>
        <v>#DIV/0!</v>
      </c>
      <c r="U355" s="835" t="e">
        <f t="shared" si="188"/>
        <v>#DIV/0!</v>
      </c>
      <c r="V355" s="835" t="e">
        <f t="shared" si="188"/>
        <v>#DIV/0!</v>
      </c>
      <c r="W355" s="835" t="e">
        <f t="shared" si="188"/>
        <v>#DIV/0!</v>
      </c>
      <c r="X355" s="835" t="e">
        <f t="shared" si="188"/>
        <v>#DIV/0!</v>
      </c>
      <c r="Y355" s="835" t="e">
        <f t="shared" si="188"/>
        <v>#DIV/0!</v>
      </c>
      <c r="Z355" s="835" t="e">
        <f t="shared" si="188"/>
        <v>#DIV/0!</v>
      </c>
      <c r="AA355" s="835" t="e">
        <f t="shared" si="188"/>
        <v>#DIV/0!</v>
      </c>
      <c r="AB355" s="835" t="e">
        <f t="shared" si="188"/>
        <v>#DIV/0!</v>
      </c>
      <c r="AC355" s="835" t="e">
        <f t="shared" si="188"/>
        <v>#DIV/0!</v>
      </c>
      <c r="AD355" s="835" t="e">
        <f t="shared" si="188"/>
        <v>#DIV/0!</v>
      </c>
      <c r="AE355" s="835" t="e">
        <f t="shared" si="188"/>
        <v>#DIV/0!</v>
      </c>
      <c r="AF355" s="835" t="e">
        <f t="shared" si="188"/>
        <v>#DIV/0!</v>
      </c>
      <c r="AG355" s="835" t="e">
        <f t="shared" si="188"/>
        <v>#DIV/0!</v>
      </c>
      <c r="AH355" s="835" t="e">
        <f t="shared" si="188"/>
        <v>#DIV/0!</v>
      </c>
      <c r="AI355" s="835" t="e">
        <f t="shared" si="188"/>
        <v>#DIV/0!</v>
      </c>
      <c r="AJ355" s="835" t="e">
        <f t="shared" si="188"/>
        <v>#DIV/0!</v>
      </c>
      <c r="AK355" s="835" t="e">
        <f t="shared" si="188"/>
        <v>#DIV/0!</v>
      </c>
      <c r="AL355" s="835" t="e">
        <f t="shared" si="188"/>
        <v>#DIV/0!</v>
      </c>
      <c r="AM355" s="835" t="e">
        <f t="shared" si="188"/>
        <v>#DIV/0!</v>
      </c>
      <c r="AN355" s="835" t="e">
        <f t="shared" si="188"/>
        <v>#DIV/0!</v>
      </c>
      <c r="AO355" s="835" t="e">
        <f t="shared" si="188"/>
        <v>#DIV/0!</v>
      </c>
      <c r="AP355" s="835" t="e">
        <f t="shared" si="188"/>
        <v>#DIV/0!</v>
      </c>
      <c r="AQ355" s="835" t="e">
        <f t="shared" si="188"/>
        <v>#DIV/0!</v>
      </c>
      <c r="AR355" s="835" t="e">
        <f t="shared" si="188"/>
        <v>#DIV/0!</v>
      </c>
      <c r="AS355" s="835" t="e">
        <f t="shared" si="188"/>
        <v>#DIV/0!</v>
      </c>
      <c r="AT355" s="835" t="e">
        <f t="shared" si="188"/>
        <v>#DIV/0!</v>
      </c>
      <c r="AU355" s="835" t="e">
        <f t="shared" si="188"/>
        <v>#DIV/0!</v>
      </c>
      <c r="AV355" s="835" t="e">
        <f t="shared" si="188"/>
        <v>#DIV/0!</v>
      </c>
      <c r="AW355" s="835" t="e">
        <f t="shared" si="188"/>
        <v>#DIV/0!</v>
      </c>
      <c r="AX355" s="835" t="e">
        <f t="shared" si="188"/>
        <v>#DIV/0!</v>
      </c>
      <c r="AY355" s="835" t="e">
        <f t="shared" si="188"/>
        <v>#DIV/0!</v>
      </c>
      <c r="AZ355" s="835" t="e">
        <f t="shared" si="188"/>
        <v>#DIV/0!</v>
      </c>
      <c r="BA355" s="835" t="e">
        <f t="shared" si="188"/>
        <v>#DIV/0!</v>
      </c>
      <c r="BB355" s="835" t="e">
        <f t="shared" si="188"/>
        <v>#DIV/0!</v>
      </c>
      <c r="BC355" s="835" t="e">
        <f t="shared" si="188"/>
        <v>#DIV/0!</v>
      </c>
      <c r="BD355" s="835" t="e">
        <f t="shared" si="188"/>
        <v>#DIV/0!</v>
      </c>
      <c r="BE355" s="835" t="e">
        <f t="shared" si="188"/>
        <v>#DIV/0!</v>
      </c>
      <c r="BF355" s="835" t="e">
        <f t="shared" si="188"/>
        <v>#DIV/0!</v>
      </c>
      <c r="BG355" s="835" t="e">
        <f t="shared" si="188"/>
        <v>#DIV/0!</v>
      </c>
      <c r="BH355" s="835" t="e">
        <f t="shared" si="188"/>
        <v>#DIV/0!</v>
      </c>
      <c r="BI355" s="835" t="e">
        <f t="shared" si="188"/>
        <v>#DIV/0!</v>
      </c>
      <c r="BJ355" s="835" t="e">
        <f t="shared" si="188"/>
        <v>#DIV/0!</v>
      </c>
      <c r="BK355" s="835" t="e">
        <f t="shared" si="188"/>
        <v>#DIV/0!</v>
      </c>
      <c r="BL355" s="835" t="e">
        <f t="shared" si="188"/>
        <v>#DIV/0!</v>
      </c>
      <c r="BM355" s="835" t="e">
        <f t="shared" si="188"/>
        <v>#DIV/0!</v>
      </c>
      <c r="BN355" s="835" t="e">
        <f t="shared" si="188"/>
        <v>#DIV/0!</v>
      </c>
      <c r="BO355" s="835" t="e">
        <f t="shared" si="188"/>
        <v>#DIV/0!</v>
      </c>
      <c r="BP355" s="835" t="e">
        <f t="shared" si="188"/>
        <v>#DIV/0!</v>
      </c>
      <c r="BQ355" s="835" t="e">
        <f t="shared" si="188"/>
        <v>#DIV/0!</v>
      </c>
      <c r="BR355" s="835" t="e">
        <f t="shared" si="188"/>
        <v>#DIV/0!</v>
      </c>
      <c r="BS355" s="835" t="e">
        <f t="shared" si="188"/>
        <v>#DIV/0!</v>
      </c>
      <c r="BT355" s="835" t="e">
        <f t="shared" ref="BT355:CI355" si="189">(BT337)/(BT337+BT346+BT345+BT344)</f>
        <v>#DIV/0!</v>
      </c>
      <c r="BU355" s="835" t="e">
        <f t="shared" si="189"/>
        <v>#DIV/0!</v>
      </c>
      <c r="BV355" s="835" t="e">
        <f t="shared" si="189"/>
        <v>#DIV/0!</v>
      </c>
      <c r="BW355" s="835" t="e">
        <f t="shared" si="189"/>
        <v>#DIV/0!</v>
      </c>
      <c r="BX355" s="835" t="e">
        <f t="shared" si="189"/>
        <v>#DIV/0!</v>
      </c>
      <c r="BY355" s="835" t="e">
        <f t="shared" si="189"/>
        <v>#DIV/0!</v>
      </c>
      <c r="BZ355" s="835" t="e">
        <f t="shared" si="189"/>
        <v>#DIV/0!</v>
      </c>
      <c r="CA355" s="835" t="e">
        <f t="shared" si="189"/>
        <v>#DIV/0!</v>
      </c>
      <c r="CB355" s="835" t="e">
        <f t="shared" si="189"/>
        <v>#DIV/0!</v>
      </c>
      <c r="CC355" s="835" t="e">
        <f t="shared" si="189"/>
        <v>#DIV/0!</v>
      </c>
      <c r="CD355" s="835" t="e">
        <f t="shared" si="189"/>
        <v>#DIV/0!</v>
      </c>
      <c r="CE355" s="835" t="e">
        <f t="shared" si="189"/>
        <v>#DIV/0!</v>
      </c>
      <c r="CF355" s="835" t="e">
        <f t="shared" si="189"/>
        <v>#DIV/0!</v>
      </c>
      <c r="CG355" s="835" t="e">
        <f t="shared" si="189"/>
        <v>#DIV/0!</v>
      </c>
      <c r="CH355" s="835" t="e">
        <f t="shared" si="189"/>
        <v>#DIV/0!</v>
      </c>
      <c r="CI355" s="835" t="e">
        <f t="shared" si="189"/>
        <v>#DIV/0!</v>
      </c>
      <c r="CK355" s="1366"/>
    </row>
    <row r="356" spans="2:89" ht="28.2" thickBot="1" x14ac:dyDescent="0.3">
      <c r="B356" s="1042" t="s">
        <v>677</v>
      </c>
      <c r="C356" s="1043" t="s">
        <v>155</v>
      </c>
      <c r="D356" s="1043" t="s">
        <v>678</v>
      </c>
      <c r="E356" s="1043" t="s">
        <v>146</v>
      </c>
      <c r="F356" s="1044">
        <v>2</v>
      </c>
      <c r="G356" s="667"/>
      <c r="H356" s="667"/>
      <c r="I356" s="667">
        <f t="shared" ref="I356:BS356" si="190">SUM(I316:I318)+I314+I325+I330+I331+I324</f>
        <v>0</v>
      </c>
      <c r="J356" s="667">
        <f t="shared" si="190"/>
        <v>0</v>
      </c>
      <c r="K356" s="667">
        <f t="shared" si="190"/>
        <v>0</v>
      </c>
      <c r="L356" s="667">
        <f t="shared" si="190"/>
        <v>0</v>
      </c>
      <c r="M356" s="667">
        <f t="shared" si="190"/>
        <v>0</v>
      </c>
      <c r="N356" s="667">
        <f t="shared" si="190"/>
        <v>0</v>
      </c>
      <c r="O356" s="667">
        <f t="shared" si="190"/>
        <v>0</v>
      </c>
      <c r="P356" s="667">
        <f t="shared" si="190"/>
        <v>0</v>
      </c>
      <c r="Q356" s="667">
        <f t="shared" si="190"/>
        <v>0</v>
      </c>
      <c r="R356" s="667">
        <f t="shared" si="190"/>
        <v>0</v>
      </c>
      <c r="S356" s="667">
        <f t="shared" si="190"/>
        <v>0</v>
      </c>
      <c r="T356" s="667">
        <f t="shared" si="190"/>
        <v>0</v>
      </c>
      <c r="U356" s="667">
        <f t="shared" si="190"/>
        <v>0</v>
      </c>
      <c r="V356" s="667">
        <f t="shared" si="190"/>
        <v>0</v>
      </c>
      <c r="W356" s="667">
        <f t="shared" si="190"/>
        <v>0</v>
      </c>
      <c r="X356" s="667">
        <f t="shared" si="190"/>
        <v>0</v>
      </c>
      <c r="Y356" s="667">
        <f t="shared" si="190"/>
        <v>0</v>
      </c>
      <c r="Z356" s="667">
        <f t="shared" si="190"/>
        <v>0</v>
      </c>
      <c r="AA356" s="667">
        <f t="shared" si="190"/>
        <v>0</v>
      </c>
      <c r="AB356" s="667">
        <f t="shared" si="190"/>
        <v>0</v>
      </c>
      <c r="AC356" s="667">
        <f t="shared" si="190"/>
        <v>0</v>
      </c>
      <c r="AD356" s="667">
        <f t="shared" si="190"/>
        <v>0</v>
      </c>
      <c r="AE356" s="667">
        <f t="shared" si="190"/>
        <v>0</v>
      </c>
      <c r="AF356" s="667">
        <f t="shared" si="190"/>
        <v>0</v>
      </c>
      <c r="AG356" s="667">
        <f t="shared" si="190"/>
        <v>0</v>
      </c>
      <c r="AH356" s="667">
        <f t="shared" si="190"/>
        <v>0</v>
      </c>
      <c r="AI356" s="667">
        <f t="shared" si="190"/>
        <v>0</v>
      </c>
      <c r="AJ356" s="667">
        <f t="shared" si="190"/>
        <v>0</v>
      </c>
      <c r="AK356" s="667">
        <f t="shared" si="190"/>
        <v>0</v>
      </c>
      <c r="AL356" s="667">
        <f t="shared" si="190"/>
        <v>0</v>
      </c>
      <c r="AM356" s="667">
        <f t="shared" si="190"/>
        <v>0</v>
      </c>
      <c r="AN356" s="667">
        <f t="shared" si="190"/>
        <v>0</v>
      </c>
      <c r="AO356" s="667">
        <f t="shared" si="190"/>
        <v>0</v>
      </c>
      <c r="AP356" s="667">
        <f t="shared" si="190"/>
        <v>0</v>
      </c>
      <c r="AQ356" s="667">
        <f t="shared" si="190"/>
        <v>0</v>
      </c>
      <c r="AR356" s="667">
        <f t="shared" si="190"/>
        <v>0</v>
      </c>
      <c r="AS356" s="667">
        <f t="shared" si="190"/>
        <v>0</v>
      </c>
      <c r="AT356" s="667">
        <f t="shared" si="190"/>
        <v>0</v>
      </c>
      <c r="AU356" s="667">
        <f t="shared" si="190"/>
        <v>0</v>
      </c>
      <c r="AV356" s="667">
        <f t="shared" si="190"/>
        <v>0</v>
      </c>
      <c r="AW356" s="667">
        <f t="shared" si="190"/>
        <v>0</v>
      </c>
      <c r="AX356" s="667">
        <f t="shared" si="190"/>
        <v>0</v>
      </c>
      <c r="AY356" s="667">
        <f t="shared" si="190"/>
        <v>0</v>
      </c>
      <c r="AZ356" s="667">
        <f t="shared" si="190"/>
        <v>0</v>
      </c>
      <c r="BA356" s="667">
        <f t="shared" si="190"/>
        <v>0</v>
      </c>
      <c r="BB356" s="667">
        <f t="shared" si="190"/>
        <v>0</v>
      </c>
      <c r="BC356" s="667">
        <f t="shared" si="190"/>
        <v>0</v>
      </c>
      <c r="BD356" s="667">
        <f t="shared" si="190"/>
        <v>0</v>
      </c>
      <c r="BE356" s="667">
        <f t="shared" si="190"/>
        <v>0</v>
      </c>
      <c r="BF356" s="667">
        <f t="shared" si="190"/>
        <v>0</v>
      </c>
      <c r="BG356" s="667">
        <f t="shared" si="190"/>
        <v>0</v>
      </c>
      <c r="BH356" s="667">
        <f t="shared" si="190"/>
        <v>0</v>
      </c>
      <c r="BI356" s="667">
        <f t="shared" si="190"/>
        <v>0</v>
      </c>
      <c r="BJ356" s="667">
        <f t="shared" si="190"/>
        <v>0</v>
      </c>
      <c r="BK356" s="667">
        <f t="shared" si="190"/>
        <v>0</v>
      </c>
      <c r="BL356" s="667">
        <f t="shared" si="190"/>
        <v>0</v>
      </c>
      <c r="BM356" s="667">
        <f t="shared" si="190"/>
        <v>0</v>
      </c>
      <c r="BN356" s="667">
        <f t="shared" si="190"/>
        <v>0</v>
      </c>
      <c r="BO356" s="667">
        <f t="shared" si="190"/>
        <v>0</v>
      </c>
      <c r="BP356" s="667">
        <f t="shared" si="190"/>
        <v>0</v>
      </c>
      <c r="BQ356" s="667">
        <f t="shared" si="190"/>
        <v>0</v>
      </c>
      <c r="BR356" s="667">
        <f t="shared" si="190"/>
        <v>0</v>
      </c>
      <c r="BS356" s="667">
        <f t="shared" si="190"/>
        <v>0</v>
      </c>
      <c r="BT356" s="667">
        <f t="shared" ref="BT356:CI356" si="191">SUM(BT316:BT318)+BT314+BT325+BT330+BT331+BT324</f>
        <v>0</v>
      </c>
      <c r="BU356" s="667">
        <f t="shared" si="191"/>
        <v>0</v>
      </c>
      <c r="BV356" s="667">
        <f t="shared" si="191"/>
        <v>0</v>
      </c>
      <c r="BW356" s="667">
        <f t="shared" si="191"/>
        <v>0</v>
      </c>
      <c r="BX356" s="667">
        <f t="shared" si="191"/>
        <v>0</v>
      </c>
      <c r="BY356" s="667">
        <f t="shared" si="191"/>
        <v>0</v>
      </c>
      <c r="BZ356" s="667">
        <f t="shared" si="191"/>
        <v>0</v>
      </c>
      <c r="CA356" s="667">
        <f t="shared" si="191"/>
        <v>0</v>
      </c>
      <c r="CB356" s="667">
        <f t="shared" si="191"/>
        <v>0</v>
      </c>
      <c r="CC356" s="667">
        <f t="shared" si="191"/>
        <v>0</v>
      </c>
      <c r="CD356" s="667">
        <f t="shared" si="191"/>
        <v>0</v>
      </c>
      <c r="CE356" s="667">
        <f t="shared" si="191"/>
        <v>0</v>
      </c>
      <c r="CF356" s="667">
        <f t="shared" si="191"/>
        <v>0</v>
      </c>
      <c r="CG356" s="667">
        <f t="shared" si="191"/>
        <v>0</v>
      </c>
      <c r="CH356" s="667">
        <f t="shared" si="191"/>
        <v>0</v>
      </c>
      <c r="CI356" s="667">
        <f t="shared" si="191"/>
        <v>0</v>
      </c>
      <c r="CK356" s="1366"/>
    </row>
    <row r="357" spans="2:89" x14ac:dyDescent="0.25">
      <c r="B357" s="973" t="s">
        <v>679</v>
      </c>
      <c r="C357" s="974" t="s">
        <v>501</v>
      </c>
      <c r="D357" s="975" t="s">
        <v>79</v>
      </c>
      <c r="E357" s="974" t="s">
        <v>146</v>
      </c>
      <c r="F357" s="1045">
        <v>2</v>
      </c>
      <c r="G357" s="671"/>
      <c r="H357" s="671"/>
      <c r="I357" s="671"/>
      <c r="J357" s="671"/>
      <c r="K357" s="671"/>
      <c r="L357" s="671"/>
      <c r="M357" s="672"/>
      <c r="N357" s="672"/>
      <c r="O357" s="672"/>
      <c r="P357" s="672"/>
      <c r="Q357" s="672"/>
      <c r="R357" s="672"/>
      <c r="S357" s="672"/>
      <c r="T357" s="672"/>
      <c r="U357" s="672"/>
      <c r="V357" s="672"/>
      <c r="W357" s="672"/>
      <c r="X357" s="672"/>
      <c r="Y357" s="672"/>
      <c r="Z357" s="672"/>
      <c r="AA357" s="672"/>
      <c r="AB357" s="672"/>
      <c r="AC357" s="672"/>
      <c r="AD357" s="672"/>
      <c r="AE357" s="672"/>
      <c r="AF357" s="672"/>
      <c r="AG357" s="672"/>
      <c r="AH357" s="672"/>
      <c r="AI357" s="672"/>
      <c r="AJ357" s="672"/>
      <c r="AK357" s="672"/>
      <c r="AL357" s="672"/>
      <c r="AM357" s="672"/>
      <c r="AN357" s="672"/>
      <c r="AO357" s="672"/>
      <c r="AP357" s="672"/>
      <c r="AQ357" s="672"/>
      <c r="AR357" s="672"/>
      <c r="AS357" s="672"/>
      <c r="AT357" s="672"/>
      <c r="AU357" s="672"/>
      <c r="AV357" s="672"/>
      <c r="AW357" s="672"/>
      <c r="AX357" s="672"/>
      <c r="AY357" s="672"/>
      <c r="AZ357" s="672"/>
      <c r="BA357" s="672"/>
      <c r="BB357" s="672"/>
      <c r="BC357" s="672"/>
      <c r="BD357" s="672"/>
      <c r="BE357" s="672"/>
      <c r="BF357" s="672"/>
      <c r="BG357" s="672"/>
      <c r="BH357" s="672"/>
      <c r="BI357" s="672"/>
      <c r="BJ357" s="672"/>
      <c r="BK357" s="672"/>
      <c r="BL357" s="672"/>
      <c r="BM357" s="672"/>
      <c r="BN357" s="672"/>
      <c r="BO357" s="672"/>
      <c r="BP357" s="672"/>
      <c r="BQ357" s="672"/>
      <c r="BR357" s="672"/>
      <c r="BS357" s="672"/>
      <c r="BT357" s="672"/>
      <c r="BU357" s="672"/>
      <c r="BV357" s="672"/>
      <c r="BW357" s="672"/>
      <c r="BX357" s="672"/>
      <c r="BY357" s="672"/>
      <c r="BZ357" s="672"/>
      <c r="CA357" s="672"/>
      <c r="CB357" s="672"/>
      <c r="CC357" s="672"/>
      <c r="CD357" s="672"/>
      <c r="CE357" s="672"/>
      <c r="CF357" s="672"/>
      <c r="CG357" s="672"/>
      <c r="CH357" s="672"/>
      <c r="CI357" s="673"/>
    </row>
    <row r="358" spans="2:89" x14ac:dyDescent="0.25">
      <c r="B358" s="955" t="s">
        <v>680</v>
      </c>
      <c r="C358" s="956" t="s">
        <v>503</v>
      </c>
      <c r="D358" s="957" t="s">
        <v>79</v>
      </c>
      <c r="E358" s="956" t="s">
        <v>146</v>
      </c>
      <c r="F358" s="952">
        <v>2</v>
      </c>
      <c r="G358" s="677"/>
      <c r="H358" s="677"/>
      <c r="I358" s="677"/>
      <c r="J358" s="677"/>
      <c r="K358" s="677"/>
      <c r="L358" s="677"/>
      <c r="M358" s="678"/>
      <c r="N358" s="678"/>
      <c r="O358" s="678"/>
      <c r="P358" s="678"/>
      <c r="Q358" s="678"/>
      <c r="R358" s="678"/>
      <c r="S358" s="678"/>
      <c r="T358" s="678"/>
      <c r="U358" s="678"/>
      <c r="V358" s="678"/>
      <c r="W358" s="678"/>
      <c r="X358" s="678"/>
      <c r="Y358" s="678"/>
      <c r="Z358" s="678"/>
      <c r="AA358" s="678"/>
      <c r="AB358" s="678"/>
      <c r="AC358" s="678"/>
      <c r="AD358" s="678"/>
      <c r="AE358" s="678"/>
      <c r="AF358" s="678"/>
      <c r="AG358" s="678"/>
      <c r="AH358" s="678"/>
      <c r="AI358" s="678"/>
      <c r="AJ358" s="678"/>
      <c r="AK358" s="678"/>
      <c r="AL358" s="678"/>
      <c r="AM358" s="678"/>
      <c r="AN358" s="678"/>
      <c r="AO358" s="678"/>
      <c r="AP358" s="678"/>
      <c r="AQ358" s="678"/>
      <c r="AR358" s="678"/>
      <c r="AS358" s="678"/>
      <c r="AT358" s="678"/>
      <c r="AU358" s="678"/>
      <c r="AV358" s="678"/>
      <c r="AW358" s="678"/>
      <c r="AX358" s="678"/>
      <c r="AY358" s="678"/>
      <c r="AZ358" s="678"/>
      <c r="BA358" s="678"/>
      <c r="BB358" s="678"/>
      <c r="BC358" s="678"/>
      <c r="BD358" s="678"/>
      <c r="BE358" s="678"/>
      <c r="BF358" s="678"/>
      <c r="BG358" s="678"/>
      <c r="BH358" s="678"/>
      <c r="BI358" s="678"/>
      <c r="BJ358" s="678"/>
      <c r="BK358" s="678"/>
      <c r="BL358" s="678"/>
      <c r="BM358" s="678"/>
      <c r="BN358" s="678"/>
      <c r="BO358" s="678"/>
      <c r="BP358" s="678"/>
      <c r="BQ358" s="678"/>
      <c r="BR358" s="678"/>
      <c r="BS358" s="678"/>
      <c r="BT358" s="678"/>
      <c r="BU358" s="678"/>
      <c r="BV358" s="678"/>
      <c r="BW358" s="678"/>
      <c r="BX358" s="678"/>
      <c r="BY358" s="678"/>
      <c r="BZ358" s="678"/>
      <c r="CA358" s="678"/>
      <c r="CB358" s="678"/>
      <c r="CC358" s="678"/>
      <c r="CD358" s="678"/>
      <c r="CE358" s="678"/>
      <c r="CF358" s="678"/>
      <c r="CG358" s="678"/>
      <c r="CH358" s="678"/>
      <c r="CI358" s="679"/>
    </row>
    <row r="359" spans="2:89" x14ac:dyDescent="0.25">
      <c r="B359" s="955" t="s">
        <v>681</v>
      </c>
      <c r="C359" s="956" t="s">
        <v>294</v>
      </c>
      <c r="D359" s="957" t="s">
        <v>682</v>
      </c>
      <c r="E359" s="956" t="s">
        <v>146</v>
      </c>
      <c r="F359" s="952">
        <v>2</v>
      </c>
      <c r="G359" s="845"/>
      <c r="H359" s="845"/>
      <c r="I359" s="845">
        <f t="shared" ref="I359:BR359" si="192">I357+I358</f>
        <v>0</v>
      </c>
      <c r="J359" s="845">
        <f t="shared" si="192"/>
        <v>0</v>
      </c>
      <c r="K359" s="845">
        <f t="shared" si="192"/>
        <v>0</v>
      </c>
      <c r="L359" s="845">
        <f t="shared" si="192"/>
        <v>0</v>
      </c>
      <c r="M359" s="846">
        <f t="shared" si="192"/>
        <v>0</v>
      </c>
      <c r="N359" s="846">
        <f t="shared" si="192"/>
        <v>0</v>
      </c>
      <c r="O359" s="846">
        <f t="shared" si="192"/>
        <v>0</v>
      </c>
      <c r="P359" s="846">
        <f t="shared" si="192"/>
        <v>0</v>
      </c>
      <c r="Q359" s="846">
        <f t="shared" si="192"/>
        <v>0</v>
      </c>
      <c r="R359" s="846">
        <f t="shared" si="192"/>
        <v>0</v>
      </c>
      <c r="S359" s="846">
        <f t="shared" si="192"/>
        <v>0</v>
      </c>
      <c r="T359" s="846">
        <f t="shared" si="192"/>
        <v>0</v>
      </c>
      <c r="U359" s="846">
        <f t="shared" si="192"/>
        <v>0</v>
      </c>
      <c r="V359" s="846">
        <f t="shared" si="192"/>
        <v>0</v>
      </c>
      <c r="W359" s="846">
        <f t="shared" si="192"/>
        <v>0</v>
      </c>
      <c r="X359" s="846">
        <f t="shared" si="192"/>
        <v>0</v>
      </c>
      <c r="Y359" s="846">
        <f t="shared" si="192"/>
        <v>0</v>
      </c>
      <c r="Z359" s="846">
        <f t="shared" si="192"/>
        <v>0</v>
      </c>
      <c r="AA359" s="846">
        <f t="shared" si="192"/>
        <v>0</v>
      </c>
      <c r="AB359" s="846">
        <f t="shared" si="192"/>
        <v>0</v>
      </c>
      <c r="AC359" s="846">
        <f t="shared" si="192"/>
        <v>0</v>
      </c>
      <c r="AD359" s="846">
        <f t="shared" si="192"/>
        <v>0</v>
      </c>
      <c r="AE359" s="846">
        <f t="shared" si="192"/>
        <v>0</v>
      </c>
      <c r="AF359" s="846">
        <f t="shared" si="192"/>
        <v>0</v>
      </c>
      <c r="AG359" s="846">
        <f t="shared" si="192"/>
        <v>0</v>
      </c>
      <c r="AH359" s="846">
        <f t="shared" si="192"/>
        <v>0</v>
      </c>
      <c r="AI359" s="846">
        <f t="shared" si="192"/>
        <v>0</v>
      </c>
      <c r="AJ359" s="846">
        <f t="shared" si="192"/>
        <v>0</v>
      </c>
      <c r="AK359" s="846">
        <f t="shared" si="192"/>
        <v>0</v>
      </c>
      <c r="AL359" s="846">
        <f t="shared" si="192"/>
        <v>0</v>
      </c>
      <c r="AM359" s="846">
        <f t="shared" si="192"/>
        <v>0</v>
      </c>
      <c r="AN359" s="846">
        <f t="shared" si="192"/>
        <v>0</v>
      </c>
      <c r="AO359" s="846">
        <f t="shared" si="192"/>
        <v>0</v>
      </c>
      <c r="AP359" s="846">
        <f t="shared" si="192"/>
        <v>0</v>
      </c>
      <c r="AQ359" s="846">
        <f t="shared" si="192"/>
        <v>0</v>
      </c>
      <c r="AR359" s="846">
        <f t="shared" si="192"/>
        <v>0</v>
      </c>
      <c r="AS359" s="846">
        <f t="shared" si="192"/>
        <v>0</v>
      </c>
      <c r="AT359" s="846">
        <f t="shared" si="192"/>
        <v>0</v>
      </c>
      <c r="AU359" s="846">
        <f t="shared" si="192"/>
        <v>0</v>
      </c>
      <c r="AV359" s="846">
        <f t="shared" si="192"/>
        <v>0</v>
      </c>
      <c r="AW359" s="846">
        <f t="shared" si="192"/>
        <v>0</v>
      </c>
      <c r="AX359" s="846">
        <f t="shared" si="192"/>
        <v>0</v>
      </c>
      <c r="AY359" s="846">
        <f t="shared" si="192"/>
        <v>0</v>
      </c>
      <c r="AZ359" s="846">
        <f t="shared" si="192"/>
        <v>0</v>
      </c>
      <c r="BA359" s="846">
        <f t="shared" si="192"/>
        <v>0</v>
      </c>
      <c r="BB359" s="846">
        <f t="shared" si="192"/>
        <v>0</v>
      </c>
      <c r="BC359" s="846">
        <f t="shared" si="192"/>
        <v>0</v>
      </c>
      <c r="BD359" s="846">
        <f t="shared" si="192"/>
        <v>0</v>
      </c>
      <c r="BE359" s="846">
        <f t="shared" si="192"/>
        <v>0</v>
      </c>
      <c r="BF359" s="846">
        <f t="shared" si="192"/>
        <v>0</v>
      </c>
      <c r="BG359" s="846">
        <f t="shared" si="192"/>
        <v>0</v>
      </c>
      <c r="BH359" s="846">
        <f t="shared" si="192"/>
        <v>0</v>
      </c>
      <c r="BI359" s="846">
        <f t="shared" si="192"/>
        <v>0</v>
      </c>
      <c r="BJ359" s="846">
        <f t="shared" si="192"/>
        <v>0</v>
      </c>
      <c r="BK359" s="846">
        <f t="shared" si="192"/>
        <v>0</v>
      </c>
      <c r="BL359" s="846">
        <f t="shared" si="192"/>
        <v>0</v>
      </c>
      <c r="BM359" s="846">
        <f t="shared" si="192"/>
        <v>0</v>
      </c>
      <c r="BN359" s="846">
        <f t="shared" si="192"/>
        <v>0</v>
      </c>
      <c r="BO359" s="846">
        <f t="shared" si="192"/>
        <v>0</v>
      </c>
      <c r="BP359" s="846">
        <f t="shared" si="192"/>
        <v>0</v>
      </c>
      <c r="BQ359" s="846">
        <f t="shared" si="192"/>
        <v>0</v>
      </c>
      <c r="BR359" s="846">
        <f t="shared" si="192"/>
        <v>0</v>
      </c>
      <c r="BS359" s="846">
        <f t="shared" ref="BS359:CI359" si="193">BS357+BS358</f>
        <v>0</v>
      </c>
      <c r="BT359" s="846">
        <f t="shared" si="193"/>
        <v>0</v>
      </c>
      <c r="BU359" s="846">
        <f t="shared" si="193"/>
        <v>0</v>
      </c>
      <c r="BV359" s="846">
        <f t="shared" si="193"/>
        <v>0</v>
      </c>
      <c r="BW359" s="846">
        <f t="shared" si="193"/>
        <v>0</v>
      </c>
      <c r="BX359" s="846">
        <f t="shared" si="193"/>
        <v>0</v>
      </c>
      <c r="BY359" s="846">
        <f t="shared" si="193"/>
        <v>0</v>
      </c>
      <c r="BZ359" s="846">
        <f t="shared" si="193"/>
        <v>0</v>
      </c>
      <c r="CA359" s="846">
        <f t="shared" si="193"/>
        <v>0</v>
      </c>
      <c r="CB359" s="846">
        <f t="shared" si="193"/>
        <v>0</v>
      </c>
      <c r="CC359" s="846">
        <f t="shared" si="193"/>
        <v>0</v>
      </c>
      <c r="CD359" s="846">
        <f t="shared" si="193"/>
        <v>0</v>
      </c>
      <c r="CE359" s="846">
        <f t="shared" si="193"/>
        <v>0</v>
      </c>
      <c r="CF359" s="846">
        <f t="shared" si="193"/>
        <v>0</v>
      </c>
      <c r="CG359" s="846">
        <f t="shared" si="193"/>
        <v>0</v>
      </c>
      <c r="CH359" s="846">
        <f t="shared" si="193"/>
        <v>0</v>
      </c>
      <c r="CI359" s="847">
        <f t="shared" si="193"/>
        <v>0</v>
      </c>
    </row>
    <row r="360" spans="2:89" x14ac:dyDescent="0.25">
      <c r="B360" s="1114" t="s">
        <v>683</v>
      </c>
      <c r="C360" s="1115" t="s">
        <v>507</v>
      </c>
      <c r="D360" s="1116" t="s">
        <v>684</v>
      </c>
      <c r="E360" s="1115" t="s">
        <v>146</v>
      </c>
      <c r="F360" s="1117">
        <v>2</v>
      </c>
      <c r="G360" s="848"/>
      <c r="H360" s="848"/>
      <c r="I360" s="848">
        <f t="shared" ref="I360:BS360" si="194">I313-I356</f>
        <v>0</v>
      </c>
      <c r="J360" s="848">
        <f t="shared" si="194"/>
        <v>0</v>
      </c>
      <c r="K360" s="848">
        <f t="shared" si="194"/>
        <v>0</v>
      </c>
      <c r="L360" s="848">
        <f t="shared" si="194"/>
        <v>0</v>
      </c>
      <c r="M360" s="849">
        <f t="shared" si="194"/>
        <v>0</v>
      </c>
      <c r="N360" s="849">
        <f t="shared" si="194"/>
        <v>0</v>
      </c>
      <c r="O360" s="849">
        <f t="shared" si="194"/>
        <v>0</v>
      </c>
      <c r="P360" s="849">
        <f t="shared" si="194"/>
        <v>0</v>
      </c>
      <c r="Q360" s="849">
        <f t="shared" si="194"/>
        <v>0</v>
      </c>
      <c r="R360" s="849">
        <f t="shared" si="194"/>
        <v>0</v>
      </c>
      <c r="S360" s="849">
        <f t="shared" si="194"/>
        <v>0</v>
      </c>
      <c r="T360" s="849">
        <f t="shared" si="194"/>
        <v>0</v>
      </c>
      <c r="U360" s="849">
        <f t="shared" si="194"/>
        <v>0</v>
      </c>
      <c r="V360" s="849">
        <f t="shared" si="194"/>
        <v>0</v>
      </c>
      <c r="W360" s="849">
        <f t="shared" si="194"/>
        <v>0</v>
      </c>
      <c r="X360" s="849">
        <f t="shared" si="194"/>
        <v>0</v>
      </c>
      <c r="Y360" s="849">
        <f t="shared" si="194"/>
        <v>0</v>
      </c>
      <c r="Z360" s="849">
        <f t="shared" si="194"/>
        <v>0</v>
      </c>
      <c r="AA360" s="849">
        <f t="shared" si="194"/>
        <v>0</v>
      </c>
      <c r="AB360" s="849">
        <f t="shared" si="194"/>
        <v>0</v>
      </c>
      <c r="AC360" s="849">
        <f t="shared" si="194"/>
        <v>0</v>
      </c>
      <c r="AD360" s="849">
        <f t="shared" si="194"/>
        <v>0</v>
      </c>
      <c r="AE360" s="849">
        <f t="shared" si="194"/>
        <v>0</v>
      </c>
      <c r="AF360" s="849">
        <f t="shared" si="194"/>
        <v>0</v>
      </c>
      <c r="AG360" s="849">
        <f t="shared" si="194"/>
        <v>0</v>
      </c>
      <c r="AH360" s="849">
        <f t="shared" si="194"/>
        <v>0</v>
      </c>
      <c r="AI360" s="849">
        <f t="shared" si="194"/>
        <v>0</v>
      </c>
      <c r="AJ360" s="849">
        <f t="shared" si="194"/>
        <v>0</v>
      </c>
      <c r="AK360" s="849">
        <f t="shared" si="194"/>
        <v>0</v>
      </c>
      <c r="AL360" s="849">
        <f t="shared" si="194"/>
        <v>0</v>
      </c>
      <c r="AM360" s="849">
        <f t="shared" si="194"/>
        <v>0</v>
      </c>
      <c r="AN360" s="849">
        <f t="shared" si="194"/>
        <v>0</v>
      </c>
      <c r="AO360" s="849">
        <f t="shared" si="194"/>
        <v>0</v>
      </c>
      <c r="AP360" s="849">
        <f t="shared" si="194"/>
        <v>0</v>
      </c>
      <c r="AQ360" s="849">
        <f t="shared" si="194"/>
        <v>0</v>
      </c>
      <c r="AR360" s="849">
        <f t="shared" si="194"/>
        <v>0</v>
      </c>
      <c r="AS360" s="849">
        <f t="shared" si="194"/>
        <v>0</v>
      </c>
      <c r="AT360" s="849">
        <f t="shared" si="194"/>
        <v>0</v>
      </c>
      <c r="AU360" s="849">
        <f t="shared" si="194"/>
        <v>0</v>
      </c>
      <c r="AV360" s="849">
        <f t="shared" si="194"/>
        <v>0</v>
      </c>
      <c r="AW360" s="849">
        <f t="shared" si="194"/>
        <v>0</v>
      </c>
      <c r="AX360" s="849">
        <f t="shared" si="194"/>
        <v>0</v>
      </c>
      <c r="AY360" s="849">
        <f t="shared" si="194"/>
        <v>0</v>
      </c>
      <c r="AZ360" s="849">
        <f t="shared" si="194"/>
        <v>0</v>
      </c>
      <c r="BA360" s="849">
        <f t="shared" si="194"/>
        <v>0</v>
      </c>
      <c r="BB360" s="849">
        <f t="shared" si="194"/>
        <v>0</v>
      </c>
      <c r="BC360" s="849">
        <f t="shared" si="194"/>
        <v>0</v>
      </c>
      <c r="BD360" s="849">
        <f t="shared" si="194"/>
        <v>0</v>
      </c>
      <c r="BE360" s="849">
        <f t="shared" si="194"/>
        <v>0</v>
      </c>
      <c r="BF360" s="849">
        <f t="shared" si="194"/>
        <v>0</v>
      </c>
      <c r="BG360" s="849">
        <f t="shared" si="194"/>
        <v>0</v>
      </c>
      <c r="BH360" s="849">
        <f t="shared" si="194"/>
        <v>0</v>
      </c>
      <c r="BI360" s="849">
        <f t="shared" si="194"/>
        <v>0</v>
      </c>
      <c r="BJ360" s="849">
        <f t="shared" si="194"/>
        <v>0</v>
      </c>
      <c r="BK360" s="849">
        <f t="shared" si="194"/>
        <v>0</v>
      </c>
      <c r="BL360" s="849">
        <f t="shared" si="194"/>
        <v>0</v>
      </c>
      <c r="BM360" s="849">
        <f t="shared" si="194"/>
        <v>0</v>
      </c>
      <c r="BN360" s="849">
        <f t="shared" si="194"/>
        <v>0</v>
      </c>
      <c r="BO360" s="849">
        <f t="shared" si="194"/>
        <v>0</v>
      </c>
      <c r="BP360" s="849">
        <f t="shared" si="194"/>
        <v>0</v>
      </c>
      <c r="BQ360" s="849">
        <f t="shared" si="194"/>
        <v>0</v>
      </c>
      <c r="BR360" s="849">
        <f t="shared" si="194"/>
        <v>0</v>
      </c>
      <c r="BS360" s="849">
        <f t="shared" si="194"/>
        <v>0</v>
      </c>
      <c r="BT360" s="849">
        <f t="shared" ref="BT360:CI360" si="195">BT313-BT356</f>
        <v>0</v>
      </c>
      <c r="BU360" s="849">
        <f t="shared" si="195"/>
        <v>0</v>
      </c>
      <c r="BV360" s="849">
        <f t="shared" si="195"/>
        <v>0</v>
      </c>
      <c r="BW360" s="849">
        <f t="shared" si="195"/>
        <v>0</v>
      </c>
      <c r="BX360" s="849">
        <f t="shared" si="195"/>
        <v>0</v>
      </c>
      <c r="BY360" s="849">
        <f t="shared" si="195"/>
        <v>0</v>
      </c>
      <c r="BZ360" s="849">
        <f t="shared" si="195"/>
        <v>0</v>
      </c>
      <c r="CA360" s="849">
        <f t="shared" si="195"/>
        <v>0</v>
      </c>
      <c r="CB360" s="849">
        <f t="shared" si="195"/>
        <v>0</v>
      </c>
      <c r="CC360" s="849">
        <f t="shared" si="195"/>
        <v>0</v>
      </c>
      <c r="CD360" s="849">
        <f t="shared" si="195"/>
        <v>0</v>
      </c>
      <c r="CE360" s="849">
        <f t="shared" si="195"/>
        <v>0</v>
      </c>
      <c r="CF360" s="849">
        <f t="shared" si="195"/>
        <v>0</v>
      </c>
      <c r="CG360" s="849">
        <f t="shared" si="195"/>
        <v>0</v>
      </c>
      <c r="CH360" s="849">
        <f t="shared" si="195"/>
        <v>0</v>
      </c>
      <c r="CI360" s="850">
        <f t="shared" si="195"/>
        <v>0</v>
      </c>
    </row>
    <row r="361" spans="2:89" ht="14.4" thickBot="1" x14ac:dyDescent="0.3">
      <c r="B361" s="955" t="s">
        <v>685</v>
      </c>
      <c r="C361" s="956" t="s">
        <v>510</v>
      </c>
      <c r="D361" s="957" t="s">
        <v>686</v>
      </c>
      <c r="E361" s="956" t="s">
        <v>146</v>
      </c>
      <c r="F361" s="952">
        <v>2</v>
      </c>
      <c r="G361" s="848"/>
      <c r="H361" s="848"/>
      <c r="I361" s="848">
        <f t="shared" ref="I361:BR361" si="196">I304-I315</f>
        <v>0</v>
      </c>
      <c r="J361" s="848">
        <f t="shared" si="196"/>
        <v>0</v>
      </c>
      <c r="K361" s="848">
        <f t="shared" si="196"/>
        <v>0</v>
      </c>
      <c r="L361" s="848">
        <f t="shared" si="196"/>
        <v>0</v>
      </c>
      <c r="M361" s="848">
        <f t="shared" si="196"/>
        <v>0</v>
      </c>
      <c r="N361" s="848">
        <f t="shared" si="196"/>
        <v>0</v>
      </c>
      <c r="O361" s="848">
        <f t="shared" si="196"/>
        <v>0</v>
      </c>
      <c r="P361" s="848">
        <f t="shared" si="196"/>
        <v>0</v>
      </c>
      <c r="Q361" s="848">
        <f t="shared" si="196"/>
        <v>0</v>
      </c>
      <c r="R361" s="848">
        <f t="shared" si="196"/>
        <v>0</v>
      </c>
      <c r="S361" s="848">
        <f t="shared" si="196"/>
        <v>0</v>
      </c>
      <c r="T361" s="848">
        <f t="shared" si="196"/>
        <v>0</v>
      </c>
      <c r="U361" s="848">
        <f t="shared" si="196"/>
        <v>0</v>
      </c>
      <c r="V361" s="848">
        <f t="shared" si="196"/>
        <v>0</v>
      </c>
      <c r="W361" s="848">
        <f t="shared" si="196"/>
        <v>0</v>
      </c>
      <c r="X361" s="848">
        <f t="shared" si="196"/>
        <v>0</v>
      </c>
      <c r="Y361" s="848">
        <f t="shared" si="196"/>
        <v>0</v>
      </c>
      <c r="Z361" s="848">
        <f t="shared" si="196"/>
        <v>0</v>
      </c>
      <c r="AA361" s="848">
        <f t="shared" si="196"/>
        <v>0</v>
      </c>
      <c r="AB361" s="848">
        <f t="shared" si="196"/>
        <v>0</v>
      </c>
      <c r="AC361" s="848">
        <f t="shared" si="196"/>
        <v>0</v>
      </c>
      <c r="AD361" s="848">
        <f t="shared" si="196"/>
        <v>0</v>
      </c>
      <c r="AE361" s="848">
        <f t="shared" si="196"/>
        <v>0</v>
      </c>
      <c r="AF361" s="848">
        <f t="shared" si="196"/>
        <v>0</v>
      </c>
      <c r="AG361" s="848">
        <f t="shared" si="196"/>
        <v>0</v>
      </c>
      <c r="AH361" s="848">
        <f t="shared" si="196"/>
        <v>0</v>
      </c>
      <c r="AI361" s="848">
        <f t="shared" si="196"/>
        <v>0</v>
      </c>
      <c r="AJ361" s="848">
        <f t="shared" si="196"/>
        <v>0</v>
      </c>
      <c r="AK361" s="848">
        <f t="shared" si="196"/>
        <v>0</v>
      </c>
      <c r="AL361" s="848">
        <f t="shared" si="196"/>
        <v>0</v>
      </c>
      <c r="AM361" s="848">
        <f t="shared" si="196"/>
        <v>0</v>
      </c>
      <c r="AN361" s="848">
        <f t="shared" si="196"/>
        <v>0</v>
      </c>
      <c r="AO361" s="848">
        <f t="shared" si="196"/>
        <v>0</v>
      </c>
      <c r="AP361" s="848">
        <f t="shared" si="196"/>
        <v>0</v>
      </c>
      <c r="AQ361" s="848">
        <f t="shared" si="196"/>
        <v>0</v>
      </c>
      <c r="AR361" s="848">
        <f t="shared" si="196"/>
        <v>0</v>
      </c>
      <c r="AS361" s="848">
        <f t="shared" si="196"/>
        <v>0</v>
      </c>
      <c r="AT361" s="848">
        <f t="shared" si="196"/>
        <v>0</v>
      </c>
      <c r="AU361" s="848">
        <f t="shared" si="196"/>
        <v>0</v>
      </c>
      <c r="AV361" s="848">
        <f t="shared" si="196"/>
        <v>0</v>
      </c>
      <c r="AW361" s="848">
        <f t="shared" si="196"/>
        <v>0</v>
      </c>
      <c r="AX361" s="848">
        <f t="shared" si="196"/>
        <v>0</v>
      </c>
      <c r="AY361" s="848">
        <f t="shared" si="196"/>
        <v>0</v>
      </c>
      <c r="AZ361" s="848">
        <f t="shared" si="196"/>
        <v>0</v>
      </c>
      <c r="BA361" s="848">
        <f t="shared" si="196"/>
        <v>0</v>
      </c>
      <c r="BB361" s="848">
        <f t="shared" si="196"/>
        <v>0</v>
      </c>
      <c r="BC361" s="848">
        <f t="shared" si="196"/>
        <v>0</v>
      </c>
      <c r="BD361" s="848">
        <f t="shared" si="196"/>
        <v>0</v>
      </c>
      <c r="BE361" s="848">
        <f t="shared" si="196"/>
        <v>0</v>
      </c>
      <c r="BF361" s="848">
        <f t="shared" si="196"/>
        <v>0</v>
      </c>
      <c r="BG361" s="848">
        <f t="shared" si="196"/>
        <v>0</v>
      </c>
      <c r="BH361" s="848">
        <f t="shared" si="196"/>
        <v>0</v>
      </c>
      <c r="BI361" s="848">
        <f t="shared" si="196"/>
        <v>0</v>
      </c>
      <c r="BJ361" s="848">
        <f t="shared" si="196"/>
        <v>0</v>
      </c>
      <c r="BK361" s="848">
        <f t="shared" si="196"/>
        <v>0</v>
      </c>
      <c r="BL361" s="848">
        <f t="shared" si="196"/>
        <v>0</v>
      </c>
      <c r="BM361" s="848">
        <f t="shared" si="196"/>
        <v>0</v>
      </c>
      <c r="BN361" s="848">
        <f t="shared" si="196"/>
        <v>0</v>
      </c>
      <c r="BO361" s="848">
        <f t="shared" si="196"/>
        <v>0</v>
      </c>
      <c r="BP361" s="848">
        <f t="shared" si="196"/>
        <v>0</v>
      </c>
      <c r="BQ361" s="848">
        <f t="shared" si="196"/>
        <v>0</v>
      </c>
      <c r="BR361" s="848">
        <f t="shared" si="196"/>
        <v>0</v>
      </c>
      <c r="BS361" s="848">
        <f t="shared" ref="BS361:CI361" si="197">BS304-BS315</f>
        <v>0</v>
      </c>
      <c r="BT361" s="848">
        <f t="shared" si="197"/>
        <v>0</v>
      </c>
      <c r="BU361" s="848">
        <f t="shared" si="197"/>
        <v>0</v>
      </c>
      <c r="BV361" s="848">
        <f t="shared" si="197"/>
        <v>0</v>
      </c>
      <c r="BW361" s="848">
        <f t="shared" si="197"/>
        <v>0</v>
      </c>
      <c r="BX361" s="848">
        <f t="shared" si="197"/>
        <v>0</v>
      </c>
      <c r="BY361" s="848">
        <f t="shared" si="197"/>
        <v>0</v>
      </c>
      <c r="BZ361" s="848">
        <f t="shared" si="197"/>
        <v>0</v>
      </c>
      <c r="CA361" s="848">
        <f t="shared" si="197"/>
        <v>0</v>
      </c>
      <c r="CB361" s="848">
        <f t="shared" si="197"/>
        <v>0</v>
      </c>
      <c r="CC361" s="848">
        <f t="shared" si="197"/>
        <v>0</v>
      </c>
      <c r="CD361" s="848">
        <f t="shared" si="197"/>
        <v>0</v>
      </c>
      <c r="CE361" s="848">
        <f t="shared" si="197"/>
        <v>0</v>
      </c>
      <c r="CF361" s="848">
        <f t="shared" si="197"/>
        <v>0</v>
      </c>
      <c r="CG361" s="848">
        <f t="shared" si="197"/>
        <v>0</v>
      </c>
      <c r="CH361" s="848">
        <f t="shared" si="197"/>
        <v>0</v>
      </c>
      <c r="CI361" s="848">
        <f t="shared" si="197"/>
        <v>0</v>
      </c>
    </row>
    <row r="362" spans="2:89" x14ac:dyDescent="0.25">
      <c r="B362" s="1046" t="s">
        <v>687</v>
      </c>
      <c r="C362" s="1047" t="s">
        <v>303</v>
      </c>
      <c r="D362" s="1048" t="s">
        <v>688</v>
      </c>
      <c r="E362" s="1047" t="s">
        <v>146</v>
      </c>
      <c r="F362" s="1049">
        <v>2</v>
      </c>
      <c r="G362" s="855"/>
      <c r="H362" s="855"/>
      <c r="I362" s="855">
        <f t="shared" ref="I362:BS362" si="198">I360-I359</f>
        <v>0</v>
      </c>
      <c r="J362" s="855">
        <f t="shared" si="198"/>
        <v>0</v>
      </c>
      <c r="K362" s="855">
        <f t="shared" si="198"/>
        <v>0</v>
      </c>
      <c r="L362" s="855">
        <f t="shared" si="198"/>
        <v>0</v>
      </c>
      <c r="M362" s="856">
        <f t="shared" si="198"/>
        <v>0</v>
      </c>
      <c r="N362" s="856">
        <f t="shared" si="198"/>
        <v>0</v>
      </c>
      <c r="O362" s="856">
        <f t="shared" si="198"/>
        <v>0</v>
      </c>
      <c r="P362" s="856">
        <f t="shared" si="198"/>
        <v>0</v>
      </c>
      <c r="Q362" s="856">
        <f t="shared" si="198"/>
        <v>0</v>
      </c>
      <c r="R362" s="856">
        <f t="shared" si="198"/>
        <v>0</v>
      </c>
      <c r="S362" s="856">
        <f t="shared" si="198"/>
        <v>0</v>
      </c>
      <c r="T362" s="856">
        <f t="shared" si="198"/>
        <v>0</v>
      </c>
      <c r="U362" s="856">
        <f t="shared" si="198"/>
        <v>0</v>
      </c>
      <c r="V362" s="856">
        <f t="shared" si="198"/>
        <v>0</v>
      </c>
      <c r="W362" s="856">
        <f t="shared" si="198"/>
        <v>0</v>
      </c>
      <c r="X362" s="856">
        <f t="shared" si="198"/>
        <v>0</v>
      </c>
      <c r="Y362" s="856">
        <f t="shared" si="198"/>
        <v>0</v>
      </c>
      <c r="Z362" s="856">
        <f t="shared" si="198"/>
        <v>0</v>
      </c>
      <c r="AA362" s="856">
        <f t="shared" si="198"/>
        <v>0</v>
      </c>
      <c r="AB362" s="856">
        <f t="shared" si="198"/>
        <v>0</v>
      </c>
      <c r="AC362" s="856">
        <f t="shared" si="198"/>
        <v>0</v>
      </c>
      <c r="AD362" s="856">
        <f t="shared" si="198"/>
        <v>0</v>
      </c>
      <c r="AE362" s="856">
        <f t="shared" si="198"/>
        <v>0</v>
      </c>
      <c r="AF362" s="856">
        <f t="shared" si="198"/>
        <v>0</v>
      </c>
      <c r="AG362" s="856">
        <f t="shared" si="198"/>
        <v>0</v>
      </c>
      <c r="AH362" s="856">
        <f t="shared" si="198"/>
        <v>0</v>
      </c>
      <c r="AI362" s="856">
        <f t="shared" si="198"/>
        <v>0</v>
      </c>
      <c r="AJ362" s="856">
        <f t="shared" si="198"/>
        <v>0</v>
      </c>
      <c r="AK362" s="856">
        <f t="shared" si="198"/>
        <v>0</v>
      </c>
      <c r="AL362" s="856">
        <f t="shared" si="198"/>
        <v>0</v>
      </c>
      <c r="AM362" s="856">
        <f t="shared" si="198"/>
        <v>0</v>
      </c>
      <c r="AN362" s="856">
        <f t="shared" si="198"/>
        <v>0</v>
      </c>
      <c r="AO362" s="856">
        <f t="shared" si="198"/>
        <v>0</v>
      </c>
      <c r="AP362" s="856">
        <f t="shared" si="198"/>
        <v>0</v>
      </c>
      <c r="AQ362" s="856">
        <f t="shared" si="198"/>
        <v>0</v>
      </c>
      <c r="AR362" s="856">
        <f t="shared" si="198"/>
        <v>0</v>
      </c>
      <c r="AS362" s="856">
        <f t="shared" si="198"/>
        <v>0</v>
      </c>
      <c r="AT362" s="856">
        <f t="shared" si="198"/>
        <v>0</v>
      </c>
      <c r="AU362" s="856">
        <f t="shared" si="198"/>
        <v>0</v>
      </c>
      <c r="AV362" s="856">
        <f t="shared" si="198"/>
        <v>0</v>
      </c>
      <c r="AW362" s="856">
        <f t="shared" si="198"/>
        <v>0</v>
      </c>
      <c r="AX362" s="856">
        <f t="shared" si="198"/>
        <v>0</v>
      </c>
      <c r="AY362" s="856">
        <f t="shared" si="198"/>
        <v>0</v>
      </c>
      <c r="AZ362" s="856">
        <f t="shared" si="198"/>
        <v>0</v>
      </c>
      <c r="BA362" s="856">
        <f t="shared" si="198"/>
        <v>0</v>
      </c>
      <c r="BB362" s="856">
        <f t="shared" si="198"/>
        <v>0</v>
      </c>
      <c r="BC362" s="856">
        <f t="shared" si="198"/>
        <v>0</v>
      </c>
      <c r="BD362" s="856">
        <f t="shared" si="198"/>
        <v>0</v>
      </c>
      <c r="BE362" s="856">
        <f t="shared" si="198"/>
        <v>0</v>
      </c>
      <c r="BF362" s="856">
        <f t="shared" si="198"/>
        <v>0</v>
      </c>
      <c r="BG362" s="856">
        <f t="shared" si="198"/>
        <v>0</v>
      </c>
      <c r="BH362" s="856">
        <f t="shared" si="198"/>
        <v>0</v>
      </c>
      <c r="BI362" s="856">
        <f t="shared" si="198"/>
        <v>0</v>
      </c>
      <c r="BJ362" s="856">
        <f t="shared" si="198"/>
        <v>0</v>
      </c>
      <c r="BK362" s="856">
        <f t="shared" si="198"/>
        <v>0</v>
      </c>
      <c r="BL362" s="856">
        <f t="shared" si="198"/>
        <v>0</v>
      </c>
      <c r="BM362" s="856">
        <f t="shared" si="198"/>
        <v>0</v>
      </c>
      <c r="BN362" s="856">
        <f t="shared" si="198"/>
        <v>0</v>
      </c>
      <c r="BO362" s="856">
        <f t="shared" si="198"/>
        <v>0</v>
      </c>
      <c r="BP362" s="856">
        <f t="shared" si="198"/>
        <v>0</v>
      </c>
      <c r="BQ362" s="856">
        <f t="shared" si="198"/>
        <v>0</v>
      </c>
      <c r="BR362" s="856">
        <f t="shared" si="198"/>
        <v>0</v>
      </c>
      <c r="BS362" s="856">
        <f t="shared" si="198"/>
        <v>0</v>
      </c>
      <c r="BT362" s="856">
        <f t="shared" ref="BT362:CI362" si="199">BT360-BT359</f>
        <v>0</v>
      </c>
      <c r="BU362" s="856">
        <f t="shared" si="199"/>
        <v>0</v>
      </c>
      <c r="BV362" s="856">
        <f t="shared" si="199"/>
        <v>0</v>
      </c>
      <c r="BW362" s="856">
        <f t="shared" si="199"/>
        <v>0</v>
      </c>
      <c r="BX362" s="856">
        <f t="shared" si="199"/>
        <v>0</v>
      </c>
      <c r="BY362" s="856">
        <f t="shared" si="199"/>
        <v>0</v>
      </c>
      <c r="BZ362" s="856">
        <f t="shared" si="199"/>
        <v>0</v>
      </c>
      <c r="CA362" s="856">
        <f t="shared" si="199"/>
        <v>0</v>
      </c>
      <c r="CB362" s="856">
        <f t="shared" si="199"/>
        <v>0</v>
      </c>
      <c r="CC362" s="856">
        <f t="shared" si="199"/>
        <v>0</v>
      </c>
      <c r="CD362" s="856">
        <f t="shared" si="199"/>
        <v>0</v>
      </c>
      <c r="CE362" s="856">
        <f t="shared" si="199"/>
        <v>0</v>
      </c>
      <c r="CF362" s="856">
        <f t="shared" si="199"/>
        <v>0</v>
      </c>
      <c r="CG362" s="856">
        <f t="shared" si="199"/>
        <v>0</v>
      </c>
      <c r="CH362" s="856">
        <f t="shared" si="199"/>
        <v>0</v>
      </c>
      <c r="CI362" s="857">
        <f t="shared" si="199"/>
        <v>0</v>
      </c>
    </row>
    <row r="365" spans="2:89" x14ac:dyDescent="0.25">
      <c r="B365" s="1369" t="s">
        <v>695</v>
      </c>
      <c r="C365" s="1370"/>
      <c r="D365" s="1370"/>
      <c r="E365" s="1370"/>
      <c r="F365" s="1370"/>
      <c r="G365" s="1370"/>
      <c r="H365" s="1370"/>
      <c r="I365" s="1370"/>
      <c r="J365" s="1370"/>
      <c r="K365" s="1370"/>
      <c r="L365" s="1370"/>
      <c r="M365" s="1370"/>
      <c r="N365" s="1370"/>
      <c r="O365" s="1370"/>
      <c r="P365" s="1370"/>
      <c r="Q365" s="1370"/>
      <c r="R365" s="1370"/>
      <c r="S365" s="1370"/>
      <c r="T365" s="1370"/>
      <c r="U365" s="1370"/>
      <c r="V365" s="1370"/>
      <c r="W365" s="1370"/>
      <c r="X365" s="1370"/>
      <c r="Y365" s="1370"/>
      <c r="Z365" s="1370"/>
      <c r="AA365" s="1370"/>
      <c r="AB365" s="1370"/>
      <c r="AC365" s="1370"/>
      <c r="AD365" s="1370"/>
      <c r="AE365" s="1370"/>
      <c r="AF365" s="1370"/>
      <c r="AG365" s="1370"/>
      <c r="AH365" s="1370"/>
      <c r="AI365" s="1370"/>
      <c r="AJ365" s="1370"/>
      <c r="AK365" s="1370"/>
      <c r="AL365" s="1370"/>
      <c r="AM365" s="1370"/>
      <c r="AN365" s="1370"/>
      <c r="AO365" s="1370"/>
      <c r="AP365" s="1370"/>
      <c r="AQ365" s="1370"/>
      <c r="AR365" s="1370"/>
      <c r="AS365" s="1370"/>
      <c r="AT365" s="1370"/>
      <c r="AU365" s="1370"/>
      <c r="AV365" s="1370"/>
      <c r="AW365" s="1370"/>
      <c r="AX365" s="1370"/>
      <c r="AY365" s="1370"/>
      <c r="AZ365" s="1370"/>
      <c r="BA365" s="1370"/>
      <c r="BB365" s="1370"/>
      <c r="BC365" s="1370"/>
      <c r="BD365" s="1370"/>
      <c r="BE365" s="1370"/>
      <c r="BF365" s="1370"/>
      <c r="BG365" s="1370"/>
      <c r="BH365" s="1370"/>
      <c r="BI365" s="1370"/>
      <c r="BJ365" s="1370"/>
      <c r="BK365" s="1370"/>
      <c r="BL365" s="1370"/>
      <c r="BM365" s="1370"/>
      <c r="BN365" s="1370"/>
      <c r="BO365" s="1370"/>
      <c r="BP365" s="1370"/>
      <c r="BQ365" s="1370"/>
      <c r="BR365" s="1370"/>
      <c r="BS365" s="1370"/>
      <c r="BT365" s="1370"/>
      <c r="BU365" s="1370"/>
      <c r="BV365" s="1370"/>
      <c r="BW365" s="1370"/>
      <c r="BX365" s="1370"/>
      <c r="BY365" s="1370"/>
      <c r="BZ365" s="1370"/>
      <c r="CA365" s="1370"/>
      <c r="CB365" s="1370"/>
      <c r="CC365" s="1370"/>
      <c r="CD365" s="1370"/>
      <c r="CE365" s="1370"/>
      <c r="CF365" s="1370"/>
      <c r="CG365" s="1370"/>
      <c r="CH365" s="1370"/>
      <c r="CI365" s="1371"/>
    </row>
    <row r="366" spans="2:89" x14ac:dyDescent="0.25">
      <c r="B366" s="1372"/>
      <c r="C366" s="1373"/>
      <c r="D366" s="1373"/>
      <c r="E366" s="1373"/>
      <c r="F366" s="1373"/>
      <c r="G366" s="1373"/>
      <c r="H366" s="1373"/>
      <c r="I366" s="1373"/>
      <c r="J366" s="1373"/>
      <c r="K366" s="1373"/>
      <c r="L366" s="1373"/>
      <c r="M366" s="1373"/>
      <c r="N366" s="1373"/>
      <c r="O366" s="1373"/>
      <c r="P366" s="1373"/>
      <c r="Q366" s="1373"/>
      <c r="R366" s="1373"/>
      <c r="S366" s="1373"/>
      <c r="T366" s="1373"/>
      <c r="U366" s="1373"/>
      <c r="V366" s="1373"/>
      <c r="W366" s="1373"/>
      <c r="X366" s="1373"/>
      <c r="Y366" s="1373"/>
      <c r="Z366" s="1373"/>
      <c r="AA366" s="1373"/>
      <c r="AB366" s="1373"/>
      <c r="AC366" s="1373"/>
      <c r="AD366" s="1373"/>
      <c r="AE366" s="1373"/>
      <c r="AF366" s="1373"/>
      <c r="AG366" s="1373"/>
      <c r="AH366" s="1373"/>
      <c r="AI366" s="1373"/>
      <c r="AJ366" s="1373"/>
      <c r="AK366" s="1373"/>
      <c r="AL366" s="1373"/>
      <c r="AM366" s="1373"/>
      <c r="AN366" s="1373"/>
      <c r="AO366" s="1373"/>
      <c r="AP366" s="1373"/>
      <c r="AQ366" s="1373"/>
      <c r="AR366" s="1373"/>
      <c r="AS366" s="1373"/>
      <c r="AT366" s="1373"/>
      <c r="AU366" s="1373"/>
      <c r="AV366" s="1373"/>
      <c r="AW366" s="1373"/>
      <c r="AX366" s="1373"/>
      <c r="AY366" s="1373"/>
      <c r="AZ366" s="1373"/>
      <c r="BA366" s="1373"/>
      <c r="BB366" s="1373"/>
      <c r="BC366" s="1373"/>
      <c r="BD366" s="1373"/>
      <c r="BE366" s="1373"/>
      <c r="BF366" s="1373"/>
      <c r="BG366" s="1373"/>
      <c r="BH366" s="1373"/>
      <c r="BI366" s="1373"/>
      <c r="BJ366" s="1373"/>
      <c r="BK366" s="1373"/>
      <c r="BL366" s="1373"/>
      <c r="BM366" s="1373"/>
      <c r="BN366" s="1373"/>
      <c r="BO366" s="1373"/>
      <c r="BP366" s="1373"/>
      <c r="BQ366" s="1373"/>
      <c r="BR366" s="1373"/>
      <c r="BS366" s="1373"/>
      <c r="BT366" s="1373"/>
      <c r="BU366" s="1373"/>
      <c r="BV366" s="1373"/>
      <c r="BW366" s="1373"/>
      <c r="BX366" s="1373"/>
      <c r="BY366" s="1373"/>
      <c r="BZ366" s="1373"/>
      <c r="CA366" s="1373"/>
      <c r="CB366" s="1373"/>
      <c r="CC366" s="1373"/>
      <c r="CD366" s="1373"/>
      <c r="CE366" s="1373"/>
      <c r="CF366" s="1373"/>
      <c r="CG366" s="1373"/>
      <c r="CH366" s="1373"/>
      <c r="CI366" s="1374"/>
    </row>
    <row r="367" spans="2:89" x14ac:dyDescent="0.25">
      <c r="B367" s="1372" t="s">
        <v>696</v>
      </c>
      <c r="C367" s="1373"/>
      <c r="D367" s="1373"/>
      <c r="E367" s="1373"/>
      <c r="F367" s="1373"/>
      <c r="G367" s="1050" t="s">
        <v>119</v>
      </c>
      <c r="H367" s="1050" t="s">
        <v>120</v>
      </c>
      <c r="I367" s="1050" t="s">
        <v>121</v>
      </c>
      <c r="J367" s="1050" t="s">
        <v>122</v>
      </c>
      <c r="K367" s="1050" t="s">
        <v>123</v>
      </c>
      <c r="L367" s="1050" t="s">
        <v>124</v>
      </c>
      <c r="M367" s="1050" t="s">
        <v>125</v>
      </c>
      <c r="N367" s="1050" t="s">
        <v>126</v>
      </c>
      <c r="O367" s="1050" t="s">
        <v>127</v>
      </c>
      <c r="P367" s="1050" t="s">
        <v>128</v>
      </c>
      <c r="Q367" s="1050" t="s">
        <v>129</v>
      </c>
      <c r="R367" s="1050" t="s">
        <v>130</v>
      </c>
      <c r="S367" s="1050" t="s">
        <v>157</v>
      </c>
      <c r="T367" s="1050" t="s">
        <v>158</v>
      </c>
      <c r="U367" s="1050" t="s">
        <v>159</v>
      </c>
      <c r="V367" s="1050" t="s">
        <v>160</v>
      </c>
      <c r="W367" s="1050" t="s">
        <v>131</v>
      </c>
      <c r="X367" s="1050" t="s">
        <v>161</v>
      </c>
      <c r="Y367" s="1050" t="s">
        <v>162</v>
      </c>
      <c r="Z367" s="1050" t="s">
        <v>163</v>
      </c>
      <c r="AA367" s="1050" t="s">
        <v>164</v>
      </c>
      <c r="AB367" s="1050" t="s">
        <v>132</v>
      </c>
      <c r="AC367" s="1050" t="s">
        <v>165</v>
      </c>
      <c r="AD367" s="1050" t="s">
        <v>166</v>
      </c>
      <c r="AE367" s="1050" t="s">
        <v>167</v>
      </c>
      <c r="AF367" s="1050" t="s">
        <v>168</v>
      </c>
      <c r="AG367" s="1050" t="s">
        <v>133</v>
      </c>
      <c r="AH367" s="1050" t="s">
        <v>169</v>
      </c>
      <c r="AI367" s="1050" t="s">
        <v>170</v>
      </c>
      <c r="AJ367" s="1050" t="s">
        <v>171</v>
      </c>
      <c r="AK367" s="1050" t="s">
        <v>172</v>
      </c>
      <c r="AL367" s="1050" t="s">
        <v>134</v>
      </c>
      <c r="AM367" s="1050" t="s">
        <v>173</v>
      </c>
      <c r="AN367" s="1050" t="s">
        <v>174</v>
      </c>
      <c r="AO367" s="1050" t="s">
        <v>175</v>
      </c>
      <c r="AP367" s="1050" t="s">
        <v>176</v>
      </c>
      <c r="AQ367" s="1050" t="s">
        <v>135</v>
      </c>
      <c r="AR367" s="1050" t="s">
        <v>177</v>
      </c>
      <c r="AS367" s="1050" t="s">
        <v>178</v>
      </c>
      <c r="AT367" s="1050" t="s">
        <v>179</v>
      </c>
      <c r="AU367" s="1050" t="s">
        <v>180</v>
      </c>
      <c r="AV367" s="1050" t="s">
        <v>136</v>
      </c>
      <c r="AW367" s="1050" t="s">
        <v>181</v>
      </c>
      <c r="AX367" s="1050" t="s">
        <v>182</v>
      </c>
      <c r="AY367" s="1050" t="s">
        <v>183</v>
      </c>
      <c r="AZ367" s="1050" t="s">
        <v>184</v>
      </c>
      <c r="BA367" s="1050" t="s">
        <v>137</v>
      </c>
      <c r="BB367" s="1050" t="s">
        <v>185</v>
      </c>
      <c r="BC367" s="1050" t="s">
        <v>186</v>
      </c>
      <c r="BD367" s="1050" t="s">
        <v>187</v>
      </c>
      <c r="BE367" s="1050" t="s">
        <v>188</v>
      </c>
      <c r="BF367" s="1050" t="s">
        <v>138</v>
      </c>
      <c r="BG367" s="1050" t="s">
        <v>189</v>
      </c>
      <c r="BH367" s="1050" t="s">
        <v>190</v>
      </c>
      <c r="BI367" s="1050" t="s">
        <v>191</v>
      </c>
      <c r="BJ367" s="1050" t="s">
        <v>192</v>
      </c>
      <c r="BK367" s="1050" t="s">
        <v>139</v>
      </c>
      <c r="BL367" s="1050" t="s">
        <v>193</v>
      </c>
      <c r="BM367" s="1050" t="s">
        <v>194</v>
      </c>
      <c r="BN367" s="1050" t="s">
        <v>195</v>
      </c>
      <c r="BO367" s="1050" t="s">
        <v>196</v>
      </c>
      <c r="BP367" s="1050" t="s">
        <v>140</v>
      </c>
      <c r="BQ367" s="1050" t="s">
        <v>197</v>
      </c>
      <c r="BR367" s="1050" t="s">
        <v>198</v>
      </c>
      <c r="BS367" s="1050" t="s">
        <v>199</v>
      </c>
      <c r="BT367" s="1050" t="s">
        <v>200</v>
      </c>
      <c r="BU367" s="1050" t="s">
        <v>141</v>
      </c>
      <c r="BV367" s="1050" t="s">
        <v>201</v>
      </c>
      <c r="BW367" s="1050" t="s">
        <v>202</v>
      </c>
      <c r="BX367" s="1050" t="s">
        <v>203</v>
      </c>
      <c r="BY367" s="1050" t="s">
        <v>204</v>
      </c>
      <c r="BZ367" s="1050" t="s">
        <v>142</v>
      </c>
      <c r="CA367" s="1050" t="s">
        <v>205</v>
      </c>
      <c r="CB367" s="1050" t="s">
        <v>206</v>
      </c>
      <c r="CC367" s="1050" t="s">
        <v>207</v>
      </c>
      <c r="CD367" s="1050" t="s">
        <v>208</v>
      </c>
      <c r="CE367" s="1050" t="s">
        <v>143</v>
      </c>
      <c r="CF367" s="1050" t="s">
        <v>209</v>
      </c>
      <c r="CG367" s="1050" t="s">
        <v>210</v>
      </c>
      <c r="CH367" s="1050" t="s">
        <v>211</v>
      </c>
      <c r="CI367" s="1051" t="s">
        <v>212</v>
      </c>
    </row>
    <row r="368" spans="2:89" x14ac:dyDescent="0.25">
      <c r="B368" s="1372"/>
      <c r="C368" s="1373" t="s">
        <v>697</v>
      </c>
      <c r="D368" s="1373"/>
      <c r="E368" s="1373" t="s">
        <v>146</v>
      </c>
      <c r="F368" s="1373">
        <v>2</v>
      </c>
      <c r="G368" s="1052">
        <f t="shared" ref="G368:BR369" si="200">G46-G57</f>
        <v>0</v>
      </c>
      <c r="H368" s="1052">
        <f t="shared" si="200"/>
        <v>0</v>
      </c>
      <c r="I368" s="1052">
        <f t="shared" si="200"/>
        <v>97.254182465999975</v>
      </c>
      <c r="J368" s="1052">
        <f t="shared" si="200"/>
        <v>106.51834949736738</v>
      </c>
      <c r="K368" s="1052">
        <f t="shared" si="200"/>
        <v>114.77191994578537</v>
      </c>
      <c r="L368" s="1052">
        <f t="shared" si="200"/>
        <v>122.23420847241869</v>
      </c>
      <c r="M368" s="1052">
        <f t="shared" si="200"/>
        <v>125.54512215149364</v>
      </c>
      <c r="N368" s="1052">
        <f t="shared" si="200"/>
        <v>128.6741739787102</v>
      </c>
      <c r="O368" s="1052">
        <f t="shared" si="200"/>
        <v>131.4890229316521</v>
      </c>
      <c r="P368" s="1052">
        <f t="shared" si="200"/>
        <v>134.15908503898959</v>
      </c>
      <c r="Q368" s="1052">
        <f t="shared" si="200"/>
        <v>136.74211763032329</v>
      </c>
      <c r="R368" s="1052">
        <f t="shared" si="200"/>
        <v>139.11691685098248</v>
      </c>
      <c r="S368" s="1052">
        <f t="shared" si="200"/>
        <v>141.38303842361034</v>
      </c>
      <c r="T368" s="1052">
        <f t="shared" si="200"/>
        <v>143.55813101175343</v>
      </c>
      <c r="U368" s="1052">
        <f t="shared" si="200"/>
        <v>145.63059400682474</v>
      </c>
      <c r="V368" s="1052">
        <f t="shared" si="200"/>
        <v>147.5742066749221</v>
      </c>
      <c r="W368" s="1052">
        <f t="shared" si="200"/>
        <v>150.03135202273219</v>
      </c>
      <c r="X368" s="1052">
        <f t="shared" si="200"/>
        <v>152.36029013628675</v>
      </c>
      <c r="Y368" s="1052">
        <f t="shared" si="200"/>
        <v>154.62648658370085</v>
      </c>
      <c r="Z368" s="1052">
        <f t="shared" si="200"/>
        <v>156.82578464051559</v>
      </c>
      <c r="AA368" s="1052">
        <f t="shared" si="200"/>
        <v>158.92949873043347</v>
      </c>
      <c r="AB368" s="1052">
        <f t="shared" si="200"/>
        <v>160.91640205472484</v>
      </c>
      <c r="AC368" s="1052">
        <f t="shared" si="200"/>
        <v>162.8859439713159</v>
      </c>
      <c r="AD368" s="1052">
        <f t="shared" si="200"/>
        <v>164.83532755069726</v>
      </c>
      <c r="AE368" s="1052">
        <f t="shared" si="200"/>
        <v>166.72516934078794</v>
      </c>
      <c r="AF368" s="1052">
        <f t="shared" si="200"/>
        <v>168.57206276217298</v>
      </c>
      <c r="AG368" s="1052">
        <f t="shared" si="200"/>
        <v>170.29415430657738</v>
      </c>
      <c r="AH368" s="1052">
        <f t="shared" si="200"/>
        <v>171.94170744601973</v>
      </c>
      <c r="AI368" s="1052">
        <f t="shared" si="200"/>
        <v>173.5825683960135</v>
      </c>
      <c r="AJ368" s="1052">
        <f t="shared" si="200"/>
        <v>175.18669976954243</v>
      </c>
      <c r="AK368" s="1052">
        <f t="shared" si="200"/>
        <v>176.72404581687371</v>
      </c>
      <c r="AL368" s="1052">
        <f t="shared" si="200"/>
        <v>178.25976749218725</v>
      </c>
      <c r="AM368" s="1052">
        <f t="shared" si="200"/>
        <v>179.76608295463808</v>
      </c>
      <c r="AN368" s="1052">
        <f t="shared" si="200"/>
        <v>181.20501828434354</v>
      </c>
      <c r="AO368" s="1052">
        <f t="shared" si="200"/>
        <v>182.64934560119519</v>
      </c>
      <c r="AP368" s="1052">
        <f t="shared" si="200"/>
        <v>184.06591387715679</v>
      </c>
      <c r="AQ368" s="1052">
        <f t="shared" si="200"/>
        <v>185.41908886826488</v>
      </c>
      <c r="AR368" s="1052">
        <f t="shared" si="200"/>
        <v>186.78413051474155</v>
      </c>
      <c r="AS368" s="1052">
        <f t="shared" si="200"/>
        <v>188.09066851247249</v>
      </c>
      <c r="AT368" s="1052">
        <f t="shared" si="200"/>
        <v>188.93022878735857</v>
      </c>
      <c r="AU368" s="1052">
        <f t="shared" si="200"/>
        <v>189.77246025938226</v>
      </c>
      <c r="AV368" s="1052">
        <f t="shared" si="200"/>
        <v>190.57782585771332</v>
      </c>
      <c r="AW368" s="1052">
        <f t="shared" si="200"/>
        <v>191.41789360977458</v>
      </c>
      <c r="AX368" s="1052">
        <f t="shared" si="200"/>
        <v>192.26063861152838</v>
      </c>
      <c r="AY368" s="1052">
        <f t="shared" si="200"/>
        <v>193.06655022983594</v>
      </c>
      <c r="AZ368" s="1052">
        <f t="shared" si="200"/>
        <v>193.90717172017995</v>
      </c>
      <c r="BA368" s="1052">
        <f t="shared" si="200"/>
        <v>194.71357667852405</v>
      </c>
      <c r="BB368" s="1052">
        <f t="shared" si="200"/>
        <v>195.55469837483133</v>
      </c>
      <c r="BC368" s="1052">
        <f t="shared" si="200"/>
        <v>196.39346784652295</v>
      </c>
      <c r="BD368" s="1052">
        <f t="shared" si="200"/>
        <v>197.20062482891092</v>
      </c>
      <c r="BE368" s="1052">
        <f t="shared" si="200"/>
        <v>198.04250822066228</v>
      </c>
      <c r="BF368" s="1052">
        <f t="shared" si="200"/>
        <v>198.88206439926583</v>
      </c>
      <c r="BG368" s="1052">
        <f t="shared" si="200"/>
        <v>199.6900140881998</v>
      </c>
      <c r="BH368" s="1052">
        <f t="shared" si="200"/>
        <v>200.530197340288</v>
      </c>
      <c r="BI368" s="1052">
        <f t="shared" si="200"/>
        <v>201.37064574924699</v>
      </c>
      <c r="BJ368" s="1052">
        <f t="shared" si="200"/>
        <v>202.17949172176881</v>
      </c>
      <c r="BK368" s="1052">
        <f t="shared" si="200"/>
        <v>203.02059143962765</v>
      </c>
      <c r="BL368" s="1052">
        <f t="shared" si="200"/>
        <v>203.82760071708307</v>
      </c>
      <c r="BM368" s="1052">
        <f t="shared" si="200"/>
        <v>204.66943177763829</v>
      </c>
      <c r="BN368" s="1052">
        <f t="shared" si="200"/>
        <v>205.5115488533454</v>
      </c>
      <c r="BO368" s="1052">
        <f t="shared" si="200"/>
        <v>206.31958834130552</v>
      </c>
      <c r="BP368" s="1052">
        <f t="shared" si="200"/>
        <v>0</v>
      </c>
      <c r="BQ368" s="1052">
        <f t="shared" si="200"/>
        <v>0</v>
      </c>
      <c r="BR368" s="1052">
        <f t="shared" si="200"/>
        <v>0</v>
      </c>
      <c r="BS368" s="1052">
        <f t="shared" ref="BS368:CI369" si="201">BS46-BS57</f>
        <v>0</v>
      </c>
      <c r="BT368" s="1052">
        <f t="shared" si="201"/>
        <v>0</v>
      </c>
      <c r="BU368" s="1052">
        <f t="shared" si="201"/>
        <v>0</v>
      </c>
      <c r="BV368" s="1052">
        <f t="shared" si="201"/>
        <v>0</v>
      </c>
      <c r="BW368" s="1052">
        <f t="shared" si="201"/>
        <v>0</v>
      </c>
      <c r="BX368" s="1052">
        <f t="shared" si="201"/>
        <v>0</v>
      </c>
      <c r="BY368" s="1052">
        <f t="shared" si="201"/>
        <v>0</v>
      </c>
      <c r="BZ368" s="1052">
        <f t="shared" si="201"/>
        <v>0</v>
      </c>
      <c r="CA368" s="1052">
        <f t="shared" si="201"/>
        <v>0</v>
      </c>
      <c r="CB368" s="1052">
        <f t="shared" si="201"/>
        <v>0</v>
      </c>
      <c r="CC368" s="1052">
        <f t="shared" si="201"/>
        <v>0</v>
      </c>
      <c r="CD368" s="1052">
        <f t="shared" si="201"/>
        <v>0</v>
      </c>
      <c r="CE368" s="1052">
        <f t="shared" si="201"/>
        <v>0</v>
      </c>
      <c r="CF368" s="1052">
        <f t="shared" si="201"/>
        <v>0</v>
      </c>
      <c r="CG368" s="1052">
        <f t="shared" si="201"/>
        <v>0</v>
      </c>
      <c r="CH368" s="1052">
        <f t="shared" si="201"/>
        <v>0</v>
      </c>
      <c r="CI368" s="1053">
        <f t="shared" si="201"/>
        <v>0</v>
      </c>
    </row>
    <row r="369" spans="2:87" x14ac:dyDescent="0.25">
      <c r="B369" s="1372"/>
      <c r="C369" s="1373" t="s">
        <v>698</v>
      </c>
      <c r="D369" s="1373"/>
      <c r="E369" s="1373" t="s">
        <v>146</v>
      </c>
      <c r="F369" s="1373">
        <v>2</v>
      </c>
      <c r="G369" s="1052">
        <f t="shared" si="200"/>
        <v>0</v>
      </c>
      <c r="H369" s="1052">
        <f t="shared" si="200"/>
        <v>0</v>
      </c>
      <c r="I369" s="1052">
        <f t="shared" si="200"/>
        <v>89.399155516839997</v>
      </c>
      <c r="J369" s="1052">
        <f t="shared" si="200"/>
        <v>79.49879330845647</v>
      </c>
      <c r="K369" s="1052">
        <f t="shared" si="200"/>
        <v>70.683107562874881</v>
      </c>
      <c r="L369" s="1052">
        <f t="shared" si="200"/>
        <v>62.837614908835469</v>
      </c>
      <c r="M369" s="1052">
        <f t="shared" si="200"/>
        <v>59.907145708296426</v>
      </c>
      <c r="N369" s="1052">
        <f t="shared" si="200"/>
        <v>57.106986067536255</v>
      </c>
      <c r="O369" s="1052">
        <f t="shared" si="200"/>
        <v>54.351071860989464</v>
      </c>
      <c r="P369" s="1052">
        <f t="shared" si="200"/>
        <v>51.725565502751671</v>
      </c>
      <c r="Q369" s="1052">
        <f t="shared" si="200"/>
        <v>49.222978979535966</v>
      </c>
      <c r="R369" s="1052">
        <f t="shared" si="200"/>
        <v>46.834387352995158</v>
      </c>
      <c r="S369" s="1052">
        <f t="shared" si="200"/>
        <v>44.557806938375059</v>
      </c>
      <c r="T369" s="1052">
        <f t="shared" si="200"/>
        <v>42.392321271099746</v>
      </c>
      <c r="U369" s="1052">
        <f t="shared" si="200"/>
        <v>40.328281094283582</v>
      </c>
      <c r="V369" s="1052">
        <f t="shared" si="200"/>
        <v>38.360875350086495</v>
      </c>
      <c r="W369" s="1052">
        <f t="shared" si="200"/>
        <v>36.485822012041581</v>
      </c>
      <c r="X369" s="1052">
        <f t="shared" si="200"/>
        <v>34.698080814096677</v>
      </c>
      <c r="Y369" s="1052">
        <f t="shared" si="200"/>
        <v>32.99548176517861</v>
      </c>
      <c r="Z369" s="1052">
        <f t="shared" si="200"/>
        <v>31.372561507504326</v>
      </c>
      <c r="AA369" s="1052">
        <f t="shared" si="200"/>
        <v>29.89423278681166</v>
      </c>
      <c r="AB369" s="1052">
        <f t="shared" si="200"/>
        <v>28.532256857878224</v>
      </c>
      <c r="AC369" s="1052">
        <f t="shared" si="200"/>
        <v>27.233293515363727</v>
      </c>
      <c r="AD369" s="1052">
        <f t="shared" si="200"/>
        <v>25.993636258817382</v>
      </c>
      <c r="AE369" s="1052">
        <f t="shared" si="200"/>
        <v>24.808738983164705</v>
      </c>
      <c r="AF369" s="1052">
        <f t="shared" si="200"/>
        <v>23.674356632547411</v>
      </c>
      <c r="AG369" s="1052">
        <f t="shared" si="200"/>
        <v>22.592369881260389</v>
      </c>
      <c r="AH369" s="1052">
        <f t="shared" si="200"/>
        <v>21.559263629131763</v>
      </c>
      <c r="AI369" s="1052">
        <f t="shared" si="200"/>
        <v>20.573839545888443</v>
      </c>
      <c r="AJ369" s="1052">
        <f t="shared" si="200"/>
        <v>19.633544322170664</v>
      </c>
      <c r="AK369" s="1052">
        <f t="shared" si="200"/>
        <v>18.735994824694856</v>
      </c>
      <c r="AL369" s="1052">
        <f t="shared" si="200"/>
        <v>17.879853837423205</v>
      </c>
      <c r="AM369" s="1052">
        <f t="shared" si="200"/>
        <v>17.063139864220332</v>
      </c>
      <c r="AN369" s="1052">
        <f t="shared" si="200"/>
        <v>16.283097581057916</v>
      </c>
      <c r="AO369" s="1052">
        <f t="shared" si="200"/>
        <v>15.539246580728843</v>
      </c>
      <c r="AP369" s="1052">
        <f t="shared" si="200"/>
        <v>14.829441251020491</v>
      </c>
      <c r="AQ369" s="1052">
        <f t="shared" si="200"/>
        <v>14.151517591089087</v>
      </c>
      <c r="AR369" s="1052">
        <f t="shared" si="200"/>
        <v>13.505218657831804</v>
      </c>
      <c r="AS369" s="1052">
        <f t="shared" si="200"/>
        <v>12.888117366832864</v>
      </c>
      <c r="AT369" s="1052">
        <f t="shared" si="200"/>
        <v>12.876476102299364</v>
      </c>
      <c r="AU369" s="1052">
        <f t="shared" si="200"/>
        <v>12.865068452481934</v>
      </c>
      <c r="AV369" s="1052">
        <f t="shared" si="200"/>
        <v>12.853193958259929</v>
      </c>
      <c r="AW369" s="1052">
        <f t="shared" si="200"/>
        <v>12.84175358141353</v>
      </c>
      <c r="AX369" s="1052">
        <f t="shared" si="200"/>
        <v>12.830542353922102</v>
      </c>
      <c r="AY369" s="1052">
        <f t="shared" si="200"/>
        <v>12.818874089866885</v>
      </c>
      <c r="AZ369" s="1052">
        <f t="shared" si="200"/>
        <v>12.807631524882268</v>
      </c>
      <c r="BA369" s="1052">
        <f t="shared" si="200"/>
        <v>12.796099037591883</v>
      </c>
      <c r="BB369" s="1052">
        <f t="shared" si="200"/>
        <v>12.784986798668999</v>
      </c>
      <c r="BC369" s="1052">
        <f t="shared" si="200"/>
        <v>12.773781705031443</v>
      </c>
      <c r="BD369" s="1052">
        <f t="shared" si="200"/>
        <v>12.762450209399757</v>
      </c>
      <c r="BE369" s="1052">
        <f t="shared" si="200"/>
        <v>12.751530974102302</v>
      </c>
      <c r="BF369" s="1052">
        <f t="shared" si="200"/>
        <v>12.740521061959001</v>
      </c>
      <c r="BG369" s="1052">
        <f t="shared" si="200"/>
        <v>12.729387373660908</v>
      </c>
      <c r="BH369" s="1052">
        <f t="shared" si="200"/>
        <v>12.718505982440536</v>
      </c>
      <c r="BI369" s="1052">
        <f t="shared" si="200"/>
        <v>12.707688323160779</v>
      </c>
      <c r="BJ369" s="1052">
        <f t="shared" si="200"/>
        <v>12.696749411422145</v>
      </c>
      <c r="BK369" s="1052">
        <f t="shared" si="200"/>
        <v>12.6860582838718</v>
      </c>
      <c r="BL369" s="1052">
        <f t="shared" si="200"/>
        <v>12.675099258249714</v>
      </c>
      <c r="BM369" s="1052">
        <f t="shared" si="200"/>
        <v>12.664533442015649</v>
      </c>
      <c r="BN369" s="1052">
        <f t="shared" si="200"/>
        <v>12.654029732101645</v>
      </c>
      <c r="BO369" s="1052">
        <f t="shared" si="200"/>
        <v>12.643263373604526</v>
      </c>
      <c r="BP369" s="1052">
        <f t="shared" si="200"/>
        <v>0</v>
      </c>
      <c r="BQ369" s="1052">
        <f t="shared" si="200"/>
        <v>0</v>
      </c>
      <c r="BR369" s="1052">
        <f t="shared" si="200"/>
        <v>0</v>
      </c>
      <c r="BS369" s="1052">
        <f t="shared" si="201"/>
        <v>0</v>
      </c>
      <c r="BT369" s="1052">
        <f t="shared" si="201"/>
        <v>0</v>
      </c>
      <c r="BU369" s="1052">
        <f t="shared" si="201"/>
        <v>0</v>
      </c>
      <c r="BV369" s="1052">
        <f t="shared" si="201"/>
        <v>0</v>
      </c>
      <c r="BW369" s="1052">
        <f t="shared" si="201"/>
        <v>0</v>
      </c>
      <c r="BX369" s="1052">
        <f t="shared" si="201"/>
        <v>0</v>
      </c>
      <c r="BY369" s="1052">
        <f t="shared" si="201"/>
        <v>0</v>
      </c>
      <c r="BZ369" s="1052">
        <f t="shared" si="201"/>
        <v>0</v>
      </c>
      <c r="CA369" s="1052">
        <f t="shared" si="201"/>
        <v>0</v>
      </c>
      <c r="CB369" s="1052">
        <f t="shared" si="201"/>
        <v>0</v>
      </c>
      <c r="CC369" s="1052">
        <f t="shared" si="201"/>
        <v>0</v>
      </c>
      <c r="CD369" s="1052">
        <f t="shared" si="201"/>
        <v>0</v>
      </c>
      <c r="CE369" s="1052">
        <f t="shared" si="201"/>
        <v>0</v>
      </c>
      <c r="CF369" s="1052">
        <f t="shared" si="201"/>
        <v>0</v>
      </c>
      <c r="CG369" s="1052">
        <f t="shared" si="201"/>
        <v>0</v>
      </c>
      <c r="CH369" s="1052">
        <f t="shared" si="201"/>
        <v>0</v>
      </c>
      <c r="CI369" s="1053">
        <f t="shared" si="201"/>
        <v>0</v>
      </c>
    </row>
    <row r="370" spans="2:87" x14ac:dyDescent="0.25">
      <c r="B370" s="1372"/>
      <c r="C370" s="1373" t="s">
        <v>699</v>
      </c>
      <c r="D370" s="1373"/>
      <c r="E370" s="1373" t="s">
        <v>146</v>
      </c>
      <c r="F370" s="1373">
        <v>2</v>
      </c>
      <c r="G370" s="1052">
        <f t="shared" ref="G370:BR370" si="202">G43+G45-G55-G56</f>
        <v>0</v>
      </c>
      <c r="H370" s="1052">
        <f t="shared" si="202"/>
        <v>0</v>
      </c>
      <c r="I370" s="1052">
        <f t="shared" si="202"/>
        <v>57.508380664160839</v>
      </c>
      <c r="J370" s="1052">
        <f t="shared" si="202"/>
        <v>57.679339247338142</v>
      </c>
      <c r="K370" s="1052">
        <f t="shared" si="202"/>
        <v>57.962641199667033</v>
      </c>
      <c r="L370" s="1052">
        <f t="shared" si="202"/>
        <v>58.135175213317723</v>
      </c>
      <c r="M370" s="1052">
        <f t="shared" si="202"/>
        <v>58.286301901197511</v>
      </c>
      <c r="N370" s="1052">
        <f t="shared" si="202"/>
        <v>58.390349726119958</v>
      </c>
      <c r="O370" s="1052">
        <f t="shared" si="202"/>
        <v>58.489107916530799</v>
      </c>
      <c r="P370" s="1052">
        <f t="shared" si="202"/>
        <v>58.605854470103409</v>
      </c>
      <c r="Q370" s="1052">
        <f t="shared" si="202"/>
        <v>58.735262721583574</v>
      </c>
      <c r="R370" s="1052">
        <f t="shared" si="202"/>
        <v>58.841987106109826</v>
      </c>
      <c r="S370" s="1052">
        <f t="shared" si="202"/>
        <v>58.952974103760802</v>
      </c>
      <c r="T370" s="1052">
        <f t="shared" si="202"/>
        <v>59.059648937660896</v>
      </c>
      <c r="U370" s="1052">
        <f t="shared" si="202"/>
        <v>59.173565047318668</v>
      </c>
      <c r="V370" s="1052">
        <f t="shared" si="202"/>
        <v>59.2610996261784</v>
      </c>
      <c r="W370" s="1052">
        <f t="shared" si="202"/>
        <v>59.35525816123512</v>
      </c>
      <c r="X370" s="1052">
        <f t="shared" si="202"/>
        <v>59.438940639774465</v>
      </c>
      <c r="Y370" s="1052">
        <f t="shared" si="202"/>
        <v>59.629245946681891</v>
      </c>
      <c r="Z370" s="1052">
        <f t="shared" si="202"/>
        <v>59.854612872276192</v>
      </c>
      <c r="AA370" s="1052">
        <f t="shared" si="202"/>
        <v>60.033321240295706</v>
      </c>
      <c r="AB370" s="1052">
        <f t="shared" si="202"/>
        <v>60.268377618562162</v>
      </c>
      <c r="AC370" s="1052">
        <f t="shared" si="202"/>
        <v>60.434559922054113</v>
      </c>
      <c r="AD370" s="1052">
        <f t="shared" si="202"/>
        <v>60.604412188038992</v>
      </c>
      <c r="AE370" s="1052">
        <f t="shared" si="202"/>
        <v>60.777817250373914</v>
      </c>
      <c r="AF370" s="1052">
        <f t="shared" si="202"/>
        <v>60.954664531771719</v>
      </c>
      <c r="AG370" s="1052">
        <f t="shared" si="202"/>
        <v>61.134851688709304</v>
      </c>
      <c r="AH370" s="1052">
        <f t="shared" si="202"/>
        <v>61.318283619180605</v>
      </c>
      <c r="AI370" s="1052">
        <f t="shared" si="202"/>
        <v>61.504871153980829</v>
      </c>
      <c r="AJ370" s="1052">
        <f t="shared" si="202"/>
        <v>61.694530940009741</v>
      </c>
      <c r="AK370" s="1052">
        <f t="shared" si="202"/>
        <v>61.887184238111239</v>
      </c>
      <c r="AL370" s="1052">
        <f t="shared" si="202"/>
        <v>62.082759210659532</v>
      </c>
      <c r="AM370" s="1052">
        <f t="shared" si="202"/>
        <v>62.281186696776246</v>
      </c>
      <c r="AN370" s="1052">
        <f t="shared" si="202"/>
        <v>62.482402589219504</v>
      </c>
      <c r="AO370" s="1052">
        <f t="shared" si="202"/>
        <v>62.686347130143503</v>
      </c>
      <c r="AP370" s="1052">
        <f t="shared" si="202"/>
        <v>62.892963489198202</v>
      </c>
      <c r="AQ370" s="1052">
        <f t="shared" si="202"/>
        <v>63.102198658166003</v>
      </c>
      <c r="AR370" s="1052">
        <f t="shared" si="202"/>
        <v>63.314003221597815</v>
      </c>
      <c r="AS370" s="1052">
        <f t="shared" si="202"/>
        <v>63.528330367078617</v>
      </c>
      <c r="AT370" s="1052">
        <f t="shared" si="202"/>
        <v>63.74513570171576</v>
      </c>
      <c r="AU370" s="1052">
        <f t="shared" si="202"/>
        <v>63.964377830824624</v>
      </c>
      <c r="AV370" s="1052">
        <f t="shared" si="202"/>
        <v>64.186018192223983</v>
      </c>
      <c r="AW370" s="1052">
        <f t="shared" si="202"/>
        <v>64.410019755426035</v>
      </c>
      <c r="AX370" s="1052">
        <f t="shared" si="202"/>
        <v>64.636348410926388</v>
      </c>
      <c r="AY370" s="1052">
        <f t="shared" si="202"/>
        <v>64.864971694931882</v>
      </c>
      <c r="AZ370" s="1052">
        <f t="shared" si="202"/>
        <v>65.095858659023008</v>
      </c>
      <c r="BA370" s="1052">
        <f t="shared" si="202"/>
        <v>65.32898091773616</v>
      </c>
      <c r="BB370" s="1052">
        <f t="shared" si="202"/>
        <v>65.564311005036885</v>
      </c>
      <c r="BC370" s="1052">
        <f t="shared" si="202"/>
        <v>65.801823813503347</v>
      </c>
      <c r="BD370" s="1052">
        <f t="shared" si="202"/>
        <v>66.041495354228857</v>
      </c>
      <c r="BE370" s="1052">
        <f t="shared" si="202"/>
        <v>66.283302675671095</v>
      </c>
      <c r="BF370" s="1052">
        <f t="shared" si="202"/>
        <v>66.527225311250149</v>
      </c>
      <c r="BG370" s="1052">
        <f t="shared" si="202"/>
        <v>66.773242540792452</v>
      </c>
      <c r="BH370" s="1052">
        <f t="shared" si="202"/>
        <v>67.021336363959065</v>
      </c>
      <c r="BI370" s="1052">
        <f t="shared" si="202"/>
        <v>67.271488400397359</v>
      </c>
      <c r="BJ370" s="1052">
        <f t="shared" si="202"/>
        <v>67.5236828702335</v>
      </c>
      <c r="BK370" s="1052">
        <f t="shared" si="202"/>
        <v>67.77790387285927</v>
      </c>
      <c r="BL370" s="1052">
        <f t="shared" si="202"/>
        <v>68.03413686656701</v>
      </c>
      <c r="BM370" s="1052">
        <f t="shared" si="202"/>
        <v>68.292368230546927</v>
      </c>
      <c r="BN370" s="1052">
        <f t="shared" si="202"/>
        <v>68.552585605177356</v>
      </c>
      <c r="BO370" s="1052">
        <f t="shared" si="202"/>
        <v>68.814777083320621</v>
      </c>
      <c r="BP370" s="1052">
        <f t="shared" si="202"/>
        <v>0</v>
      </c>
      <c r="BQ370" s="1052">
        <f t="shared" si="202"/>
        <v>0</v>
      </c>
      <c r="BR370" s="1052">
        <f t="shared" si="202"/>
        <v>0</v>
      </c>
      <c r="BS370" s="1052">
        <f t="shared" ref="BS370:CI370" si="203">BS43+BS45-BS55-BS56</f>
        <v>0</v>
      </c>
      <c r="BT370" s="1052">
        <f t="shared" si="203"/>
        <v>0</v>
      </c>
      <c r="BU370" s="1052">
        <f t="shared" si="203"/>
        <v>0</v>
      </c>
      <c r="BV370" s="1052">
        <f t="shared" si="203"/>
        <v>0</v>
      </c>
      <c r="BW370" s="1052">
        <f t="shared" si="203"/>
        <v>0</v>
      </c>
      <c r="BX370" s="1052">
        <f t="shared" si="203"/>
        <v>0</v>
      </c>
      <c r="BY370" s="1052">
        <f t="shared" si="203"/>
        <v>0</v>
      </c>
      <c r="BZ370" s="1052">
        <f t="shared" si="203"/>
        <v>0</v>
      </c>
      <c r="CA370" s="1052">
        <f t="shared" si="203"/>
        <v>0</v>
      </c>
      <c r="CB370" s="1052">
        <f t="shared" si="203"/>
        <v>0</v>
      </c>
      <c r="CC370" s="1052">
        <f t="shared" si="203"/>
        <v>0</v>
      </c>
      <c r="CD370" s="1052">
        <f t="shared" si="203"/>
        <v>0</v>
      </c>
      <c r="CE370" s="1052">
        <f t="shared" si="203"/>
        <v>0</v>
      </c>
      <c r="CF370" s="1052">
        <f t="shared" si="203"/>
        <v>0</v>
      </c>
      <c r="CG370" s="1052">
        <f t="shared" si="203"/>
        <v>0</v>
      </c>
      <c r="CH370" s="1052">
        <f t="shared" si="203"/>
        <v>0</v>
      </c>
      <c r="CI370" s="1053">
        <f t="shared" si="203"/>
        <v>0</v>
      </c>
    </row>
    <row r="371" spans="2:87" x14ac:dyDescent="0.25">
      <c r="B371" s="1372"/>
      <c r="C371" s="1373" t="s">
        <v>153</v>
      </c>
      <c r="D371" s="1373"/>
      <c r="E371" s="1373" t="s">
        <v>146</v>
      </c>
      <c r="F371" s="1373">
        <v>2</v>
      </c>
      <c r="G371" s="1052">
        <f t="shared" ref="G371:BR371" si="204">G61</f>
        <v>0</v>
      </c>
      <c r="H371" s="1052">
        <f t="shared" si="204"/>
        <v>0</v>
      </c>
      <c r="I371" s="1052">
        <f t="shared" si="204"/>
        <v>35.646000000000001</v>
      </c>
      <c r="J371" s="1052">
        <f t="shared" si="204"/>
        <v>31.59713329947148</v>
      </c>
      <c r="K371" s="1052">
        <f t="shared" si="204"/>
        <v>32.497133299471479</v>
      </c>
      <c r="L371" s="1052">
        <f t="shared" si="204"/>
        <v>32.09713329947148</v>
      </c>
      <c r="M371" s="1052">
        <f t="shared" si="204"/>
        <v>31.84713329947148</v>
      </c>
      <c r="N371" s="1052">
        <f t="shared" si="204"/>
        <v>31.84713329947148</v>
      </c>
      <c r="O371" s="1052">
        <f t="shared" si="204"/>
        <v>31.84713329947148</v>
      </c>
      <c r="P371" s="1052">
        <f t="shared" si="204"/>
        <v>31.84713329947148</v>
      </c>
      <c r="Q371" s="1052">
        <f t="shared" si="204"/>
        <v>31.84713329947148</v>
      </c>
      <c r="R371" s="1052">
        <f t="shared" si="204"/>
        <v>31.84713329947148</v>
      </c>
      <c r="S371" s="1052">
        <f t="shared" si="204"/>
        <v>31.84713329947148</v>
      </c>
      <c r="T371" s="1052">
        <f t="shared" si="204"/>
        <v>31.84713329947148</v>
      </c>
      <c r="U371" s="1052">
        <f t="shared" si="204"/>
        <v>31.84713329947148</v>
      </c>
      <c r="V371" s="1052">
        <f t="shared" si="204"/>
        <v>31.84713329947148</v>
      </c>
      <c r="W371" s="1052">
        <f t="shared" si="204"/>
        <v>31.84713329947148</v>
      </c>
      <c r="X371" s="1052">
        <f t="shared" si="204"/>
        <v>31.84713329947148</v>
      </c>
      <c r="Y371" s="1052">
        <f t="shared" si="204"/>
        <v>31.84713329947148</v>
      </c>
      <c r="Z371" s="1052">
        <f t="shared" si="204"/>
        <v>31.84713329947148</v>
      </c>
      <c r="AA371" s="1052">
        <f t="shared" si="204"/>
        <v>31.84713329947148</v>
      </c>
      <c r="AB371" s="1052">
        <f t="shared" si="204"/>
        <v>31.84713329947148</v>
      </c>
      <c r="AC371" s="1052">
        <f t="shared" si="204"/>
        <v>31.84713329947148</v>
      </c>
      <c r="AD371" s="1052">
        <f t="shared" si="204"/>
        <v>31.84713329947148</v>
      </c>
      <c r="AE371" s="1052">
        <f t="shared" si="204"/>
        <v>31.84713329947148</v>
      </c>
      <c r="AF371" s="1052">
        <f t="shared" si="204"/>
        <v>31.84713329947148</v>
      </c>
      <c r="AG371" s="1052">
        <f t="shared" si="204"/>
        <v>31.84713329947148</v>
      </c>
      <c r="AH371" s="1052">
        <f t="shared" si="204"/>
        <v>31.84713329947148</v>
      </c>
      <c r="AI371" s="1052">
        <f t="shared" si="204"/>
        <v>31.84713329947148</v>
      </c>
      <c r="AJ371" s="1052">
        <f t="shared" si="204"/>
        <v>31.84713329947148</v>
      </c>
      <c r="AK371" s="1052">
        <f t="shared" si="204"/>
        <v>31.84713329947148</v>
      </c>
      <c r="AL371" s="1052">
        <f t="shared" si="204"/>
        <v>31.84713329947148</v>
      </c>
      <c r="AM371" s="1052">
        <f t="shared" si="204"/>
        <v>31.84713329947148</v>
      </c>
      <c r="AN371" s="1052">
        <f t="shared" si="204"/>
        <v>31.84713329947148</v>
      </c>
      <c r="AO371" s="1052">
        <f t="shared" si="204"/>
        <v>31.84713329947148</v>
      </c>
      <c r="AP371" s="1052">
        <f t="shared" si="204"/>
        <v>31.84713329947148</v>
      </c>
      <c r="AQ371" s="1052">
        <f t="shared" si="204"/>
        <v>31.84713329947148</v>
      </c>
      <c r="AR371" s="1052">
        <f t="shared" si="204"/>
        <v>31.84713329947148</v>
      </c>
      <c r="AS371" s="1052">
        <f t="shared" si="204"/>
        <v>31.84713329947148</v>
      </c>
      <c r="AT371" s="1052">
        <f t="shared" si="204"/>
        <v>31.84713329947148</v>
      </c>
      <c r="AU371" s="1052">
        <f t="shared" si="204"/>
        <v>31.84713329947148</v>
      </c>
      <c r="AV371" s="1052">
        <f t="shared" si="204"/>
        <v>31.84713329947148</v>
      </c>
      <c r="AW371" s="1052">
        <f t="shared" si="204"/>
        <v>31.84713329947148</v>
      </c>
      <c r="AX371" s="1052">
        <f t="shared" si="204"/>
        <v>31.84713329947148</v>
      </c>
      <c r="AY371" s="1052">
        <f t="shared" si="204"/>
        <v>31.84713329947148</v>
      </c>
      <c r="AZ371" s="1052">
        <f t="shared" si="204"/>
        <v>31.84713329947148</v>
      </c>
      <c r="BA371" s="1052">
        <f t="shared" si="204"/>
        <v>31.84713329947148</v>
      </c>
      <c r="BB371" s="1052">
        <f t="shared" si="204"/>
        <v>31.84713329947148</v>
      </c>
      <c r="BC371" s="1052">
        <f t="shared" si="204"/>
        <v>31.84713329947148</v>
      </c>
      <c r="BD371" s="1052">
        <f t="shared" si="204"/>
        <v>31.84713329947148</v>
      </c>
      <c r="BE371" s="1052">
        <f t="shared" si="204"/>
        <v>31.84713329947148</v>
      </c>
      <c r="BF371" s="1052">
        <f t="shared" si="204"/>
        <v>31.84713329947148</v>
      </c>
      <c r="BG371" s="1052">
        <f t="shared" si="204"/>
        <v>31.84713329947148</v>
      </c>
      <c r="BH371" s="1052">
        <f t="shared" si="204"/>
        <v>31.84713329947148</v>
      </c>
      <c r="BI371" s="1052">
        <f t="shared" si="204"/>
        <v>31.84713329947148</v>
      </c>
      <c r="BJ371" s="1052">
        <f t="shared" si="204"/>
        <v>31.84713329947148</v>
      </c>
      <c r="BK371" s="1052">
        <f t="shared" si="204"/>
        <v>31.84713329947148</v>
      </c>
      <c r="BL371" s="1052">
        <f t="shared" si="204"/>
        <v>31.84713329947148</v>
      </c>
      <c r="BM371" s="1052">
        <f t="shared" si="204"/>
        <v>31.84713329947148</v>
      </c>
      <c r="BN371" s="1052">
        <f t="shared" si="204"/>
        <v>31.84713329947148</v>
      </c>
      <c r="BO371" s="1052">
        <f t="shared" si="204"/>
        <v>31.84713329947148</v>
      </c>
      <c r="BP371" s="1052">
        <f t="shared" si="204"/>
        <v>0</v>
      </c>
      <c r="BQ371" s="1052">
        <f t="shared" si="204"/>
        <v>0</v>
      </c>
      <c r="BR371" s="1052">
        <f t="shared" si="204"/>
        <v>0</v>
      </c>
      <c r="BS371" s="1052">
        <f t="shared" ref="BS371:CI371" si="205">BS61</f>
        <v>0</v>
      </c>
      <c r="BT371" s="1052">
        <f t="shared" si="205"/>
        <v>0</v>
      </c>
      <c r="BU371" s="1052">
        <f t="shared" si="205"/>
        <v>0</v>
      </c>
      <c r="BV371" s="1052">
        <f t="shared" si="205"/>
        <v>0</v>
      </c>
      <c r="BW371" s="1052">
        <f t="shared" si="205"/>
        <v>0</v>
      </c>
      <c r="BX371" s="1052">
        <f t="shared" si="205"/>
        <v>0</v>
      </c>
      <c r="BY371" s="1052">
        <f t="shared" si="205"/>
        <v>0</v>
      </c>
      <c r="BZ371" s="1052">
        <f t="shared" si="205"/>
        <v>0</v>
      </c>
      <c r="CA371" s="1052">
        <f t="shared" si="205"/>
        <v>0</v>
      </c>
      <c r="CB371" s="1052">
        <f t="shared" si="205"/>
        <v>0</v>
      </c>
      <c r="CC371" s="1052">
        <f t="shared" si="205"/>
        <v>0</v>
      </c>
      <c r="CD371" s="1052">
        <f t="shared" si="205"/>
        <v>0</v>
      </c>
      <c r="CE371" s="1052">
        <f t="shared" si="205"/>
        <v>0</v>
      </c>
      <c r="CF371" s="1052">
        <f t="shared" si="205"/>
        <v>0</v>
      </c>
      <c r="CG371" s="1052">
        <f t="shared" si="205"/>
        <v>0</v>
      </c>
      <c r="CH371" s="1052">
        <f t="shared" si="205"/>
        <v>0</v>
      </c>
      <c r="CI371" s="1053">
        <f t="shared" si="205"/>
        <v>0</v>
      </c>
    </row>
    <row r="372" spans="2:87" x14ac:dyDescent="0.25">
      <c r="B372" s="1372"/>
      <c r="C372" s="1373" t="s">
        <v>700</v>
      </c>
      <c r="D372" s="1373"/>
      <c r="E372" s="1373" t="s">
        <v>146</v>
      </c>
      <c r="F372" s="1373">
        <v>2</v>
      </c>
      <c r="G372" s="1052">
        <f t="shared" ref="G372:AL372" si="206">G85-SUM(G368:G371)</f>
        <v>0</v>
      </c>
      <c r="H372" s="1052">
        <f t="shared" si="206"/>
        <v>0</v>
      </c>
      <c r="I372" s="1052">
        <f t="shared" si="206"/>
        <v>3.6300000000000523</v>
      </c>
      <c r="J372" s="1052">
        <f t="shared" si="206"/>
        <v>3.6299999999999955</v>
      </c>
      <c r="K372" s="1052">
        <f t="shared" si="206"/>
        <v>3.6299999999999955</v>
      </c>
      <c r="L372" s="1052">
        <f t="shared" si="206"/>
        <v>3.6299999999999955</v>
      </c>
      <c r="M372" s="1052">
        <f t="shared" si="206"/>
        <v>3.6299999999999386</v>
      </c>
      <c r="N372" s="1052">
        <f t="shared" si="206"/>
        <v>3.6299999999999955</v>
      </c>
      <c r="O372" s="1052">
        <f t="shared" si="206"/>
        <v>3.6299999999999955</v>
      </c>
      <c r="P372" s="1052">
        <f t="shared" si="206"/>
        <v>3.6299999999999955</v>
      </c>
      <c r="Q372" s="1052">
        <f t="shared" si="206"/>
        <v>3.6299999999999955</v>
      </c>
      <c r="R372" s="1052">
        <f t="shared" si="206"/>
        <v>3.6299999999999955</v>
      </c>
      <c r="S372" s="1052">
        <f t="shared" si="206"/>
        <v>3.6299999999999955</v>
      </c>
      <c r="T372" s="1052">
        <f t="shared" si="206"/>
        <v>3.6299999999999955</v>
      </c>
      <c r="U372" s="1052">
        <f t="shared" si="206"/>
        <v>3.6299999999999955</v>
      </c>
      <c r="V372" s="1052">
        <f t="shared" si="206"/>
        <v>3.6299999999999386</v>
      </c>
      <c r="W372" s="1052">
        <f t="shared" si="206"/>
        <v>3.6299999999999955</v>
      </c>
      <c r="X372" s="1052">
        <f t="shared" si="206"/>
        <v>3.6299999999999955</v>
      </c>
      <c r="Y372" s="1052">
        <f t="shared" si="206"/>
        <v>3.6299999999999386</v>
      </c>
      <c r="Z372" s="1052">
        <f t="shared" si="206"/>
        <v>3.6299999999999955</v>
      </c>
      <c r="AA372" s="1052">
        <f t="shared" si="206"/>
        <v>3.6299999999999955</v>
      </c>
      <c r="AB372" s="1052">
        <f t="shared" si="206"/>
        <v>3.6299999999999386</v>
      </c>
      <c r="AC372" s="1052">
        <f t="shared" si="206"/>
        <v>3.6299999999999386</v>
      </c>
      <c r="AD372" s="1052">
        <f t="shared" si="206"/>
        <v>3.6299999999999955</v>
      </c>
      <c r="AE372" s="1052">
        <f t="shared" si="206"/>
        <v>3.6299999999999386</v>
      </c>
      <c r="AF372" s="1052">
        <f t="shared" si="206"/>
        <v>3.6299999999999386</v>
      </c>
      <c r="AG372" s="1052">
        <f t="shared" si="206"/>
        <v>3.6299999999999386</v>
      </c>
      <c r="AH372" s="1052">
        <f t="shared" si="206"/>
        <v>3.6300000000000523</v>
      </c>
      <c r="AI372" s="1052">
        <f t="shared" si="206"/>
        <v>3.6299999999999386</v>
      </c>
      <c r="AJ372" s="1052">
        <f t="shared" si="206"/>
        <v>3.6299999999999955</v>
      </c>
      <c r="AK372" s="1052">
        <f t="shared" si="206"/>
        <v>3.6299999999999955</v>
      </c>
      <c r="AL372" s="1052">
        <f t="shared" si="206"/>
        <v>3.6299999999999386</v>
      </c>
      <c r="AM372" s="1052">
        <f t="shared" ref="AM372:BR372" si="207">AM85-SUM(AM368:AM371)</f>
        <v>3.6300000000000523</v>
      </c>
      <c r="AN372" s="1052">
        <f t="shared" si="207"/>
        <v>3.6299999999999955</v>
      </c>
      <c r="AO372" s="1052">
        <f t="shared" si="207"/>
        <v>3.6299999999999386</v>
      </c>
      <c r="AP372" s="1052">
        <f t="shared" si="207"/>
        <v>3.6299999999999955</v>
      </c>
      <c r="AQ372" s="1052">
        <f t="shared" si="207"/>
        <v>3.6299999999999955</v>
      </c>
      <c r="AR372" s="1052">
        <f t="shared" si="207"/>
        <v>3.6299999999999386</v>
      </c>
      <c r="AS372" s="1052">
        <f t="shared" si="207"/>
        <v>3.6299999999999386</v>
      </c>
      <c r="AT372" s="1052">
        <f t="shared" si="207"/>
        <v>3.6299999999999386</v>
      </c>
      <c r="AU372" s="1052">
        <f t="shared" si="207"/>
        <v>3.6299999999999955</v>
      </c>
      <c r="AV372" s="1052">
        <f t="shared" si="207"/>
        <v>3.6299999999999386</v>
      </c>
      <c r="AW372" s="1052">
        <f t="shared" si="207"/>
        <v>3.6299999999999955</v>
      </c>
      <c r="AX372" s="1052">
        <f t="shared" si="207"/>
        <v>3.6299999999999955</v>
      </c>
      <c r="AY372" s="1052">
        <f t="shared" si="207"/>
        <v>3.6299999999999955</v>
      </c>
      <c r="AZ372" s="1052">
        <f t="shared" si="207"/>
        <v>3.6299999999999955</v>
      </c>
      <c r="BA372" s="1052">
        <f t="shared" si="207"/>
        <v>3.6299999999999955</v>
      </c>
      <c r="BB372" s="1052">
        <f t="shared" si="207"/>
        <v>3.6299999999999955</v>
      </c>
      <c r="BC372" s="1052">
        <f t="shared" si="207"/>
        <v>3.6299999999999955</v>
      </c>
      <c r="BD372" s="1052">
        <f t="shared" si="207"/>
        <v>3.6299999999999955</v>
      </c>
      <c r="BE372" s="1052">
        <f t="shared" si="207"/>
        <v>3.6299999999999955</v>
      </c>
      <c r="BF372" s="1052">
        <f t="shared" si="207"/>
        <v>3.6299999999999955</v>
      </c>
      <c r="BG372" s="1052">
        <f t="shared" si="207"/>
        <v>3.6299999999999955</v>
      </c>
      <c r="BH372" s="1052">
        <f t="shared" si="207"/>
        <v>3.6299999999999955</v>
      </c>
      <c r="BI372" s="1052">
        <f t="shared" si="207"/>
        <v>3.6299999999999955</v>
      </c>
      <c r="BJ372" s="1052">
        <f t="shared" si="207"/>
        <v>3.6299999999999955</v>
      </c>
      <c r="BK372" s="1052">
        <f t="shared" si="207"/>
        <v>3.6299999999999386</v>
      </c>
      <c r="BL372" s="1052">
        <f t="shared" si="207"/>
        <v>3.6299999999999955</v>
      </c>
      <c r="BM372" s="1052">
        <f t="shared" si="207"/>
        <v>3.6299999999999386</v>
      </c>
      <c r="BN372" s="1052">
        <f t="shared" si="207"/>
        <v>3.6299999999999955</v>
      </c>
      <c r="BO372" s="1052">
        <f t="shared" si="207"/>
        <v>3.6299999999999386</v>
      </c>
      <c r="BP372" s="1052">
        <f t="shared" si="207"/>
        <v>0</v>
      </c>
      <c r="BQ372" s="1052">
        <f t="shared" si="207"/>
        <v>0</v>
      </c>
      <c r="BR372" s="1052">
        <f t="shared" si="207"/>
        <v>0</v>
      </c>
      <c r="BS372" s="1052">
        <f t="shared" ref="BS372:CI372" si="208">BS85-SUM(BS368:BS371)</f>
        <v>0</v>
      </c>
      <c r="BT372" s="1052">
        <f t="shared" si="208"/>
        <v>0</v>
      </c>
      <c r="BU372" s="1052">
        <f t="shared" si="208"/>
        <v>0</v>
      </c>
      <c r="BV372" s="1052">
        <f t="shared" si="208"/>
        <v>0</v>
      </c>
      <c r="BW372" s="1052">
        <f t="shared" si="208"/>
        <v>0</v>
      </c>
      <c r="BX372" s="1052">
        <f t="shared" si="208"/>
        <v>0</v>
      </c>
      <c r="BY372" s="1052">
        <f t="shared" si="208"/>
        <v>0</v>
      </c>
      <c r="BZ372" s="1052">
        <f t="shared" si="208"/>
        <v>0</v>
      </c>
      <c r="CA372" s="1052">
        <f t="shared" si="208"/>
        <v>0</v>
      </c>
      <c r="CB372" s="1052">
        <f t="shared" si="208"/>
        <v>0</v>
      </c>
      <c r="CC372" s="1052">
        <f t="shared" si="208"/>
        <v>0</v>
      </c>
      <c r="CD372" s="1052">
        <f t="shared" si="208"/>
        <v>0</v>
      </c>
      <c r="CE372" s="1052">
        <f t="shared" si="208"/>
        <v>0</v>
      </c>
      <c r="CF372" s="1052">
        <f t="shared" si="208"/>
        <v>0</v>
      </c>
      <c r="CG372" s="1052">
        <f t="shared" si="208"/>
        <v>0</v>
      </c>
      <c r="CH372" s="1052">
        <f t="shared" si="208"/>
        <v>0</v>
      </c>
      <c r="CI372" s="1053">
        <f t="shared" si="208"/>
        <v>0</v>
      </c>
    </row>
    <row r="373" spans="2:87" x14ac:dyDescent="0.25">
      <c r="B373" s="1372"/>
      <c r="C373" s="1373" t="s">
        <v>701</v>
      </c>
      <c r="D373" s="1373"/>
      <c r="E373" s="1373" t="s">
        <v>146</v>
      </c>
      <c r="F373" s="1373">
        <v>2</v>
      </c>
      <c r="G373" s="1052">
        <f t="shared" ref="G373:BR373" si="209">G42</f>
        <v>0</v>
      </c>
      <c r="H373" s="1052">
        <f t="shared" si="209"/>
        <v>0</v>
      </c>
      <c r="I373" s="1052">
        <f t="shared" si="209"/>
        <v>312.91624999999999</v>
      </c>
      <c r="J373" s="1052">
        <f t="shared" si="209"/>
        <v>308.05</v>
      </c>
      <c r="K373" s="1052">
        <f t="shared" si="209"/>
        <v>307.64375000000001</v>
      </c>
      <c r="L373" s="1052">
        <f t="shared" si="209"/>
        <v>307.23750000000001</v>
      </c>
      <c r="M373" s="1052">
        <f t="shared" si="209"/>
        <v>312.80125000000004</v>
      </c>
      <c r="N373" s="1052">
        <f t="shared" si="209"/>
        <v>312.39500000000004</v>
      </c>
      <c r="O373" s="1052">
        <f t="shared" si="209"/>
        <v>311.98875000000004</v>
      </c>
      <c r="P373" s="1052">
        <f t="shared" si="209"/>
        <v>311.58250000000004</v>
      </c>
      <c r="Q373" s="1052">
        <f t="shared" si="209"/>
        <v>311.17625000000004</v>
      </c>
      <c r="R373" s="1052">
        <f t="shared" si="209"/>
        <v>309.15000000000003</v>
      </c>
      <c r="S373" s="1052">
        <f t="shared" si="209"/>
        <v>308.74375000000003</v>
      </c>
      <c r="T373" s="1052">
        <f t="shared" si="209"/>
        <v>308.33750000000003</v>
      </c>
      <c r="U373" s="1052">
        <f t="shared" si="209"/>
        <v>307.93125000000003</v>
      </c>
      <c r="V373" s="1052">
        <f t="shared" si="209"/>
        <v>307.52500000000003</v>
      </c>
      <c r="W373" s="1052">
        <f t="shared" si="209"/>
        <v>303.11875000000003</v>
      </c>
      <c r="X373" s="1052">
        <f t="shared" si="209"/>
        <v>302.71250000000003</v>
      </c>
      <c r="Y373" s="1052">
        <f t="shared" si="209"/>
        <v>302.30625000000003</v>
      </c>
      <c r="Z373" s="1052">
        <f t="shared" si="209"/>
        <v>301.90000000000003</v>
      </c>
      <c r="AA373" s="1052">
        <f t="shared" si="209"/>
        <v>301.49375000000003</v>
      </c>
      <c r="AB373" s="1052">
        <f t="shared" si="209"/>
        <v>301.13750000000005</v>
      </c>
      <c r="AC373" s="1052">
        <f t="shared" si="209"/>
        <v>300.73125000000005</v>
      </c>
      <c r="AD373" s="1052">
        <f t="shared" si="209"/>
        <v>300.32500000000005</v>
      </c>
      <c r="AE373" s="1052">
        <f t="shared" si="209"/>
        <v>299.91875000000005</v>
      </c>
      <c r="AF373" s="1052">
        <f t="shared" si="209"/>
        <v>299.51250000000005</v>
      </c>
      <c r="AG373" s="1052">
        <f t="shared" si="209"/>
        <v>299.10625000000005</v>
      </c>
      <c r="AH373" s="1052">
        <f t="shared" si="209"/>
        <v>298.70000000000005</v>
      </c>
      <c r="AI373" s="1052">
        <f t="shared" si="209"/>
        <v>298.29375000000005</v>
      </c>
      <c r="AJ373" s="1052">
        <f t="shared" si="209"/>
        <v>297.88750000000005</v>
      </c>
      <c r="AK373" s="1052">
        <f t="shared" si="209"/>
        <v>297.48125000000005</v>
      </c>
      <c r="AL373" s="1052">
        <f t="shared" si="209"/>
        <v>297.07500000000005</v>
      </c>
      <c r="AM373" s="1052">
        <f t="shared" si="209"/>
        <v>296.66875000000005</v>
      </c>
      <c r="AN373" s="1052">
        <f t="shared" si="209"/>
        <v>296.26250000000005</v>
      </c>
      <c r="AO373" s="1052">
        <f t="shared" si="209"/>
        <v>295.85625000000005</v>
      </c>
      <c r="AP373" s="1052">
        <f t="shared" si="209"/>
        <v>295.45000000000005</v>
      </c>
      <c r="AQ373" s="1052">
        <f t="shared" si="209"/>
        <v>295.04375000000005</v>
      </c>
      <c r="AR373" s="1052">
        <f t="shared" si="209"/>
        <v>294.63750000000005</v>
      </c>
      <c r="AS373" s="1052">
        <f t="shared" si="209"/>
        <v>294.23125000000005</v>
      </c>
      <c r="AT373" s="1052">
        <f t="shared" si="209"/>
        <v>293.82500000000005</v>
      </c>
      <c r="AU373" s="1052">
        <f t="shared" si="209"/>
        <v>293.41875000000005</v>
      </c>
      <c r="AV373" s="1052">
        <f t="shared" si="209"/>
        <v>293.01250000000005</v>
      </c>
      <c r="AW373" s="1052">
        <f t="shared" si="209"/>
        <v>292.60625000000005</v>
      </c>
      <c r="AX373" s="1052">
        <f t="shared" si="209"/>
        <v>292.20000000000005</v>
      </c>
      <c r="AY373" s="1052">
        <f t="shared" si="209"/>
        <v>291.79375000000005</v>
      </c>
      <c r="AZ373" s="1052">
        <f t="shared" si="209"/>
        <v>291.38750000000005</v>
      </c>
      <c r="BA373" s="1052">
        <f t="shared" si="209"/>
        <v>290.98125000000005</v>
      </c>
      <c r="BB373" s="1052">
        <f t="shared" si="209"/>
        <v>290.57500000000005</v>
      </c>
      <c r="BC373" s="1052">
        <f t="shared" si="209"/>
        <v>290.16875000000005</v>
      </c>
      <c r="BD373" s="1052">
        <f t="shared" si="209"/>
        <v>289.76250000000005</v>
      </c>
      <c r="BE373" s="1052">
        <f t="shared" si="209"/>
        <v>289.35625000000005</v>
      </c>
      <c r="BF373" s="1052">
        <f t="shared" si="209"/>
        <v>288.95000000000005</v>
      </c>
      <c r="BG373" s="1052">
        <f t="shared" si="209"/>
        <v>288.54375000000005</v>
      </c>
      <c r="BH373" s="1052">
        <f t="shared" si="209"/>
        <v>288.13750000000005</v>
      </c>
      <c r="BI373" s="1052">
        <f t="shared" si="209"/>
        <v>287.73125000000005</v>
      </c>
      <c r="BJ373" s="1052">
        <f t="shared" si="209"/>
        <v>287.32500000000005</v>
      </c>
      <c r="BK373" s="1052">
        <f t="shared" si="209"/>
        <v>286.91875000000005</v>
      </c>
      <c r="BL373" s="1052">
        <f t="shared" si="209"/>
        <v>286.51250000000005</v>
      </c>
      <c r="BM373" s="1052">
        <f t="shared" si="209"/>
        <v>286.10625000000005</v>
      </c>
      <c r="BN373" s="1052">
        <f t="shared" si="209"/>
        <v>285.70000000000005</v>
      </c>
      <c r="BO373" s="1052">
        <f t="shared" si="209"/>
        <v>285.29375000000005</v>
      </c>
      <c r="BP373" s="1052">
        <f t="shared" si="209"/>
        <v>0</v>
      </c>
      <c r="BQ373" s="1052">
        <f t="shared" si="209"/>
        <v>0</v>
      </c>
      <c r="BR373" s="1052">
        <f t="shared" si="209"/>
        <v>0</v>
      </c>
      <c r="BS373" s="1052">
        <f t="shared" ref="BS373:CI373" si="210">BS42</f>
        <v>0</v>
      </c>
      <c r="BT373" s="1052">
        <f t="shared" si="210"/>
        <v>0</v>
      </c>
      <c r="BU373" s="1052">
        <f t="shared" si="210"/>
        <v>0</v>
      </c>
      <c r="BV373" s="1052">
        <f t="shared" si="210"/>
        <v>0</v>
      </c>
      <c r="BW373" s="1052">
        <f t="shared" si="210"/>
        <v>0</v>
      </c>
      <c r="BX373" s="1052">
        <f t="shared" si="210"/>
        <v>0</v>
      </c>
      <c r="BY373" s="1052">
        <f t="shared" si="210"/>
        <v>0</v>
      </c>
      <c r="BZ373" s="1052">
        <f t="shared" si="210"/>
        <v>0</v>
      </c>
      <c r="CA373" s="1052">
        <f t="shared" si="210"/>
        <v>0</v>
      </c>
      <c r="CB373" s="1052">
        <f t="shared" si="210"/>
        <v>0</v>
      </c>
      <c r="CC373" s="1052">
        <f t="shared" si="210"/>
        <v>0</v>
      </c>
      <c r="CD373" s="1052">
        <f t="shared" si="210"/>
        <v>0</v>
      </c>
      <c r="CE373" s="1052">
        <f t="shared" si="210"/>
        <v>0</v>
      </c>
      <c r="CF373" s="1052">
        <f t="shared" si="210"/>
        <v>0</v>
      </c>
      <c r="CG373" s="1052">
        <f t="shared" si="210"/>
        <v>0</v>
      </c>
      <c r="CH373" s="1052">
        <f t="shared" si="210"/>
        <v>0</v>
      </c>
      <c r="CI373" s="1053">
        <f t="shared" si="210"/>
        <v>0</v>
      </c>
    </row>
    <row r="374" spans="2:87" x14ac:dyDescent="0.25">
      <c r="B374" s="1372"/>
      <c r="C374" s="1373" t="s">
        <v>702</v>
      </c>
      <c r="D374" s="1373"/>
      <c r="E374" s="1373" t="s">
        <v>146</v>
      </c>
      <c r="F374" s="1373">
        <v>2</v>
      </c>
      <c r="G374" s="1052">
        <f t="shared" ref="G374:AL374" si="211">SUM(G368:G372)+G88</f>
        <v>0</v>
      </c>
      <c r="H374" s="1052">
        <f t="shared" si="211"/>
        <v>0</v>
      </c>
      <c r="I374" s="1052">
        <f t="shared" si="211"/>
        <v>297.03769836589561</v>
      </c>
      <c r="J374" s="1052">
        <f t="shared" si="211"/>
        <v>292.62464374448263</v>
      </c>
      <c r="K374" s="1052">
        <f t="shared" si="211"/>
        <v>293.39656939065537</v>
      </c>
      <c r="L374" s="1052">
        <f t="shared" si="211"/>
        <v>292.97875636294009</v>
      </c>
      <c r="M374" s="1052">
        <f t="shared" si="211"/>
        <v>293.27819933136942</v>
      </c>
      <c r="N374" s="1052">
        <f t="shared" si="211"/>
        <v>294.03411863558057</v>
      </c>
      <c r="O374" s="1052">
        <f t="shared" si="211"/>
        <v>294.39047918038762</v>
      </c>
      <c r="P374" s="1052">
        <f t="shared" si="211"/>
        <v>294.78128984008026</v>
      </c>
      <c r="Q374" s="1052">
        <f t="shared" si="211"/>
        <v>292.56392887272381</v>
      </c>
      <c r="R374" s="1052">
        <f t="shared" si="211"/>
        <v>292.91627264199764</v>
      </c>
      <c r="S374" s="1052">
        <f t="shared" si="211"/>
        <v>293.16493227879522</v>
      </c>
      <c r="T374" s="1052">
        <f t="shared" si="211"/>
        <v>293.44316276662897</v>
      </c>
      <c r="U374" s="1052">
        <f t="shared" si="211"/>
        <v>293.87247917355546</v>
      </c>
      <c r="V374" s="1052">
        <f t="shared" si="211"/>
        <v>292.22358092345303</v>
      </c>
      <c r="W374" s="1052">
        <f t="shared" si="211"/>
        <v>293.07217763269705</v>
      </c>
      <c r="X374" s="1052">
        <f t="shared" si="211"/>
        <v>293.89991558351215</v>
      </c>
      <c r="Y374" s="1052">
        <f t="shared" si="211"/>
        <v>294.8334110449893</v>
      </c>
      <c r="Z374" s="1052">
        <f t="shared" si="211"/>
        <v>295.69559917661883</v>
      </c>
      <c r="AA374" s="1052">
        <f t="shared" si="211"/>
        <v>295.19052684896207</v>
      </c>
      <c r="AB374" s="1052">
        <f t="shared" si="211"/>
        <v>296.13176542690599</v>
      </c>
      <c r="AC374" s="1052">
        <f t="shared" si="211"/>
        <v>297.15410237769277</v>
      </c>
      <c r="AD374" s="1052">
        <f t="shared" si="211"/>
        <v>298.12301560694266</v>
      </c>
      <c r="AE374" s="1052">
        <f t="shared" si="211"/>
        <v>299.11898561087224</v>
      </c>
      <c r="AF374" s="1052">
        <f t="shared" si="211"/>
        <v>298.72723204642256</v>
      </c>
      <c r="AG374" s="1052">
        <f t="shared" si="211"/>
        <v>299.68244936570846</v>
      </c>
      <c r="AH374" s="1052">
        <f t="shared" si="211"/>
        <v>300.69571108355717</v>
      </c>
      <c r="AI374" s="1052">
        <f t="shared" si="211"/>
        <v>301.73664176292669</v>
      </c>
      <c r="AJ374" s="1052">
        <f t="shared" si="211"/>
        <v>302.57685552920066</v>
      </c>
      <c r="AK374" s="1052">
        <f t="shared" si="211"/>
        <v>302.23716280935668</v>
      </c>
      <c r="AL374" s="1052">
        <f t="shared" si="211"/>
        <v>303.23720884623469</v>
      </c>
      <c r="AM374" s="1052">
        <f t="shared" ref="AM374:BR374" si="212">SUM(AM368:AM372)+AM88</f>
        <v>304.30525496311202</v>
      </c>
      <c r="AN374" s="1052">
        <f t="shared" si="212"/>
        <v>305.14062100298196</v>
      </c>
      <c r="AO374" s="1052">
        <f t="shared" si="212"/>
        <v>306.16710581614075</v>
      </c>
      <c r="AP374" s="1052">
        <f t="shared" si="212"/>
        <v>307.28848757843826</v>
      </c>
      <c r="AQ374" s="1052">
        <f t="shared" si="212"/>
        <v>308.2714302972455</v>
      </c>
      <c r="AR374" s="1052">
        <f t="shared" si="212"/>
        <v>309.39381104459522</v>
      </c>
      <c r="AS374" s="1052">
        <f t="shared" si="212"/>
        <v>310.54860027447353</v>
      </c>
      <c r="AT374" s="1052">
        <f t="shared" si="212"/>
        <v>311.74925784566017</v>
      </c>
      <c r="AU374" s="1052">
        <f t="shared" si="212"/>
        <v>312.95078253797095</v>
      </c>
      <c r="AV374" s="1052">
        <f t="shared" si="212"/>
        <v>314.05312520753176</v>
      </c>
      <c r="AW374" s="1052">
        <f t="shared" si="212"/>
        <v>315.28333514991743</v>
      </c>
      <c r="AX374" s="1052">
        <f t="shared" si="212"/>
        <v>316.57632582164206</v>
      </c>
      <c r="AY374" s="1052">
        <f t="shared" si="212"/>
        <v>317.58598693302076</v>
      </c>
      <c r="AZ374" s="1052">
        <f t="shared" si="212"/>
        <v>318.927877616714</v>
      </c>
      <c r="BA374" s="1052">
        <f t="shared" si="212"/>
        <v>320.06903537962893</v>
      </c>
      <c r="BB374" s="1052">
        <f t="shared" si="212"/>
        <v>321.38047780427962</v>
      </c>
      <c r="BC374" s="1052">
        <f t="shared" si="212"/>
        <v>322.69849828412316</v>
      </c>
      <c r="BD374" s="1052">
        <f t="shared" si="212"/>
        <v>323.73555187864093</v>
      </c>
      <c r="BE374" s="1052">
        <f t="shared" si="212"/>
        <v>325.16315226021948</v>
      </c>
      <c r="BF374" s="1052">
        <f t="shared" si="212"/>
        <v>326.44411690393827</v>
      </c>
      <c r="BG374" s="1052">
        <f t="shared" si="212"/>
        <v>327.48643191431023</v>
      </c>
      <c r="BH374" s="1052">
        <f t="shared" si="212"/>
        <v>328.95207914036132</v>
      </c>
      <c r="BI374" s="1052">
        <f t="shared" si="212"/>
        <v>330.23963607323378</v>
      </c>
      <c r="BJ374" s="1052">
        <f t="shared" si="212"/>
        <v>331.49674687849921</v>
      </c>
      <c r="BK374" s="1052">
        <f t="shared" si="212"/>
        <v>332.82237280853894</v>
      </c>
      <c r="BL374" s="1052">
        <f t="shared" si="212"/>
        <v>334.13495678195846</v>
      </c>
      <c r="BM374" s="1052">
        <f t="shared" si="212"/>
        <v>335.32864339616305</v>
      </c>
      <c r="BN374" s="1052">
        <f t="shared" si="212"/>
        <v>336.73047336732975</v>
      </c>
      <c r="BO374" s="1052">
        <f t="shared" si="212"/>
        <v>337.98861175785333</v>
      </c>
      <c r="BP374" s="1052">
        <f t="shared" si="212"/>
        <v>0</v>
      </c>
      <c r="BQ374" s="1052">
        <f t="shared" si="212"/>
        <v>0</v>
      </c>
      <c r="BR374" s="1052">
        <f t="shared" si="212"/>
        <v>0</v>
      </c>
      <c r="BS374" s="1052">
        <f t="shared" ref="BS374:CI374" si="213">SUM(BS368:BS372)+BS88</f>
        <v>0</v>
      </c>
      <c r="BT374" s="1052">
        <f t="shared" si="213"/>
        <v>0</v>
      </c>
      <c r="BU374" s="1052">
        <f t="shared" si="213"/>
        <v>0</v>
      </c>
      <c r="BV374" s="1052">
        <f t="shared" si="213"/>
        <v>0</v>
      </c>
      <c r="BW374" s="1052">
        <f t="shared" si="213"/>
        <v>0</v>
      </c>
      <c r="BX374" s="1052">
        <f t="shared" si="213"/>
        <v>0</v>
      </c>
      <c r="BY374" s="1052">
        <f t="shared" si="213"/>
        <v>0</v>
      </c>
      <c r="BZ374" s="1052">
        <f t="shared" si="213"/>
        <v>0</v>
      </c>
      <c r="CA374" s="1052">
        <f t="shared" si="213"/>
        <v>0</v>
      </c>
      <c r="CB374" s="1052">
        <f t="shared" si="213"/>
        <v>0</v>
      </c>
      <c r="CC374" s="1052">
        <f t="shared" si="213"/>
        <v>0</v>
      </c>
      <c r="CD374" s="1052">
        <f t="shared" si="213"/>
        <v>0</v>
      </c>
      <c r="CE374" s="1052">
        <f t="shared" si="213"/>
        <v>0</v>
      </c>
      <c r="CF374" s="1052">
        <f t="shared" si="213"/>
        <v>0</v>
      </c>
      <c r="CG374" s="1052">
        <f t="shared" si="213"/>
        <v>0</v>
      </c>
      <c r="CH374" s="1052">
        <f t="shared" si="213"/>
        <v>0</v>
      </c>
      <c r="CI374" s="1053">
        <f t="shared" si="213"/>
        <v>0</v>
      </c>
    </row>
    <row r="375" spans="2:87" x14ac:dyDescent="0.25">
      <c r="B375" s="1372"/>
      <c r="C375" s="1373"/>
      <c r="D375" s="1373"/>
      <c r="E375" s="1373"/>
      <c r="F375" s="1373"/>
      <c r="G375" s="1373"/>
      <c r="H375" s="1373"/>
      <c r="I375" s="1373"/>
      <c r="J375" s="1373"/>
      <c r="K375" s="1373"/>
      <c r="L375" s="1373"/>
      <c r="M375" s="1373"/>
      <c r="N375" s="1373"/>
      <c r="O375" s="1373"/>
      <c r="P375" s="1373"/>
      <c r="Q375" s="1373"/>
      <c r="R375" s="1373"/>
      <c r="S375" s="1373"/>
      <c r="T375" s="1373"/>
      <c r="U375" s="1373"/>
      <c r="V375" s="1373"/>
      <c r="W375" s="1373"/>
      <c r="X375" s="1373"/>
      <c r="Y375" s="1373"/>
      <c r="Z375" s="1373"/>
      <c r="AA375" s="1373"/>
      <c r="AB375" s="1373"/>
      <c r="AC375" s="1373"/>
      <c r="AD375" s="1373"/>
      <c r="AE375" s="1373"/>
      <c r="AF375" s="1373"/>
      <c r="AG375" s="1373"/>
      <c r="AH375" s="1373"/>
      <c r="AI375" s="1373"/>
      <c r="AJ375" s="1373"/>
      <c r="AK375" s="1373"/>
      <c r="AL375" s="1373"/>
      <c r="AM375" s="1373"/>
      <c r="AN375" s="1373"/>
      <c r="AO375" s="1373"/>
      <c r="AP375" s="1373"/>
      <c r="AQ375" s="1373"/>
      <c r="AR375" s="1373"/>
      <c r="AS375" s="1373"/>
      <c r="AT375" s="1373"/>
      <c r="AU375" s="1373"/>
      <c r="AV375" s="1373"/>
      <c r="AW375" s="1373"/>
      <c r="AX375" s="1373"/>
      <c r="AY375" s="1373"/>
      <c r="AZ375" s="1373"/>
      <c r="BA375" s="1373"/>
      <c r="BB375" s="1373"/>
      <c r="BC375" s="1373"/>
      <c r="BD375" s="1373"/>
      <c r="BE375" s="1373"/>
      <c r="BF375" s="1373"/>
      <c r="BG375" s="1373"/>
      <c r="BH375" s="1373"/>
      <c r="BI375" s="1373"/>
      <c r="BJ375" s="1373"/>
      <c r="BK375" s="1373"/>
      <c r="BL375" s="1373"/>
      <c r="BM375" s="1373"/>
      <c r="BN375" s="1373"/>
      <c r="BO375" s="1373"/>
      <c r="BP375" s="1373"/>
      <c r="BQ375" s="1373"/>
      <c r="BR375" s="1373"/>
      <c r="BS375" s="1373"/>
      <c r="BT375" s="1373"/>
      <c r="BU375" s="1373"/>
      <c r="BV375" s="1373"/>
      <c r="BW375" s="1373"/>
      <c r="BX375" s="1373"/>
      <c r="BY375" s="1373"/>
      <c r="BZ375" s="1373"/>
      <c r="CA375" s="1373"/>
      <c r="CB375" s="1373"/>
      <c r="CC375" s="1373"/>
      <c r="CD375" s="1373"/>
      <c r="CE375" s="1373"/>
      <c r="CF375" s="1373"/>
      <c r="CG375" s="1373"/>
      <c r="CH375" s="1373"/>
      <c r="CI375" s="1374"/>
    </row>
    <row r="376" spans="2:87" x14ac:dyDescent="0.25">
      <c r="B376" s="1372" t="s">
        <v>703</v>
      </c>
      <c r="C376" s="1373"/>
      <c r="D376" s="1373"/>
      <c r="E376" s="1373"/>
      <c r="F376" s="1373"/>
      <c r="G376" s="1050" t="s">
        <v>119</v>
      </c>
      <c r="H376" s="1050" t="s">
        <v>120</v>
      </c>
      <c r="I376" s="1050" t="s">
        <v>121</v>
      </c>
      <c r="J376" s="1050" t="s">
        <v>122</v>
      </c>
      <c r="K376" s="1050" t="s">
        <v>123</v>
      </c>
      <c r="L376" s="1050" t="s">
        <v>124</v>
      </c>
      <c r="M376" s="1050" t="s">
        <v>125</v>
      </c>
      <c r="N376" s="1050" t="s">
        <v>126</v>
      </c>
      <c r="O376" s="1050" t="s">
        <v>127</v>
      </c>
      <c r="P376" s="1050" t="s">
        <v>128</v>
      </c>
      <c r="Q376" s="1050" t="s">
        <v>129</v>
      </c>
      <c r="R376" s="1050" t="s">
        <v>130</v>
      </c>
      <c r="S376" s="1050" t="s">
        <v>157</v>
      </c>
      <c r="T376" s="1050" t="s">
        <v>158</v>
      </c>
      <c r="U376" s="1050" t="s">
        <v>159</v>
      </c>
      <c r="V376" s="1050" t="s">
        <v>160</v>
      </c>
      <c r="W376" s="1050" t="s">
        <v>131</v>
      </c>
      <c r="X376" s="1050" t="s">
        <v>161</v>
      </c>
      <c r="Y376" s="1050" t="s">
        <v>162</v>
      </c>
      <c r="Z376" s="1050" t="s">
        <v>163</v>
      </c>
      <c r="AA376" s="1050" t="s">
        <v>164</v>
      </c>
      <c r="AB376" s="1050" t="s">
        <v>132</v>
      </c>
      <c r="AC376" s="1050" t="s">
        <v>165</v>
      </c>
      <c r="AD376" s="1050" t="s">
        <v>166</v>
      </c>
      <c r="AE376" s="1050" t="s">
        <v>167</v>
      </c>
      <c r="AF376" s="1050" t="s">
        <v>168</v>
      </c>
      <c r="AG376" s="1050" t="s">
        <v>133</v>
      </c>
      <c r="AH376" s="1050" t="s">
        <v>169</v>
      </c>
      <c r="AI376" s="1050" t="s">
        <v>170</v>
      </c>
      <c r="AJ376" s="1050" t="s">
        <v>171</v>
      </c>
      <c r="AK376" s="1050" t="s">
        <v>172</v>
      </c>
      <c r="AL376" s="1050" t="s">
        <v>134</v>
      </c>
      <c r="AM376" s="1050" t="s">
        <v>173</v>
      </c>
      <c r="AN376" s="1050" t="s">
        <v>174</v>
      </c>
      <c r="AO376" s="1050" t="s">
        <v>175</v>
      </c>
      <c r="AP376" s="1050" t="s">
        <v>176</v>
      </c>
      <c r="AQ376" s="1050" t="s">
        <v>135</v>
      </c>
      <c r="AR376" s="1050" t="s">
        <v>177</v>
      </c>
      <c r="AS376" s="1050" t="s">
        <v>178</v>
      </c>
      <c r="AT376" s="1050" t="s">
        <v>179</v>
      </c>
      <c r="AU376" s="1050" t="s">
        <v>180</v>
      </c>
      <c r="AV376" s="1050" t="s">
        <v>136</v>
      </c>
      <c r="AW376" s="1050" t="s">
        <v>181</v>
      </c>
      <c r="AX376" s="1050" t="s">
        <v>182</v>
      </c>
      <c r="AY376" s="1050" t="s">
        <v>183</v>
      </c>
      <c r="AZ376" s="1050" t="s">
        <v>184</v>
      </c>
      <c r="BA376" s="1050" t="s">
        <v>137</v>
      </c>
      <c r="BB376" s="1050" t="s">
        <v>185</v>
      </c>
      <c r="BC376" s="1050" t="s">
        <v>186</v>
      </c>
      <c r="BD376" s="1050" t="s">
        <v>187</v>
      </c>
      <c r="BE376" s="1050" t="s">
        <v>188</v>
      </c>
      <c r="BF376" s="1050" t="s">
        <v>138</v>
      </c>
      <c r="BG376" s="1050" t="s">
        <v>189</v>
      </c>
      <c r="BH376" s="1050" t="s">
        <v>190</v>
      </c>
      <c r="BI376" s="1050" t="s">
        <v>191</v>
      </c>
      <c r="BJ376" s="1050" t="s">
        <v>192</v>
      </c>
      <c r="BK376" s="1050" t="s">
        <v>139</v>
      </c>
      <c r="BL376" s="1050" t="s">
        <v>193</v>
      </c>
      <c r="BM376" s="1050" t="s">
        <v>194</v>
      </c>
      <c r="BN376" s="1050" t="s">
        <v>195</v>
      </c>
      <c r="BO376" s="1050" t="s">
        <v>196</v>
      </c>
      <c r="BP376" s="1050" t="s">
        <v>140</v>
      </c>
      <c r="BQ376" s="1050" t="s">
        <v>197</v>
      </c>
      <c r="BR376" s="1050" t="s">
        <v>198</v>
      </c>
      <c r="BS376" s="1050" t="s">
        <v>199</v>
      </c>
      <c r="BT376" s="1050" t="s">
        <v>200</v>
      </c>
      <c r="BU376" s="1050" t="s">
        <v>141</v>
      </c>
      <c r="BV376" s="1050" t="s">
        <v>201</v>
      </c>
      <c r="BW376" s="1050" t="s">
        <v>202</v>
      </c>
      <c r="BX376" s="1050" t="s">
        <v>203</v>
      </c>
      <c r="BY376" s="1050" t="s">
        <v>204</v>
      </c>
      <c r="BZ376" s="1050" t="s">
        <v>142</v>
      </c>
      <c r="CA376" s="1050" t="s">
        <v>205</v>
      </c>
      <c r="CB376" s="1050" t="s">
        <v>206</v>
      </c>
      <c r="CC376" s="1050" t="s">
        <v>207</v>
      </c>
      <c r="CD376" s="1050" t="s">
        <v>208</v>
      </c>
      <c r="CE376" s="1050" t="s">
        <v>143</v>
      </c>
      <c r="CF376" s="1050" t="s">
        <v>209</v>
      </c>
      <c r="CG376" s="1050" t="s">
        <v>210</v>
      </c>
      <c r="CH376" s="1050" t="s">
        <v>211</v>
      </c>
      <c r="CI376" s="1051" t="s">
        <v>212</v>
      </c>
    </row>
    <row r="377" spans="2:87" x14ac:dyDescent="0.25">
      <c r="B377" s="1372"/>
      <c r="C377" s="1373" t="s">
        <v>697</v>
      </c>
      <c r="D377" s="1373"/>
      <c r="E377" s="1373" t="s">
        <v>146</v>
      </c>
      <c r="F377" s="1373">
        <v>2</v>
      </c>
      <c r="G377" s="1052">
        <f t="shared" ref="G377:BR378" si="214">G136-G147</f>
        <v>0</v>
      </c>
      <c r="H377" s="1052">
        <f t="shared" si="214"/>
        <v>0</v>
      </c>
      <c r="I377" s="1052">
        <f t="shared" si="214"/>
        <v>97.254182465999975</v>
      </c>
      <c r="J377" s="1052">
        <f t="shared" si="214"/>
        <v>106.51834949736738</v>
      </c>
      <c r="K377" s="1052">
        <f t="shared" si="214"/>
        <v>114.77191994578537</v>
      </c>
      <c r="L377" s="1052">
        <f t="shared" si="214"/>
        <v>122.23420847241869</v>
      </c>
      <c r="M377" s="1052">
        <f t="shared" si="214"/>
        <v>124.93436600579827</v>
      </c>
      <c r="N377" s="1052">
        <f t="shared" si="214"/>
        <v>126.32540411531076</v>
      </c>
      <c r="O377" s="1052">
        <f t="shared" si="214"/>
        <v>127.34732189402793</v>
      </c>
      <c r="P377" s="1052">
        <f t="shared" si="214"/>
        <v>128.17791086488242</v>
      </c>
      <c r="Q377" s="1052">
        <f t="shared" si="214"/>
        <v>128.87622134139826</v>
      </c>
      <c r="R377" s="1052">
        <f t="shared" si="214"/>
        <v>127.30956352920617</v>
      </c>
      <c r="S377" s="1052">
        <f t="shared" si="214"/>
        <v>125.38984953678958</v>
      </c>
      <c r="T377" s="1052">
        <f t="shared" si="214"/>
        <v>125.22579035872251</v>
      </c>
      <c r="U377" s="1052">
        <f t="shared" si="214"/>
        <v>124.93901970750321</v>
      </c>
      <c r="V377" s="1052">
        <f t="shared" si="214"/>
        <v>124.50106283708857</v>
      </c>
      <c r="W377" s="1052">
        <f t="shared" si="214"/>
        <v>125.32635123460597</v>
      </c>
      <c r="X377" s="1052">
        <f t="shared" si="214"/>
        <v>126.04912866702718</v>
      </c>
      <c r="Y377" s="1052">
        <f t="shared" si="214"/>
        <v>126.71493809305518</v>
      </c>
      <c r="Z377" s="1052">
        <f t="shared" si="214"/>
        <v>127.31963788461007</v>
      </c>
      <c r="AA377" s="1052">
        <f t="shared" si="214"/>
        <v>127.84292919008399</v>
      </c>
      <c r="AB377" s="1052">
        <f t="shared" si="214"/>
        <v>128.63690759820417</v>
      </c>
      <c r="AC377" s="1052">
        <f t="shared" si="214"/>
        <v>129.750661637805</v>
      </c>
      <c r="AD377" s="1052">
        <f t="shared" si="214"/>
        <v>130.86612324942701</v>
      </c>
      <c r="AE377" s="1052">
        <f t="shared" si="214"/>
        <v>131.9336933051155</v>
      </c>
      <c r="AF377" s="1052">
        <f t="shared" si="214"/>
        <v>132.97307772312473</v>
      </c>
      <c r="AG377" s="1052">
        <f t="shared" si="214"/>
        <v>133.98336102940621</v>
      </c>
      <c r="AH377" s="1052">
        <f t="shared" si="214"/>
        <v>134.78876283124285</v>
      </c>
      <c r="AI377" s="1052">
        <f t="shared" si="214"/>
        <v>135.5797906329901</v>
      </c>
      <c r="AJ377" s="1052">
        <f t="shared" si="214"/>
        <v>136.33282125521703</v>
      </c>
      <c r="AK377" s="1052">
        <f t="shared" si="214"/>
        <v>137.01947427646499</v>
      </c>
      <c r="AL377" s="1052">
        <f t="shared" si="214"/>
        <v>137.72028145874478</v>
      </c>
      <c r="AM377" s="1052">
        <f t="shared" si="214"/>
        <v>138.42189992200153</v>
      </c>
      <c r="AN377" s="1052">
        <f t="shared" si="214"/>
        <v>139.06412021997377</v>
      </c>
      <c r="AO377" s="1052">
        <f t="shared" si="214"/>
        <v>139.7095024234867</v>
      </c>
      <c r="AP377" s="1052">
        <f t="shared" si="214"/>
        <v>140.3378836614207</v>
      </c>
      <c r="AQ377" s="1052">
        <f t="shared" si="214"/>
        <v>143.48639269974541</v>
      </c>
      <c r="AR377" s="1052">
        <f t="shared" si="214"/>
        <v>146.95929753643065</v>
      </c>
      <c r="AS377" s="1052">
        <f t="shared" si="214"/>
        <v>148.11731337046089</v>
      </c>
      <c r="AT377" s="1052">
        <f t="shared" si="214"/>
        <v>148.86465700065</v>
      </c>
      <c r="AU377" s="1052">
        <f t="shared" si="214"/>
        <v>149.67008181001552</v>
      </c>
      <c r="AV377" s="1052">
        <f t="shared" si="214"/>
        <v>150.43938513301265</v>
      </c>
      <c r="AW377" s="1052">
        <f t="shared" si="214"/>
        <v>151.24080480890635</v>
      </c>
      <c r="AX377" s="1052">
        <f t="shared" si="214"/>
        <v>152.04352933127399</v>
      </c>
      <c r="AY377" s="1052">
        <f t="shared" si="214"/>
        <v>152.80105527122319</v>
      </c>
      <c r="AZ377" s="1052">
        <f t="shared" si="214"/>
        <v>153.58204759117473</v>
      </c>
      <c r="BA377" s="1052">
        <f t="shared" si="214"/>
        <v>154.33009142700172</v>
      </c>
      <c r="BB377" s="1052">
        <f t="shared" si="214"/>
        <v>155.11131076181545</v>
      </c>
      <c r="BC377" s="1052">
        <f t="shared" si="214"/>
        <v>155.89030812306595</v>
      </c>
      <c r="BD377" s="1052">
        <f t="shared" si="214"/>
        <v>156.63947476040894</v>
      </c>
      <c r="BE377" s="1052">
        <f t="shared" si="214"/>
        <v>157.42183347789756</v>
      </c>
      <c r="BF377" s="1052">
        <f t="shared" si="214"/>
        <v>158.20146568262484</v>
      </c>
      <c r="BG377" s="1052">
        <f t="shared" si="214"/>
        <v>158.95178832404045</v>
      </c>
      <c r="BH377" s="1052">
        <f t="shared" si="214"/>
        <v>159.73334143221101</v>
      </c>
      <c r="BI377" s="1052">
        <f t="shared" si="214"/>
        <v>160.51422972969183</v>
      </c>
      <c r="BJ377" s="1052">
        <f t="shared" si="214"/>
        <v>161.26579770431402</v>
      </c>
      <c r="BK377" s="1052">
        <f t="shared" si="214"/>
        <v>162.04862163144395</v>
      </c>
      <c r="BL377" s="1052">
        <f t="shared" si="214"/>
        <v>162.79857515001214</v>
      </c>
      <c r="BM377" s="1052">
        <f t="shared" si="214"/>
        <v>163.58183041161135</v>
      </c>
      <c r="BN377" s="1052">
        <f t="shared" si="214"/>
        <v>164.36549078057007</v>
      </c>
      <c r="BO377" s="1052">
        <f t="shared" si="214"/>
        <v>165.1168052553852</v>
      </c>
      <c r="BP377" s="1052">
        <f t="shared" si="214"/>
        <v>0</v>
      </c>
      <c r="BQ377" s="1052">
        <f t="shared" si="214"/>
        <v>0</v>
      </c>
      <c r="BR377" s="1052">
        <f t="shared" si="214"/>
        <v>0</v>
      </c>
      <c r="BS377" s="1052">
        <f t="shared" ref="BS377:CI378" si="215">BS136-BS147</f>
        <v>0</v>
      </c>
      <c r="BT377" s="1052">
        <f t="shared" si="215"/>
        <v>0</v>
      </c>
      <c r="BU377" s="1052">
        <f t="shared" si="215"/>
        <v>0</v>
      </c>
      <c r="BV377" s="1052">
        <f t="shared" si="215"/>
        <v>0</v>
      </c>
      <c r="BW377" s="1052">
        <f t="shared" si="215"/>
        <v>0</v>
      </c>
      <c r="BX377" s="1052">
        <f t="shared" si="215"/>
        <v>0</v>
      </c>
      <c r="BY377" s="1052">
        <f t="shared" si="215"/>
        <v>0</v>
      </c>
      <c r="BZ377" s="1052">
        <f t="shared" si="215"/>
        <v>0</v>
      </c>
      <c r="CA377" s="1052">
        <f t="shared" si="215"/>
        <v>0</v>
      </c>
      <c r="CB377" s="1052">
        <f t="shared" si="215"/>
        <v>0</v>
      </c>
      <c r="CC377" s="1052">
        <f t="shared" si="215"/>
        <v>0</v>
      </c>
      <c r="CD377" s="1052">
        <f t="shared" si="215"/>
        <v>0</v>
      </c>
      <c r="CE377" s="1052">
        <f t="shared" si="215"/>
        <v>0</v>
      </c>
      <c r="CF377" s="1052">
        <f t="shared" si="215"/>
        <v>0</v>
      </c>
      <c r="CG377" s="1052">
        <f t="shared" si="215"/>
        <v>0</v>
      </c>
      <c r="CH377" s="1052">
        <f t="shared" si="215"/>
        <v>0</v>
      </c>
      <c r="CI377" s="1053">
        <f t="shared" si="215"/>
        <v>0</v>
      </c>
    </row>
    <row r="378" spans="2:87" x14ac:dyDescent="0.25">
      <c r="B378" s="1372"/>
      <c r="C378" s="1373" t="s">
        <v>698</v>
      </c>
      <c r="D378" s="1373"/>
      <c r="E378" s="1373" t="s">
        <v>146</v>
      </c>
      <c r="F378" s="1373">
        <v>2</v>
      </c>
      <c r="G378" s="1052">
        <f t="shared" si="214"/>
        <v>0</v>
      </c>
      <c r="H378" s="1052">
        <f t="shared" si="214"/>
        <v>0</v>
      </c>
      <c r="I378" s="1052">
        <f t="shared" si="214"/>
        <v>89.399155516839997</v>
      </c>
      <c r="J378" s="1052">
        <f t="shared" si="214"/>
        <v>79.49879330845647</v>
      </c>
      <c r="K378" s="1052">
        <f t="shared" si="214"/>
        <v>70.683107562874881</v>
      </c>
      <c r="L378" s="1052">
        <f t="shared" si="214"/>
        <v>62.837614908835469</v>
      </c>
      <c r="M378" s="1052">
        <f t="shared" si="214"/>
        <v>59.705334454000038</v>
      </c>
      <c r="N378" s="1052">
        <f t="shared" si="214"/>
        <v>56.398629335601733</v>
      </c>
      <c r="O378" s="1052">
        <f t="shared" si="214"/>
        <v>53.210248615938539</v>
      </c>
      <c r="P378" s="1052">
        <f t="shared" si="214"/>
        <v>50.219846787774081</v>
      </c>
      <c r="Q378" s="1052">
        <f t="shared" si="214"/>
        <v>47.413244510496334</v>
      </c>
      <c r="R378" s="1052">
        <f t="shared" si="214"/>
        <v>44.350083482180722</v>
      </c>
      <c r="S378" s="1052">
        <f t="shared" si="214"/>
        <v>41.481296977448501</v>
      </c>
      <c r="T378" s="1052">
        <f t="shared" si="214"/>
        <v>39.169765723834807</v>
      </c>
      <c r="U378" s="1052">
        <f t="shared" si="214"/>
        <v>37.006872647891797</v>
      </c>
      <c r="V378" s="1052">
        <f t="shared" si="214"/>
        <v>34.981408094004912</v>
      </c>
      <c r="W378" s="1052">
        <f t="shared" si="214"/>
        <v>33.188194010067988</v>
      </c>
      <c r="X378" s="1052">
        <f t="shared" si="214"/>
        <v>31.501127522453945</v>
      </c>
      <c r="Y378" s="1052">
        <f t="shared" si="214"/>
        <v>29.914041157917872</v>
      </c>
      <c r="Z378" s="1052">
        <f t="shared" si="214"/>
        <v>28.419348442478441</v>
      </c>
      <c r="AA378" s="1052">
        <f t="shared" si="214"/>
        <v>27.080338472229208</v>
      </c>
      <c r="AB378" s="1052">
        <f t="shared" si="214"/>
        <v>25.897001390005716</v>
      </c>
      <c r="AC378" s="1052">
        <f t="shared" si="214"/>
        <v>24.802912069059325</v>
      </c>
      <c r="AD378" s="1052">
        <f t="shared" si="214"/>
        <v>23.765231166546055</v>
      </c>
      <c r="AE378" s="1052">
        <f t="shared" si="214"/>
        <v>22.777953386514302</v>
      </c>
      <c r="AF378" s="1052">
        <f t="shared" si="214"/>
        <v>21.837189182334235</v>
      </c>
      <c r="AG378" s="1052">
        <f t="shared" si="214"/>
        <v>20.729909017769891</v>
      </c>
      <c r="AH378" s="1052">
        <f t="shared" si="214"/>
        <v>19.664851984053829</v>
      </c>
      <c r="AI378" s="1052">
        <f t="shared" si="214"/>
        <v>18.647785407817096</v>
      </c>
      <c r="AJ378" s="1052">
        <f t="shared" si="214"/>
        <v>17.676163330830747</v>
      </c>
      <c r="AK378" s="1052">
        <f t="shared" si="214"/>
        <v>16.747351590023143</v>
      </c>
      <c r="AL378" s="1052">
        <f t="shared" si="214"/>
        <v>15.861426753436209</v>
      </c>
      <c r="AM378" s="1052">
        <f t="shared" si="214"/>
        <v>15.016775523152965</v>
      </c>
      <c r="AN378" s="1052">
        <f t="shared" si="214"/>
        <v>14.209178584616559</v>
      </c>
      <c r="AO378" s="1052">
        <f t="shared" si="214"/>
        <v>13.438315828319517</v>
      </c>
      <c r="AP378" s="1052">
        <f t="shared" si="214"/>
        <v>12.70233486882954</v>
      </c>
      <c r="AQ378" s="1052">
        <f t="shared" si="214"/>
        <v>12.123161912725649</v>
      </c>
      <c r="AR378" s="1052">
        <f t="shared" si="214"/>
        <v>11.589852291109887</v>
      </c>
      <c r="AS378" s="1052">
        <f t="shared" si="214"/>
        <v>10.976249055540567</v>
      </c>
      <c r="AT378" s="1052">
        <f t="shared" si="214"/>
        <v>10.971045198684866</v>
      </c>
      <c r="AU378" s="1052">
        <f t="shared" si="214"/>
        <v>10.968622826654233</v>
      </c>
      <c r="AV378" s="1052">
        <f t="shared" si="214"/>
        <v>10.965374488776579</v>
      </c>
      <c r="AW378" s="1052">
        <f t="shared" si="214"/>
        <v>10.962636559275348</v>
      </c>
      <c r="AX378" s="1052">
        <f t="shared" si="214"/>
        <v>10.959967584288561</v>
      </c>
      <c r="AY378" s="1052">
        <f t="shared" si="214"/>
        <v>10.956075662342302</v>
      </c>
      <c r="AZ378" s="1052">
        <f t="shared" si="214"/>
        <v>10.952291524890725</v>
      </c>
      <c r="BA378" s="1052">
        <f t="shared" si="214"/>
        <v>10.947914607405314</v>
      </c>
      <c r="BB378" s="1052">
        <f t="shared" si="214"/>
        <v>10.944089480864005</v>
      </c>
      <c r="BC378" s="1052">
        <f t="shared" si="214"/>
        <v>10.940098856610852</v>
      </c>
      <c r="BD378" s="1052">
        <f t="shared" si="214"/>
        <v>10.935712738734487</v>
      </c>
      <c r="BE378" s="1052">
        <f t="shared" si="214"/>
        <v>10.931867682292989</v>
      </c>
      <c r="BF378" s="1052">
        <f t="shared" si="214"/>
        <v>10.927839113813118</v>
      </c>
      <c r="BG378" s="1052">
        <f t="shared" si="214"/>
        <v>10.923450239551586</v>
      </c>
      <c r="BH378" s="1052">
        <f t="shared" si="214"/>
        <v>10.919462923525014</v>
      </c>
      <c r="BI378" s="1052">
        <f t="shared" si="214"/>
        <v>10.915426546950386</v>
      </c>
      <c r="BJ378" s="1052">
        <f t="shared" si="214"/>
        <v>10.911040390971392</v>
      </c>
      <c r="BK378" s="1052">
        <f t="shared" si="214"/>
        <v>10.90704827130358</v>
      </c>
      <c r="BL378" s="1052">
        <f t="shared" si="214"/>
        <v>10.902518886700065</v>
      </c>
      <c r="BM378" s="1052">
        <f t="shared" si="214"/>
        <v>10.898504417050606</v>
      </c>
      <c r="BN378" s="1052">
        <f t="shared" si="214"/>
        <v>10.894490450411354</v>
      </c>
      <c r="BO378" s="1052">
        <f t="shared" si="214"/>
        <v>10.889975126193701</v>
      </c>
      <c r="BP378" s="1052">
        <f t="shared" si="214"/>
        <v>0</v>
      </c>
      <c r="BQ378" s="1052">
        <f t="shared" si="214"/>
        <v>0</v>
      </c>
      <c r="BR378" s="1052">
        <f t="shared" si="214"/>
        <v>0</v>
      </c>
      <c r="BS378" s="1052">
        <f t="shared" si="215"/>
        <v>0</v>
      </c>
      <c r="BT378" s="1052">
        <f t="shared" si="215"/>
        <v>0</v>
      </c>
      <c r="BU378" s="1052">
        <f t="shared" si="215"/>
        <v>0</v>
      </c>
      <c r="BV378" s="1052">
        <f t="shared" si="215"/>
        <v>0</v>
      </c>
      <c r="BW378" s="1052">
        <f t="shared" si="215"/>
        <v>0</v>
      </c>
      <c r="BX378" s="1052">
        <f t="shared" si="215"/>
        <v>0</v>
      </c>
      <c r="BY378" s="1052">
        <f t="shared" si="215"/>
        <v>0</v>
      </c>
      <c r="BZ378" s="1052">
        <f t="shared" si="215"/>
        <v>0</v>
      </c>
      <c r="CA378" s="1052">
        <f t="shared" si="215"/>
        <v>0</v>
      </c>
      <c r="CB378" s="1052">
        <f t="shared" si="215"/>
        <v>0</v>
      </c>
      <c r="CC378" s="1052">
        <f t="shared" si="215"/>
        <v>0</v>
      </c>
      <c r="CD378" s="1052">
        <f t="shared" si="215"/>
        <v>0</v>
      </c>
      <c r="CE378" s="1052">
        <f t="shared" si="215"/>
        <v>0</v>
      </c>
      <c r="CF378" s="1052">
        <f t="shared" si="215"/>
        <v>0</v>
      </c>
      <c r="CG378" s="1052">
        <f t="shared" si="215"/>
        <v>0</v>
      </c>
      <c r="CH378" s="1052">
        <f t="shared" si="215"/>
        <v>0</v>
      </c>
      <c r="CI378" s="1053">
        <f t="shared" si="215"/>
        <v>0</v>
      </c>
    </row>
    <row r="379" spans="2:87" x14ac:dyDescent="0.25">
      <c r="B379" s="1372"/>
      <c r="C379" s="1373" t="s">
        <v>699</v>
      </c>
      <c r="D379" s="1373"/>
      <c r="E379" s="1373" t="s">
        <v>146</v>
      </c>
      <c r="F379" s="1373">
        <v>2</v>
      </c>
      <c r="G379" s="1052">
        <f t="shared" ref="G379:BR379" si="216">G133+G135-G145-G146</f>
        <v>0</v>
      </c>
      <c r="H379" s="1052">
        <f t="shared" si="216"/>
        <v>0</v>
      </c>
      <c r="I379" s="1052">
        <f t="shared" si="216"/>
        <v>57.508380664160839</v>
      </c>
      <c r="J379" s="1052">
        <f t="shared" si="216"/>
        <v>57.679339247338142</v>
      </c>
      <c r="K379" s="1052">
        <f t="shared" si="216"/>
        <v>57.962641199667033</v>
      </c>
      <c r="L379" s="1052">
        <f t="shared" si="216"/>
        <v>58.135175213317723</v>
      </c>
      <c r="M379" s="1052">
        <f t="shared" si="216"/>
        <v>58.148949368882747</v>
      </c>
      <c r="N379" s="1052">
        <f t="shared" si="216"/>
        <v>57.920734912165372</v>
      </c>
      <c r="O379" s="1052">
        <f t="shared" si="216"/>
        <v>57.569392575006418</v>
      </c>
      <c r="P379" s="1052">
        <f t="shared" si="216"/>
        <v>57.115789071637593</v>
      </c>
      <c r="Q379" s="1052">
        <f t="shared" si="216"/>
        <v>56.555237544545918</v>
      </c>
      <c r="R379" s="1052">
        <f t="shared" si="216"/>
        <v>55.79455388214997</v>
      </c>
      <c r="S379" s="1052">
        <f t="shared" si="216"/>
        <v>54.978155802082199</v>
      </c>
      <c r="T379" s="1052">
        <f t="shared" si="216"/>
        <v>54.039787486651058</v>
      </c>
      <c r="U379" s="1052">
        <f t="shared" si="216"/>
        <v>52.991706689419949</v>
      </c>
      <c r="V379" s="1052">
        <f t="shared" si="216"/>
        <v>51.80072554793815</v>
      </c>
      <c r="W379" s="1052">
        <f t="shared" si="216"/>
        <v>50.526764115458732</v>
      </c>
      <c r="X379" s="1052">
        <f t="shared" si="216"/>
        <v>49.153839126221158</v>
      </c>
      <c r="Y379" s="1052">
        <f t="shared" si="216"/>
        <v>47.773338459235454</v>
      </c>
      <c r="Z379" s="1052">
        <f t="shared" si="216"/>
        <v>46.314723993850698</v>
      </c>
      <c r="AA379" s="1052">
        <f t="shared" si="216"/>
        <v>44.697514020283066</v>
      </c>
      <c r="AB379" s="1052">
        <f t="shared" si="216"/>
        <v>43.268044632043619</v>
      </c>
      <c r="AC379" s="1052">
        <f t="shared" si="216"/>
        <v>42.03649881293186</v>
      </c>
      <c r="AD379" s="1052">
        <f t="shared" si="216"/>
        <v>41.049864964285277</v>
      </c>
      <c r="AE379" s="1052">
        <f t="shared" si="216"/>
        <v>40.306527079669436</v>
      </c>
      <c r="AF379" s="1052">
        <f t="shared" si="216"/>
        <v>39.805100459147795</v>
      </c>
      <c r="AG379" s="1052">
        <f t="shared" si="216"/>
        <v>39.544213472496018</v>
      </c>
      <c r="AH379" s="1052">
        <f t="shared" si="216"/>
        <v>39.522501518320738</v>
      </c>
      <c r="AI379" s="1052">
        <f t="shared" si="216"/>
        <v>39.738605913422795</v>
      </c>
      <c r="AJ379" s="1052">
        <f t="shared" si="216"/>
        <v>40.191085865879607</v>
      </c>
      <c r="AK379" s="1052">
        <f t="shared" si="216"/>
        <v>40.87836195349098</v>
      </c>
      <c r="AL379" s="1052">
        <f t="shared" si="216"/>
        <v>41.803119093514681</v>
      </c>
      <c r="AM379" s="1052">
        <f t="shared" si="216"/>
        <v>42.964097519893627</v>
      </c>
      <c r="AN379" s="1052">
        <f t="shared" si="216"/>
        <v>44.356287969087255</v>
      </c>
      <c r="AO379" s="1052">
        <f t="shared" si="216"/>
        <v>45.978060352678163</v>
      </c>
      <c r="AP379" s="1052">
        <f t="shared" si="216"/>
        <v>47.827717610331106</v>
      </c>
      <c r="AQ379" s="1052">
        <f t="shared" si="216"/>
        <v>49.731416912139231</v>
      </c>
      <c r="AR379" s="1052">
        <f t="shared" si="216"/>
        <v>51.516478542457165</v>
      </c>
      <c r="AS379" s="1052">
        <f t="shared" si="216"/>
        <v>53.183717905392967</v>
      </c>
      <c r="AT379" s="1052">
        <f t="shared" si="216"/>
        <v>54.733775910542121</v>
      </c>
      <c r="AU379" s="1052">
        <f t="shared" si="216"/>
        <v>56.167273461251341</v>
      </c>
      <c r="AV379" s="1052">
        <f t="shared" si="216"/>
        <v>57.484812742941287</v>
      </c>
      <c r="AW379" s="1052">
        <f t="shared" si="216"/>
        <v>58.686977280690392</v>
      </c>
      <c r="AX379" s="1052">
        <f t="shared" si="216"/>
        <v>59.774334568146685</v>
      </c>
      <c r="AY379" s="1052">
        <f t="shared" si="216"/>
        <v>60.747435933850397</v>
      </c>
      <c r="AZ379" s="1052">
        <f t="shared" si="216"/>
        <v>61.606817466660878</v>
      </c>
      <c r="BA379" s="1052">
        <f t="shared" si="216"/>
        <v>62.353002050624909</v>
      </c>
      <c r="BB379" s="1052">
        <f t="shared" si="216"/>
        <v>62.986498631191097</v>
      </c>
      <c r="BC379" s="1052">
        <f t="shared" si="216"/>
        <v>63.507804493268146</v>
      </c>
      <c r="BD379" s="1052">
        <f t="shared" si="216"/>
        <v>63.91740481042563</v>
      </c>
      <c r="BE379" s="1052">
        <f t="shared" si="216"/>
        <v>64.215773292886212</v>
      </c>
      <c r="BF379" s="1052">
        <f t="shared" si="216"/>
        <v>64.459695928465266</v>
      </c>
      <c r="BG379" s="1052">
        <f t="shared" si="216"/>
        <v>64.705713158007569</v>
      </c>
      <c r="BH379" s="1052">
        <f t="shared" si="216"/>
        <v>64.953806981174182</v>
      </c>
      <c r="BI379" s="1052">
        <f t="shared" si="216"/>
        <v>65.203959017612476</v>
      </c>
      <c r="BJ379" s="1052">
        <f t="shared" si="216"/>
        <v>65.456153487448617</v>
      </c>
      <c r="BK379" s="1052">
        <f t="shared" si="216"/>
        <v>65.710374490074386</v>
      </c>
      <c r="BL379" s="1052">
        <f t="shared" si="216"/>
        <v>65.966607483782127</v>
      </c>
      <c r="BM379" s="1052">
        <f t="shared" si="216"/>
        <v>66.224838847762044</v>
      </c>
      <c r="BN379" s="1052">
        <f t="shared" si="216"/>
        <v>66.485056222392473</v>
      </c>
      <c r="BO379" s="1052">
        <f t="shared" si="216"/>
        <v>66.747247700535738</v>
      </c>
      <c r="BP379" s="1052">
        <f t="shared" si="216"/>
        <v>0</v>
      </c>
      <c r="BQ379" s="1052">
        <f t="shared" si="216"/>
        <v>0</v>
      </c>
      <c r="BR379" s="1052">
        <f t="shared" si="216"/>
        <v>0</v>
      </c>
      <c r="BS379" s="1052">
        <f t="shared" ref="BS379:CI379" si="217">BS133+BS135-BS145-BS146</f>
        <v>0</v>
      </c>
      <c r="BT379" s="1052">
        <f t="shared" si="217"/>
        <v>0</v>
      </c>
      <c r="BU379" s="1052">
        <f t="shared" si="217"/>
        <v>0</v>
      </c>
      <c r="BV379" s="1052">
        <f t="shared" si="217"/>
        <v>0</v>
      </c>
      <c r="BW379" s="1052">
        <f t="shared" si="217"/>
        <v>0</v>
      </c>
      <c r="BX379" s="1052">
        <f t="shared" si="217"/>
        <v>0</v>
      </c>
      <c r="BY379" s="1052">
        <f t="shared" si="217"/>
        <v>0</v>
      </c>
      <c r="BZ379" s="1052">
        <f t="shared" si="217"/>
        <v>0</v>
      </c>
      <c r="CA379" s="1052">
        <f t="shared" si="217"/>
        <v>0</v>
      </c>
      <c r="CB379" s="1052">
        <f t="shared" si="217"/>
        <v>0</v>
      </c>
      <c r="CC379" s="1052">
        <f t="shared" si="217"/>
        <v>0</v>
      </c>
      <c r="CD379" s="1052">
        <f t="shared" si="217"/>
        <v>0</v>
      </c>
      <c r="CE379" s="1052">
        <f t="shared" si="217"/>
        <v>0</v>
      </c>
      <c r="CF379" s="1052">
        <f t="shared" si="217"/>
        <v>0</v>
      </c>
      <c r="CG379" s="1052">
        <f t="shared" si="217"/>
        <v>0</v>
      </c>
      <c r="CH379" s="1052">
        <f t="shared" si="217"/>
        <v>0</v>
      </c>
      <c r="CI379" s="1053">
        <f t="shared" si="217"/>
        <v>0</v>
      </c>
    </row>
    <row r="380" spans="2:87" x14ac:dyDescent="0.25">
      <c r="B380" s="1372"/>
      <c r="C380" s="1373" t="s">
        <v>153</v>
      </c>
      <c r="D380" s="1373"/>
      <c r="E380" s="1373" t="s">
        <v>146</v>
      </c>
      <c r="F380" s="1373">
        <v>2</v>
      </c>
      <c r="G380" s="1052">
        <f t="shared" ref="G380:BR380" si="218">G151</f>
        <v>0</v>
      </c>
      <c r="H380" s="1052">
        <f t="shared" si="218"/>
        <v>0</v>
      </c>
      <c r="I380" s="1052">
        <f t="shared" si="218"/>
        <v>35.646000000000001</v>
      </c>
      <c r="J380" s="1052">
        <f t="shared" si="218"/>
        <v>31.59713329947148</v>
      </c>
      <c r="K380" s="1052">
        <f t="shared" si="218"/>
        <v>32.497133299471479</v>
      </c>
      <c r="L380" s="1052">
        <f t="shared" si="218"/>
        <v>32.09713329947148</v>
      </c>
      <c r="M380" s="1052">
        <f t="shared" si="218"/>
        <v>31.728969974273923</v>
      </c>
      <c r="N380" s="1052">
        <f t="shared" si="218"/>
        <v>31.077954668384791</v>
      </c>
      <c r="O380" s="1052">
        <f t="shared" si="218"/>
        <v>30.395913329155491</v>
      </c>
      <c r="P380" s="1052">
        <f t="shared" si="218"/>
        <v>29.916872332931433</v>
      </c>
      <c r="Q380" s="1052">
        <f t="shared" si="218"/>
        <v>29.473916413778731</v>
      </c>
      <c r="R380" s="1052">
        <f t="shared" si="218"/>
        <v>28.899652986075246</v>
      </c>
      <c r="S380" s="1052">
        <f t="shared" si="218"/>
        <v>28.326677266360626</v>
      </c>
      <c r="T380" s="1052">
        <f t="shared" si="218"/>
        <v>27.404021706091996</v>
      </c>
      <c r="U380" s="1052">
        <f t="shared" si="218"/>
        <v>26.727498311574927</v>
      </c>
      <c r="V380" s="1052">
        <f t="shared" si="218"/>
        <v>26.067170440554442</v>
      </c>
      <c r="W380" s="1052">
        <f t="shared" si="218"/>
        <v>25.606060432039079</v>
      </c>
      <c r="X380" s="1052">
        <f t="shared" si="218"/>
        <v>25.322553906270251</v>
      </c>
      <c r="Y380" s="1052">
        <f t="shared" si="218"/>
        <v>24.981479379181469</v>
      </c>
      <c r="Z380" s="1052">
        <f t="shared" si="218"/>
        <v>24.679717048766307</v>
      </c>
      <c r="AA380" s="1052">
        <f t="shared" si="218"/>
        <v>24.230087070271722</v>
      </c>
      <c r="AB380" s="1052">
        <f t="shared" si="218"/>
        <v>23.9708748134675</v>
      </c>
      <c r="AC380" s="1052">
        <f t="shared" si="218"/>
        <v>23.751148704411278</v>
      </c>
      <c r="AD380" s="1052">
        <f t="shared" si="218"/>
        <v>23.638810195663531</v>
      </c>
      <c r="AE380" s="1052">
        <f t="shared" si="218"/>
        <v>23.449526947155327</v>
      </c>
      <c r="AF380" s="1052">
        <f t="shared" si="218"/>
        <v>23.201395239571873</v>
      </c>
      <c r="AG380" s="1052">
        <f t="shared" si="218"/>
        <v>23.055479578419742</v>
      </c>
      <c r="AH380" s="1052">
        <f t="shared" si="218"/>
        <v>22.872004243842888</v>
      </c>
      <c r="AI380" s="1052">
        <f t="shared" si="218"/>
        <v>22.637858113120863</v>
      </c>
      <c r="AJ380" s="1052">
        <f t="shared" si="218"/>
        <v>22.305000388295731</v>
      </c>
      <c r="AK380" s="1052">
        <f t="shared" si="218"/>
        <v>21.960514944256232</v>
      </c>
      <c r="AL380" s="1052">
        <f t="shared" si="218"/>
        <v>21.960514944256232</v>
      </c>
      <c r="AM380" s="1052">
        <f t="shared" si="218"/>
        <v>21.960514944256232</v>
      </c>
      <c r="AN380" s="1052">
        <f t="shared" si="218"/>
        <v>21.960514944256232</v>
      </c>
      <c r="AO380" s="1052">
        <f t="shared" si="218"/>
        <v>21.960514944256232</v>
      </c>
      <c r="AP380" s="1052">
        <f t="shared" si="218"/>
        <v>21.960514944256232</v>
      </c>
      <c r="AQ380" s="1052">
        <f t="shared" si="218"/>
        <v>21.960514944256232</v>
      </c>
      <c r="AR380" s="1052">
        <f t="shared" si="218"/>
        <v>21.960514944256232</v>
      </c>
      <c r="AS380" s="1052">
        <f t="shared" si="218"/>
        <v>21.960514944256232</v>
      </c>
      <c r="AT380" s="1052">
        <f t="shared" si="218"/>
        <v>21.960514944256232</v>
      </c>
      <c r="AU380" s="1052">
        <f t="shared" si="218"/>
        <v>21.960514944256232</v>
      </c>
      <c r="AV380" s="1052">
        <f t="shared" si="218"/>
        <v>21.960514944256232</v>
      </c>
      <c r="AW380" s="1052">
        <f t="shared" si="218"/>
        <v>21.960514944256232</v>
      </c>
      <c r="AX380" s="1052">
        <f t="shared" si="218"/>
        <v>21.960514944256232</v>
      </c>
      <c r="AY380" s="1052">
        <f t="shared" si="218"/>
        <v>21.960514944256232</v>
      </c>
      <c r="AZ380" s="1052">
        <f t="shared" si="218"/>
        <v>21.960514944256232</v>
      </c>
      <c r="BA380" s="1052">
        <f t="shared" si="218"/>
        <v>21.960514944256232</v>
      </c>
      <c r="BB380" s="1052">
        <f t="shared" si="218"/>
        <v>21.960514944256232</v>
      </c>
      <c r="BC380" s="1052">
        <f t="shared" si="218"/>
        <v>21.960514944256232</v>
      </c>
      <c r="BD380" s="1052">
        <f t="shared" si="218"/>
        <v>21.960514944256232</v>
      </c>
      <c r="BE380" s="1052">
        <f t="shared" si="218"/>
        <v>21.960514944256232</v>
      </c>
      <c r="BF380" s="1052">
        <f t="shared" si="218"/>
        <v>21.960514944256232</v>
      </c>
      <c r="BG380" s="1052">
        <f t="shared" si="218"/>
        <v>21.960514944256232</v>
      </c>
      <c r="BH380" s="1052">
        <f t="shared" si="218"/>
        <v>21.960514944256232</v>
      </c>
      <c r="BI380" s="1052">
        <f t="shared" si="218"/>
        <v>21.960514944256232</v>
      </c>
      <c r="BJ380" s="1052">
        <f t="shared" si="218"/>
        <v>21.960514944256232</v>
      </c>
      <c r="BK380" s="1052">
        <f t="shared" si="218"/>
        <v>21.960514944256232</v>
      </c>
      <c r="BL380" s="1052">
        <f t="shared" si="218"/>
        <v>21.960514944256232</v>
      </c>
      <c r="BM380" s="1052">
        <f t="shared" si="218"/>
        <v>21.960514944256232</v>
      </c>
      <c r="BN380" s="1052">
        <f t="shared" si="218"/>
        <v>21.960514944256232</v>
      </c>
      <c r="BO380" s="1052">
        <f t="shared" si="218"/>
        <v>21.960514944256232</v>
      </c>
      <c r="BP380" s="1052">
        <f t="shared" si="218"/>
        <v>0</v>
      </c>
      <c r="BQ380" s="1052">
        <f t="shared" si="218"/>
        <v>0</v>
      </c>
      <c r="BR380" s="1052">
        <f t="shared" si="218"/>
        <v>0</v>
      </c>
      <c r="BS380" s="1052">
        <f t="shared" ref="BS380:CI380" si="219">BS151</f>
        <v>0</v>
      </c>
      <c r="BT380" s="1052">
        <f t="shared" si="219"/>
        <v>0</v>
      </c>
      <c r="BU380" s="1052">
        <f t="shared" si="219"/>
        <v>0</v>
      </c>
      <c r="BV380" s="1052">
        <f t="shared" si="219"/>
        <v>0</v>
      </c>
      <c r="BW380" s="1052">
        <f t="shared" si="219"/>
        <v>0</v>
      </c>
      <c r="BX380" s="1052">
        <f t="shared" si="219"/>
        <v>0</v>
      </c>
      <c r="BY380" s="1052">
        <f t="shared" si="219"/>
        <v>0</v>
      </c>
      <c r="BZ380" s="1052">
        <f t="shared" si="219"/>
        <v>0</v>
      </c>
      <c r="CA380" s="1052">
        <f t="shared" si="219"/>
        <v>0</v>
      </c>
      <c r="CB380" s="1052">
        <f t="shared" si="219"/>
        <v>0</v>
      </c>
      <c r="CC380" s="1052">
        <f t="shared" si="219"/>
        <v>0</v>
      </c>
      <c r="CD380" s="1052">
        <f t="shared" si="219"/>
        <v>0</v>
      </c>
      <c r="CE380" s="1052">
        <f t="shared" si="219"/>
        <v>0</v>
      </c>
      <c r="CF380" s="1052">
        <f t="shared" si="219"/>
        <v>0</v>
      </c>
      <c r="CG380" s="1052">
        <f t="shared" si="219"/>
        <v>0</v>
      </c>
      <c r="CH380" s="1052">
        <f t="shared" si="219"/>
        <v>0</v>
      </c>
      <c r="CI380" s="1053">
        <f t="shared" si="219"/>
        <v>0</v>
      </c>
    </row>
    <row r="381" spans="2:87" x14ac:dyDescent="0.25">
      <c r="B381" s="1372"/>
      <c r="C381" s="1373" t="s">
        <v>700</v>
      </c>
      <c r="D381" s="1373"/>
      <c r="E381" s="1373" t="s">
        <v>146</v>
      </c>
      <c r="F381" s="1373">
        <v>2</v>
      </c>
      <c r="G381" s="1052">
        <f t="shared" ref="G381:AL381" si="220">G175-SUM(G377:G380)</f>
        <v>0</v>
      </c>
      <c r="H381" s="1052">
        <f t="shared" si="220"/>
        <v>0</v>
      </c>
      <c r="I381" s="1052">
        <f t="shared" si="220"/>
        <v>3.6300000000000523</v>
      </c>
      <c r="J381" s="1052">
        <f t="shared" si="220"/>
        <v>3.6299999999999955</v>
      </c>
      <c r="K381" s="1052">
        <f t="shared" si="220"/>
        <v>3.6299999999999955</v>
      </c>
      <c r="L381" s="1052">
        <f t="shared" si="220"/>
        <v>3.6299999999999955</v>
      </c>
      <c r="M381" s="1052">
        <f t="shared" si="220"/>
        <v>3.6299999999999955</v>
      </c>
      <c r="N381" s="1052">
        <f t="shared" si="220"/>
        <v>3.6299999999999955</v>
      </c>
      <c r="O381" s="1052">
        <f t="shared" si="220"/>
        <v>3.6299999999999386</v>
      </c>
      <c r="P381" s="1052">
        <f t="shared" si="220"/>
        <v>3.6299999999999386</v>
      </c>
      <c r="Q381" s="1052">
        <f t="shared" si="220"/>
        <v>3.6300000000000523</v>
      </c>
      <c r="R381" s="1052">
        <f t="shared" si="220"/>
        <v>3.6299999999999955</v>
      </c>
      <c r="S381" s="1052">
        <f t="shared" si="220"/>
        <v>3.629999999999967</v>
      </c>
      <c r="T381" s="1052">
        <f t="shared" si="220"/>
        <v>3.6300000000000523</v>
      </c>
      <c r="U381" s="1052">
        <f t="shared" si="220"/>
        <v>3.6299999999999955</v>
      </c>
      <c r="V381" s="1052">
        <f t="shared" si="220"/>
        <v>3.6300000000000239</v>
      </c>
      <c r="W381" s="1052">
        <f t="shared" si="220"/>
        <v>3.6300000000000239</v>
      </c>
      <c r="X381" s="1052">
        <f t="shared" si="220"/>
        <v>3.629999999999967</v>
      </c>
      <c r="Y381" s="1052">
        <f t="shared" si="220"/>
        <v>3.629999999999967</v>
      </c>
      <c r="Z381" s="1052">
        <f t="shared" si="220"/>
        <v>3.6299999999999955</v>
      </c>
      <c r="AA381" s="1052">
        <f t="shared" si="220"/>
        <v>3.6299999999999955</v>
      </c>
      <c r="AB381" s="1052">
        <f t="shared" si="220"/>
        <v>3.6299999999999386</v>
      </c>
      <c r="AC381" s="1052">
        <f t="shared" si="220"/>
        <v>3.6300000000000239</v>
      </c>
      <c r="AD381" s="1052">
        <f t="shared" si="220"/>
        <v>3.6300000000000523</v>
      </c>
      <c r="AE381" s="1052">
        <f t="shared" si="220"/>
        <v>3.6299999999999386</v>
      </c>
      <c r="AF381" s="1052">
        <f t="shared" si="220"/>
        <v>3.6300000000000239</v>
      </c>
      <c r="AG381" s="1052">
        <f t="shared" si="220"/>
        <v>3.629999999999967</v>
      </c>
      <c r="AH381" s="1052">
        <f t="shared" si="220"/>
        <v>3.629999999999967</v>
      </c>
      <c r="AI381" s="1052">
        <f t="shared" si="220"/>
        <v>3.629999999999967</v>
      </c>
      <c r="AJ381" s="1052">
        <f t="shared" si="220"/>
        <v>3.629999999999967</v>
      </c>
      <c r="AK381" s="1052">
        <f t="shared" si="220"/>
        <v>3.6299999999999955</v>
      </c>
      <c r="AL381" s="1052">
        <f t="shared" si="220"/>
        <v>3.6299999999999955</v>
      </c>
      <c r="AM381" s="1052">
        <f t="shared" ref="AM381:BR381" si="221">AM175-SUM(AM377:AM380)</f>
        <v>3.629999999999967</v>
      </c>
      <c r="AN381" s="1052">
        <f t="shared" si="221"/>
        <v>3.6300000000000239</v>
      </c>
      <c r="AO381" s="1052">
        <f t="shared" si="221"/>
        <v>3.629999999999967</v>
      </c>
      <c r="AP381" s="1052">
        <f t="shared" si="221"/>
        <v>3.6299999999999386</v>
      </c>
      <c r="AQ381" s="1052">
        <f t="shared" si="221"/>
        <v>3.629999999999967</v>
      </c>
      <c r="AR381" s="1052">
        <f t="shared" si="221"/>
        <v>3.6299999999999955</v>
      </c>
      <c r="AS381" s="1052">
        <f t="shared" si="221"/>
        <v>3.629999999999967</v>
      </c>
      <c r="AT381" s="1052">
        <f t="shared" si="221"/>
        <v>3.6299999999999955</v>
      </c>
      <c r="AU381" s="1052">
        <f t="shared" si="221"/>
        <v>3.629999999999967</v>
      </c>
      <c r="AV381" s="1052">
        <f t="shared" si="221"/>
        <v>3.6299999999999955</v>
      </c>
      <c r="AW381" s="1052">
        <f t="shared" si="221"/>
        <v>3.629999999999967</v>
      </c>
      <c r="AX381" s="1052">
        <f t="shared" si="221"/>
        <v>3.629999999999967</v>
      </c>
      <c r="AY381" s="1052">
        <f t="shared" si="221"/>
        <v>3.629999999999967</v>
      </c>
      <c r="AZ381" s="1052">
        <f t="shared" si="221"/>
        <v>3.629999999999967</v>
      </c>
      <c r="BA381" s="1052">
        <f t="shared" si="221"/>
        <v>3.629999999999967</v>
      </c>
      <c r="BB381" s="1052">
        <f t="shared" si="221"/>
        <v>3.6299999999999955</v>
      </c>
      <c r="BC381" s="1052">
        <f t="shared" si="221"/>
        <v>3.629999999999967</v>
      </c>
      <c r="BD381" s="1052">
        <f t="shared" si="221"/>
        <v>3.6299999999999955</v>
      </c>
      <c r="BE381" s="1052">
        <f t="shared" si="221"/>
        <v>3.6299999999999955</v>
      </c>
      <c r="BF381" s="1052">
        <f t="shared" si="221"/>
        <v>3.6299999999999955</v>
      </c>
      <c r="BG381" s="1052">
        <f t="shared" si="221"/>
        <v>3.6299999999999955</v>
      </c>
      <c r="BH381" s="1052">
        <f t="shared" si="221"/>
        <v>3.6299999999999955</v>
      </c>
      <c r="BI381" s="1052">
        <f t="shared" si="221"/>
        <v>3.6299999999999386</v>
      </c>
      <c r="BJ381" s="1052">
        <f t="shared" si="221"/>
        <v>3.6299999999999955</v>
      </c>
      <c r="BK381" s="1052">
        <f t="shared" si="221"/>
        <v>3.6300000000000523</v>
      </c>
      <c r="BL381" s="1052">
        <f t="shared" si="221"/>
        <v>3.6299999999999386</v>
      </c>
      <c r="BM381" s="1052">
        <f t="shared" si="221"/>
        <v>3.6299999999999386</v>
      </c>
      <c r="BN381" s="1052">
        <f t="shared" si="221"/>
        <v>3.6299999999999955</v>
      </c>
      <c r="BO381" s="1052">
        <f t="shared" si="221"/>
        <v>3.6299999999999955</v>
      </c>
      <c r="BP381" s="1052">
        <f t="shared" si="221"/>
        <v>0</v>
      </c>
      <c r="BQ381" s="1052">
        <f t="shared" si="221"/>
        <v>0</v>
      </c>
      <c r="BR381" s="1052">
        <f t="shared" si="221"/>
        <v>0</v>
      </c>
      <c r="BS381" s="1052">
        <f t="shared" ref="BS381:CI381" si="222">BS175-SUM(BS377:BS380)</f>
        <v>0</v>
      </c>
      <c r="BT381" s="1052">
        <f t="shared" si="222"/>
        <v>0</v>
      </c>
      <c r="BU381" s="1052">
        <f t="shared" si="222"/>
        <v>0</v>
      </c>
      <c r="BV381" s="1052">
        <f t="shared" si="222"/>
        <v>0</v>
      </c>
      <c r="BW381" s="1052">
        <f t="shared" si="222"/>
        <v>0</v>
      </c>
      <c r="BX381" s="1052">
        <f t="shared" si="222"/>
        <v>0</v>
      </c>
      <c r="BY381" s="1052">
        <f t="shared" si="222"/>
        <v>0</v>
      </c>
      <c r="BZ381" s="1052">
        <f t="shared" si="222"/>
        <v>0</v>
      </c>
      <c r="CA381" s="1052">
        <f t="shared" si="222"/>
        <v>0</v>
      </c>
      <c r="CB381" s="1052">
        <f t="shared" si="222"/>
        <v>0</v>
      </c>
      <c r="CC381" s="1052">
        <f t="shared" si="222"/>
        <v>0</v>
      </c>
      <c r="CD381" s="1052">
        <f t="shared" si="222"/>
        <v>0</v>
      </c>
      <c r="CE381" s="1052">
        <f t="shared" si="222"/>
        <v>0</v>
      </c>
      <c r="CF381" s="1052">
        <f t="shared" si="222"/>
        <v>0</v>
      </c>
      <c r="CG381" s="1052">
        <f t="shared" si="222"/>
        <v>0</v>
      </c>
      <c r="CH381" s="1052">
        <f t="shared" si="222"/>
        <v>0</v>
      </c>
      <c r="CI381" s="1053">
        <f t="shared" si="222"/>
        <v>0</v>
      </c>
    </row>
    <row r="382" spans="2:87" x14ac:dyDescent="0.25">
      <c r="B382" s="1372"/>
      <c r="C382" s="1373" t="s">
        <v>701</v>
      </c>
      <c r="D382" s="1373"/>
      <c r="E382" s="1373" t="s">
        <v>146</v>
      </c>
      <c r="F382" s="1373">
        <v>2</v>
      </c>
      <c r="G382" s="1052">
        <f t="shared" ref="G382:BR382" si="223">G132</f>
        <v>0</v>
      </c>
      <c r="H382" s="1052">
        <f t="shared" si="223"/>
        <v>0</v>
      </c>
      <c r="I382" s="1052">
        <f t="shared" si="223"/>
        <v>312.91624999999999</v>
      </c>
      <c r="J382" s="1052">
        <f t="shared" si="223"/>
        <v>308.05</v>
      </c>
      <c r="K382" s="1052">
        <f t="shared" si="223"/>
        <v>307.64375000000001</v>
      </c>
      <c r="L382" s="1052">
        <f t="shared" si="223"/>
        <v>307.23750000000001</v>
      </c>
      <c r="M382" s="1052">
        <f t="shared" si="223"/>
        <v>312.80125000000004</v>
      </c>
      <c r="N382" s="1052">
        <f t="shared" si="223"/>
        <v>312.39500000000004</v>
      </c>
      <c r="O382" s="1052">
        <f t="shared" si="223"/>
        <v>311.98875000000004</v>
      </c>
      <c r="P382" s="1052">
        <f t="shared" si="223"/>
        <v>311.58250000000004</v>
      </c>
      <c r="Q382" s="1052">
        <f t="shared" si="223"/>
        <v>311.17625000000004</v>
      </c>
      <c r="R382" s="1052">
        <f t="shared" si="223"/>
        <v>309.15000000000003</v>
      </c>
      <c r="S382" s="1052">
        <f t="shared" si="223"/>
        <v>308.74375000000003</v>
      </c>
      <c r="T382" s="1052">
        <f t="shared" si="223"/>
        <v>308.33750000000003</v>
      </c>
      <c r="U382" s="1052">
        <f t="shared" si="223"/>
        <v>307.93125000000003</v>
      </c>
      <c r="V382" s="1052">
        <f t="shared" si="223"/>
        <v>307.52500000000003</v>
      </c>
      <c r="W382" s="1052">
        <f t="shared" si="223"/>
        <v>303.11875000000003</v>
      </c>
      <c r="X382" s="1052">
        <f t="shared" si="223"/>
        <v>302.71250000000003</v>
      </c>
      <c r="Y382" s="1052">
        <f t="shared" si="223"/>
        <v>302.30625000000003</v>
      </c>
      <c r="Z382" s="1052">
        <f t="shared" si="223"/>
        <v>301.90000000000003</v>
      </c>
      <c r="AA382" s="1052">
        <f t="shared" si="223"/>
        <v>301.49375000000003</v>
      </c>
      <c r="AB382" s="1052">
        <f t="shared" si="223"/>
        <v>301.13750000000005</v>
      </c>
      <c r="AC382" s="1052">
        <f t="shared" si="223"/>
        <v>300.73125000000005</v>
      </c>
      <c r="AD382" s="1052">
        <f t="shared" si="223"/>
        <v>300.32500000000005</v>
      </c>
      <c r="AE382" s="1052">
        <f t="shared" si="223"/>
        <v>299.91875000000005</v>
      </c>
      <c r="AF382" s="1052">
        <f t="shared" si="223"/>
        <v>299.51250000000005</v>
      </c>
      <c r="AG382" s="1052">
        <f t="shared" si="223"/>
        <v>299.10625000000005</v>
      </c>
      <c r="AH382" s="1052">
        <f t="shared" si="223"/>
        <v>298.70000000000005</v>
      </c>
      <c r="AI382" s="1052">
        <f t="shared" si="223"/>
        <v>298.29375000000005</v>
      </c>
      <c r="AJ382" s="1052">
        <f t="shared" si="223"/>
        <v>297.88750000000005</v>
      </c>
      <c r="AK382" s="1052">
        <f t="shared" si="223"/>
        <v>297.48125000000005</v>
      </c>
      <c r="AL382" s="1052">
        <f t="shared" si="223"/>
        <v>297.07500000000005</v>
      </c>
      <c r="AM382" s="1052">
        <f t="shared" si="223"/>
        <v>296.66875000000005</v>
      </c>
      <c r="AN382" s="1052">
        <f t="shared" si="223"/>
        <v>296.26250000000005</v>
      </c>
      <c r="AO382" s="1052">
        <f t="shared" si="223"/>
        <v>295.85625000000005</v>
      </c>
      <c r="AP382" s="1052">
        <f t="shared" si="223"/>
        <v>295.45000000000005</v>
      </c>
      <c r="AQ382" s="1052">
        <f t="shared" si="223"/>
        <v>295.04375000000005</v>
      </c>
      <c r="AR382" s="1052">
        <f t="shared" si="223"/>
        <v>294.63750000000005</v>
      </c>
      <c r="AS382" s="1052">
        <f t="shared" si="223"/>
        <v>294.23125000000005</v>
      </c>
      <c r="AT382" s="1052">
        <f t="shared" si="223"/>
        <v>293.82500000000005</v>
      </c>
      <c r="AU382" s="1052">
        <f t="shared" si="223"/>
        <v>293.41875000000005</v>
      </c>
      <c r="AV382" s="1052">
        <f t="shared" si="223"/>
        <v>293.01250000000005</v>
      </c>
      <c r="AW382" s="1052">
        <f t="shared" si="223"/>
        <v>292.60625000000005</v>
      </c>
      <c r="AX382" s="1052">
        <f t="shared" si="223"/>
        <v>292.20000000000005</v>
      </c>
      <c r="AY382" s="1052">
        <f t="shared" si="223"/>
        <v>291.79375000000005</v>
      </c>
      <c r="AZ382" s="1052">
        <f t="shared" si="223"/>
        <v>291.38750000000005</v>
      </c>
      <c r="BA382" s="1052">
        <f t="shared" si="223"/>
        <v>290.98125000000005</v>
      </c>
      <c r="BB382" s="1052">
        <f t="shared" si="223"/>
        <v>290.57500000000005</v>
      </c>
      <c r="BC382" s="1052">
        <f t="shared" si="223"/>
        <v>290.16875000000005</v>
      </c>
      <c r="BD382" s="1052">
        <f t="shared" si="223"/>
        <v>289.76250000000005</v>
      </c>
      <c r="BE382" s="1052">
        <f t="shared" si="223"/>
        <v>289.35625000000005</v>
      </c>
      <c r="BF382" s="1052">
        <f t="shared" si="223"/>
        <v>288.95000000000005</v>
      </c>
      <c r="BG382" s="1052">
        <f t="shared" si="223"/>
        <v>288.54375000000005</v>
      </c>
      <c r="BH382" s="1052">
        <f t="shared" si="223"/>
        <v>288.13750000000005</v>
      </c>
      <c r="BI382" s="1052">
        <f t="shared" si="223"/>
        <v>287.73125000000005</v>
      </c>
      <c r="BJ382" s="1052">
        <f t="shared" si="223"/>
        <v>287.32500000000005</v>
      </c>
      <c r="BK382" s="1052">
        <f t="shared" si="223"/>
        <v>286.91875000000005</v>
      </c>
      <c r="BL382" s="1052">
        <f t="shared" si="223"/>
        <v>286.51250000000005</v>
      </c>
      <c r="BM382" s="1052">
        <f t="shared" si="223"/>
        <v>286.10625000000005</v>
      </c>
      <c r="BN382" s="1052">
        <f t="shared" si="223"/>
        <v>285.70000000000005</v>
      </c>
      <c r="BO382" s="1052">
        <f t="shared" si="223"/>
        <v>285.29375000000005</v>
      </c>
      <c r="BP382" s="1052">
        <f t="shared" si="223"/>
        <v>0</v>
      </c>
      <c r="BQ382" s="1052">
        <f t="shared" si="223"/>
        <v>0</v>
      </c>
      <c r="BR382" s="1052">
        <f t="shared" si="223"/>
        <v>0</v>
      </c>
      <c r="BS382" s="1052">
        <f t="shared" ref="BS382:CI382" si="224">BS132</f>
        <v>0</v>
      </c>
      <c r="BT382" s="1052">
        <f t="shared" si="224"/>
        <v>0</v>
      </c>
      <c r="BU382" s="1052">
        <f t="shared" si="224"/>
        <v>0</v>
      </c>
      <c r="BV382" s="1052">
        <f t="shared" si="224"/>
        <v>0</v>
      </c>
      <c r="BW382" s="1052">
        <f t="shared" si="224"/>
        <v>0</v>
      </c>
      <c r="BX382" s="1052">
        <f t="shared" si="224"/>
        <v>0</v>
      </c>
      <c r="BY382" s="1052">
        <f t="shared" si="224"/>
        <v>0</v>
      </c>
      <c r="BZ382" s="1052">
        <f t="shared" si="224"/>
        <v>0</v>
      </c>
      <c r="CA382" s="1052">
        <f t="shared" si="224"/>
        <v>0</v>
      </c>
      <c r="CB382" s="1052">
        <f t="shared" si="224"/>
        <v>0</v>
      </c>
      <c r="CC382" s="1052">
        <f t="shared" si="224"/>
        <v>0</v>
      </c>
      <c r="CD382" s="1052">
        <f t="shared" si="224"/>
        <v>0</v>
      </c>
      <c r="CE382" s="1052">
        <f t="shared" si="224"/>
        <v>0</v>
      </c>
      <c r="CF382" s="1052">
        <f t="shared" si="224"/>
        <v>0</v>
      </c>
      <c r="CG382" s="1052">
        <f t="shared" si="224"/>
        <v>0</v>
      </c>
      <c r="CH382" s="1052">
        <f t="shared" si="224"/>
        <v>0</v>
      </c>
      <c r="CI382" s="1053">
        <f t="shared" si="224"/>
        <v>0</v>
      </c>
    </row>
    <row r="383" spans="2:87" x14ac:dyDescent="0.25">
      <c r="B383" s="1372"/>
      <c r="C383" s="1373" t="s">
        <v>702</v>
      </c>
      <c r="D383" s="1373"/>
      <c r="E383" s="1373" t="s">
        <v>146</v>
      </c>
      <c r="F383" s="1373">
        <v>2</v>
      </c>
      <c r="G383" s="1052">
        <f t="shared" ref="G383:AL383" si="225">SUM(G377:G381)+G178</f>
        <v>0</v>
      </c>
      <c r="H383" s="1052">
        <f t="shared" si="225"/>
        <v>0</v>
      </c>
      <c r="I383" s="1052">
        <f t="shared" si="225"/>
        <v>297.03769836589561</v>
      </c>
      <c r="J383" s="1052">
        <f t="shared" si="225"/>
        <v>292.62464374448263</v>
      </c>
      <c r="K383" s="1052">
        <f t="shared" si="225"/>
        <v>293.39656939065537</v>
      </c>
      <c r="L383" s="1052">
        <f t="shared" si="225"/>
        <v>292.97875636294009</v>
      </c>
      <c r="M383" s="1052">
        <f t="shared" si="225"/>
        <v>292.21011607386538</v>
      </c>
      <c r="N383" s="1052">
        <f t="shared" si="225"/>
        <v>289.73819859520535</v>
      </c>
      <c r="O383" s="1052">
        <f t="shared" si="225"/>
        <v>286.73701958587213</v>
      </c>
      <c r="P383" s="1052">
        <f t="shared" si="225"/>
        <v>283.87407058598967</v>
      </c>
      <c r="Q383" s="1052">
        <f t="shared" si="225"/>
        <v>278.33505605202879</v>
      </c>
      <c r="R383" s="1052">
        <f t="shared" si="225"/>
        <v>272.62970191205079</v>
      </c>
      <c r="S383" s="1052">
        <f t="shared" si="225"/>
        <v>266.59995909625843</v>
      </c>
      <c r="T383" s="1052">
        <f t="shared" si="225"/>
        <v>262.42529352194384</v>
      </c>
      <c r="U383" s="1052">
        <f t="shared" si="225"/>
        <v>258.55800308204687</v>
      </c>
      <c r="V383" s="1052">
        <f t="shared" si="225"/>
        <v>252.53063289238068</v>
      </c>
      <c r="W383" s="1052">
        <f t="shared" si="225"/>
        <v>249.99998192938847</v>
      </c>
      <c r="X383" s="1052">
        <f t="shared" si="225"/>
        <v>247.58211991585532</v>
      </c>
      <c r="Y383" s="1052">
        <f t="shared" si="225"/>
        <v>245.11886053934649</v>
      </c>
      <c r="Z383" s="1052">
        <f t="shared" si="225"/>
        <v>242.52893422655677</v>
      </c>
      <c r="AA383" s="1052">
        <f t="shared" si="225"/>
        <v>238.33720954481777</v>
      </c>
      <c r="AB383" s="1052">
        <f t="shared" si="225"/>
        <v>236.34042402999032</v>
      </c>
      <c r="AC383" s="1052">
        <f t="shared" si="225"/>
        <v>235.09439289369507</v>
      </c>
      <c r="AD383" s="1052">
        <f t="shared" si="225"/>
        <v>234.16253588583942</v>
      </c>
      <c r="AE383" s="1052">
        <f t="shared" si="225"/>
        <v>233.42782745552879</v>
      </c>
      <c r="AF383" s="1052">
        <f t="shared" si="225"/>
        <v>231.49577742463771</v>
      </c>
      <c r="AG383" s="1052">
        <f t="shared" si="225"/>
        <v>231.12690328778177</v>
      </c>
      <c r="AH383" s="1052">
        <f t="shared" si="225"/>
        <v>230.87744366721387</v>
      </c>
      <c r="AI383" s="1052">
        <f t="shared" si="225"/>
        <v>230.83226943492335</v>
      </c>
      <c r="AJ383" s="1052">
        <f t="shared" si="225"/>
        <v>230.72001803822945</v>
      </c>
      <c r="AK383" s="1052">
        <f t="shared" si="225"/>
        <v>229.64850739444074</v>
      </c>
      <c r="AL383" s="1052">
        <f t="shared" si="225"/>
        <v>230.51303725644516</v>
      </c>
      <c r="AM383" s="1052">
        <f t="shared" ref="AM383:BR383" si="226">SUM(AM377:AM381)+AM178</f>
        <v>231.71100005731023</v>
      </c>
      <c r="AN383" s="1052">
        <f t="shared" si="226"/>
        <v>232.91307096682334</v>
      </c>
      <c r="AO383" s="1052">
        <f t="shared" si="226"/>
        <v>234.53142675334234</v>
      </c>
      <c r="AP383" s="1052">
        <f t="shared" si="226"/>
        <v>236.48148674642889</v>
      </c>
      <c r="AQ383" s="1052">
        <f t="shared" si="226"/>
        <v>241.05297834912056</v>
      </c>
      <c r="AR383" s="1052">
        <f t="shared" si="226"/>
        <v>245.96946866520656</v>
      </c>
      <c r="AS383" s="1052">
        <f t="shared" si="226"/>
        <v>248.43214600426876</v>
      </c>
      <c r="AT383" s="1052">
        <f t="shared" si="226"/>
        <v>250.88027700894827</v>
      </c>
      <c r="AU383" s="1052">
        <f t="shared" si="226"/>
        <v>253.26823573798794</v>
      </c>
      <c r="AV383" s="1052">
        <f t="shared" si="226"/>
        <v>255.43904120884983</v>
      </c>
      <c r="AW383" s="1052">
        <f t="shared" si="226"/>
        <v>257.61746849696016</v>
      </c>
      <c r="AX383" s="1052">
        <f t="shared" si="226"/>
        <v>259.74000957375915</v>
      </c>
      <c r="AY383" s="1052">
        <f t="shared" si="226"/>
        <v>261.45353943058672</v>
      </c>
      <c r="AZ383" s="1052">
        <f t="shared" si="226"/>
        <v>263.3717539401398</v>
      </c>
      <c r="BA383" s="1052">
        <f t="shared" si="226"/>
        <v>264.97476847559352</v>
      </c>
      <c r="BB383" s="1052">
        <f t="shared" si="226"/>
        <v>266.63176214439773</v>
      </c>
      <c r="BC383" s="1052">
        <f t="shared" si="226"/>
        <v>268.18101803679514</v>
      </c>
      <c r="BD383" s="1052">
        <f t="shared" si="226"/>
        <v>269.3369554404552</v>
      </c>
      <c r="BE383" s="1052">
        <f t="shared" si="226"/>
        <v>270.76866648764531</v>
      </c>
      <c r="BF383" s="1052">
        <f t="shared" si="226"/>
        <v>271.99668850115125</v>
      </c>
      <c r="BG383" s="1052">
        <f t="shared" si="226"/>
        <v>272.98812127804149</v>
      </c>
      <c r="BH383" s="1052">
        <f t="shared" si="226"/>
        <v>274.40203243536871</v>
      </c>
      <c r="BI383" s="1052">
        <f t="shared" si="226"/>
        <v>275.63681053946812</v>
      </c>
      <c r="BJ383" s="1052">
        <f t="shared" si="226"/>
        <v>276.84319610259359</v>
      </c>
      <c r="BK383" s="1052">
        <f t="shared" si="226"/>
        <v>278.11724524978695</v>
      </c>
      <c r="BL383" s="1052">
        <f t="shared" si="226"/>
        <v>279.37920310533775</v>
      </c>
      <c r="BM383" s="1052">
        <f t="shared" si="226"/>
        <v>280.52086526717096</v>
      </c>
      <c r="BN383" s="1052">
        <f t="shared" si="226"/>
        <v>281.87072827486401</v>
      </c>
      <c r="BO383" s="1052">
        <f t="shared" si="226"/>
        <v>283.07839268652208</v>
      </c>
      <c r="BP383" s="1052">
        <f t="shared" si="226"/>
        <v>0</v>
      </c>
      <c r="BQ383" s="1052">
        <f t="shared" si="226"/>
        <v>0</v>
      </c>
      <c r="BR383" s="1052">
        <f t="shared" si="226"/>
        <v>0</v>
      </c>
      <c r="BS383" s="1052">
        <f t="shared" ref="BS383:CI383" si="227">SUM(BS377:BS381)+BS178</f>
        <v>0</v>
      </c>
      <c r="BT383" s="1052">
        <f t="shared" si="227"/>
        <v>0</v>
      </c>
      <c r="BU383" s="1052">
        <f t="shared" si="227"/>
        <v>0</v>
      </c>
      <c r="BV383" s="1052">
        <f t="shared" si="227"/>
        <v>0</v>
      </c>
      <c r="BW383" s="1052">
        <f t="shared" si="227"/>
        <v>0</v>
      </c>
      <c r="BX383" s="1052">
        <f t="shared" si="227"/>
        <v>0</v>
      </c>
      <c r="BY383" s="1052">
        <f t="shared" si="227"/>
        <v>0</v>
      </c>
      <c r="BZ383" s="1052">
        <f t="shared" si="227"/>
        <v>0</v>
      </c>
      <c r="CA383" s="1052">
        <f t="shared" si="227"/>
        <v>0</v>
      </c>
      <c r="CB383" s="1052">
        <f t="shared" si="227"/>
        <v>0</v>
      </c>
      <c r="CC383" s="1052">
        <f t="shared" si="227"/>
        <v>0</v>
      </c>
      <c r="CD383" s="1052">
        <f t="shared" si="227"/>
        <v>0</v>
      </c>
      <c r="CE383" s="1052">
        <f t="shared" si="227"/>
        <v>0</v>
      </c>
      <c r="CF383" s="1052">
        <f t="shared" si="227"/>
        <v>0</v>
      </c>
      <c r="CG383" s="1052">
        <f t="shared" si="227"/>
        <v>0</v>
      </c>
      <c r="CH383" s="1052">
        <f t="shared" si="227"/>
        <v>0</v>
      </c>
      <c r="CI383" s="1053">
        <f t="shared" si="227"/>
        <v>0</v>
      </c>
    </row>
    <row r="384" spans="2:87" x14ac:dyDescent="0.25">
      <c r="B384" s="1372"/>
      <c r="C384" s="1373"/>
      <c r="D384" s="1373"/>
      <c r="E384" s="1373"/>
      <c r="F384" s="1373"/>
      <c r="G384" s="1373"/>
      <c r="H384" s="1373"/>
      <c r="I384" s="1373"/>
      <c r="J384" s="1373"/>
      <c r="K384" s="1373"/>
      <c r="L384" s="1373"/>
      <c r="M384" s="1373"/>
      <c r="N384" s="1373"/>
      <c r="O384" s="1373"/>
      <c r="P384" s="1373"/>
      <c r="Q384" s="1373"/>
      <c r="R384" s="1373"/>
      <c r="S384" s="1373"/>
      <c r="T384" s="1373"/>
      <c r="U384" s="1373"/>
      <c r="V384" s="1373"/>
      <c r="W384" s="1373"/>
      <c r="X384" s="1373"/>
      <c r="Y384" s="1373"/>
      <c r="Z384" s="1373"/>
      <c r="AA384" s="1373"/>
      <c r="AB384" s="1373"/>
      <c r="AC384" s="1373"/>
      <c r="AD384" s="1373"/>
      <c r="AE384" s="1373"/>
      <c r="AF384" s="1373"/>
      <c r="AG384" s="1373"/>
      <c r="AH384" s="1373"/>
      <c r="AI384" s="1373"/>
      <c r="AJ384" s="1373"/>
      <c r="AK384" s="1373"/>
      <c r="AL384" s="1373"/>
      <c r="AM384" s="1373"/>
      <c r="AN384" s="1373"/>
      <c r="AO384" s="1373"/>
      <c r="AP384" s="1373"/>
      <c r="AQ384" s="1373"/>
      <c r="AR384" s="1373"/>
      <c r="AS384" s="1373"/>
      <c r="AT384" s="1373"/>
      <c r="AU384" s="1373"/>
      <c r="AV384" s="1373"/>
      <c r="AW384" s="1373"/>
      <c r="AX384" s="1373"/>
      <c r="AY384" s="1373"/>
      <c r="AZ384" s="1373"/>
      <c r="BA384" s="1373"/>
      <c r="BB384" s="1373"/>
      <c r="BC384" s="1373"/>
      <c r="BD384" s="1373"/>
      <c r="BE384" s="1373"/>
      <c r="BF384" s="1373"/>
      <c r="BG384" s="1373"/>
      <c r="BH384" s="1373"/>
      <c r="BI384" s="1373"/>
      <c r="BJ384" s="1373"/>
      <c r="BK384" s="1373"/>
      <c r="BL384" s="1373"/>
      <c r="BM384" s="1373"/>
      <c r="BN384" s="1373"/>
      <c r="BO384" s="1373"/>
      <c r="BP384" s="1373"/>
      <c r="BQ384" s="1373"/>
      <c r="BR384" s="1373"/>
      <c r="BS384" s="1373"/>
      <c r="BT384" s="1373"/>
      <c r="BU384" s="1373"/>
      <c r="BV384" s="1373"/>
      <c r="BW384" s="1373"/>
      <c r="BX384" s="1373"/>
      <c r="BY384" s="1373"/>
      <c r="BZ384" s="1373"/>
      <c r="CA384" s="1373"/>
      <c r="CB384" s="1373"/>
      <c r="CC384" s="1373"/>
      <c r="CD384" s="1373"/>
      <c r="CE384" s="1373"/>
      <c r="CF384" s="1373"/>
      <c r="CG384" s="1373"/>
      <c r="CH384" s="1373"/>
      <c r="CI384" s="1374"/>
    </row>
    <row r="385" spans="2:87" x14ac:dyDescent="0.25">
      <c r="B385" s="1372" t="s">
        <v>704</v>
      </c>
      <c r="C385" s="1373"/>
      <c r="D385" s="1373"/>
      <c r="E385" s="1373"/>
      <c r="F385" s="1373"/>
      <c r="G385" s="1050" t="s">
        <v>119</v>
      </c>
      <c r="H385" s="1050" t="s">
        <v>120</v>
      </c>
      <c r="I385" s="1050" t="s">
        <v>121</v>
      </c>
      <c r="J385" s="1050" t="s">
        <v>122</v>
      </c>
      <c r="K385" s="1050" t="s">
        <v>123</v>
      </c>
      <c r="L385" s="1050" t="s">
        <v>124</v>
      </c>
      <c r="M385" s="1050" t="s">
        <v>125</v>
      </c>
      <c r="N385" s="1050" t="s">
        <v>126</v>
      </c>
      <c r="O385" s="1050" t="s">
        <v>127</v>
      </c>
      <c r="P385" s="1050" t="s">
        <v>128</v>
      </c>
      <c r="Q385" s="1050" t="s">
        <v>129</v>
      </c>
      <c r="R385" s="1050" t="s">
        <v>130</v>
      </c>
      <c r="S385" s="1050" t="s">
        <v>157</v>
      </c>
      <c r="T385" s="1050" t="s">
        <v>158</v>
      </c>
      <c r="U385" s="1050" t="s">
        <v>159</v>
      </c>
      <c r="V385" s="1050" t="s">
        <v>160</v>
      </c>
      <c r="W385" s="1050" t="s">
        <v>131</v>
      </c>
      <c r="X385" s="1050" t="s">
        <v>161</v>
      </c>
      <c r="Y385" s="1050" t="s">
        <v>162</v>
      </c>
      <c r="Z385" s="1050" t="s">
        <v>163</v>
      </c>
      <c r="AA385" s="1050" t="s">
        <v>164</v>
      </c>
      <c r="AB385" s="1050" t="s">
        <v>132</v>
      </c>
      <c r="AC385" s="1050" t="s">
        <v>165</v>
      </c>
      <c r="AD385" s="1050" t="s">
        <v>166</v>
      </c>
      <c r="AE385" s="1050" t="s">
        <v>167</v>
      </c>
      <c r="AF385" s="1050" t="s">
        <v>168</v>
      </c>
      <c r="AG385" s="1050" t="s">
        <v>133</v>
      </c>
      <c r="AH385" s="1050" t="s">
        <v>169</v>
      </c>
      <c r="AI385" s="1050" t="s">
        <v>170</v>
      </c>
      <c r="AJ385" s="1050" t="s">
        <v>171</v>
      </c>
      <c r="AK385" s="1050" t="s">
        <v>172</v>
      </c>
      <c r="AL385" s="1050" t="s">
        <v>134</v>
      </c>
      <c r="AM385" s="1050" t="s">
        <v>173</v>
      </c>
      <c r="AN385" s="1050" t="s">
        <v>174</v>
      </c>
      <c r="AO385" s="1050" t="s">
        <v>175</v>
      </c>
      <c r="AP385" s="1050" t="s">
        <v>176</v>
      </c>
      <c r="AQ385" s="1050" t="s">
        <v>135</v>
      </c>
      <c r="AR385" s="1050" t="s">
        <v>177</v>
      </c>
      <c r="AS385" s="1050" t="s">
        <v>178</v>
      </c>
      <c r="AT385" s="1050" t="s">
        <v>179</v>
      </c>
      <c r="AU385" s="1050" t="s">
        <v>180</v>
      </c>
      <c r="AV385" s="1050" t="s">
        <v>136</v>
      </c>
      <c r="AW385" s="1050" t="s">
        <v>181</v>
      </c>
      <c r="AX385" s="1050" t="s">
        <v>182</v>
      </c>
      <c r="AY385" s="1050" t="s">
        <v>183</v>
      </c>
      <c r="AZ385" s="1050" t="s">
        <v>184</v>
      </c>
      <c r="BA385" s="1050" t="s">
        <v>137</v>
      </c>
      <c r="BB385" s="1050" t="s">
        <v>185</v>
      </c>
      <c r="BC385" s="1050" t="s">
        <v>186</v>
      </c>
      <c r="BD385" s="1050" t="s">
        <v>187</v>
      </c>
      <c r="BE385" s="1050" t="s">
        <v>188</v>
      </c>
      <c r="BF385" s="1050" t="s">
        <v>138</v>
      </c>
      <c r="BG385" s="1050" t="s">
        <v>189</v>
      </c>
      <c r="BH385" s="1050" t="s">
        <v>190</v>
      </c>
      <c r="BI385" s="1050" t="s">
        <v>191</v>
      </c>
      <c r="BJ385" s="1050" t="s">
        <v>192</v>
      </c>
      <c r="BK385" s="1050" t="s">
        <v>139</v>
      </c>
      <c r="BL385" s="1050" t="s">
        <v>193</v>
      </c>
      <c r="BM385" s="1050" t="s">
        <v>194</v>
      </c>
      <c r="BN385" s="1050" t="s">
        <v>195</v>
      </c>
      <c r="BO385" s="1050" t="s">
        <v>196</v>
      </c>
      <c r="BP385" s="1050" t="s">
        <v>140</v>
      </c>
      <c r="BQ385" s="1050" t="s">
        <v>197</v>
      </c>
      <c r="BR385" s="1050" t="s">
        <v>198</v>
      </c>
      <c r="BS385" s="1050" t="s">
        <v>199</v>
      </c>
      <c r="BT385" s="1050" t="s">
        <v>200</v>
      </c>
      <c r="BU385" s="1050" t="s">
        <v>141</v>
      </c>
      <c r="BV385" s="1050" t="s">
        <v>201</v>
      </c>
      <c r="BW385" s="1050" t="s">
        <v>202</v>
      </c>
      <c r="BX385" s="1050" t="s">
        <v>203</v>
      </c>
      <c r="BY385" s="1050" t="s">
        <v>204</v>
      </c>
      <c r="BZ385" s="1050" t="s">
        <v>142</v>
      </c>
      <c r="CA385" s="1050" t="s">
        <v>205</v>
      </c>
      <c r="CB385" s="1050" t="s">
        <v>206</v>
      </c>
      <c r="CC385" s="1050" t="s">
        <v>207</v>
      </c>
      <c r="CD385" s="1050" t="s">
        <v>208</v>
      </c>
      <c r="CE385" s="1050" t="s">
        <v>143</v>
      </c>
      <c r="CF385" s="1050" t="s">
        <v>209</v>
      </c>
      <c r="CG385" s="1050" t="s">
        <v>210</v>
      </c>
      <c r="CH385" s="1050" t="s">
        <v>211</v>
      </c>
      <c r="CI385" s="1051" t="s">
        <v>212</v>
      </c>
    </row>
    <row r="386" spans="2:87" x14ac:dyDescent="0.25">
      <c r="B386" s="1372"/>
      <c r="C386" s="1373" t="s">
        <v>697</v>
      </c>
      <c r="D386" s="1373"/>
      <c r="E386" s="1373" t="s">
        <v>146</v>
      </c>
      <c r="F386" s="1373">
        <v>2</v>
      </c>
      <c r="G386" s="1052">
        <f t="shared" ref="G386:BR387" si="228">G227-G238</f>
        <v>0</v>
      </c>
      <c r="H386" s="1052">
        <f t="shared" si="228"/>
        <v>0</v>
      </c>
      <c r="I386" s="1052">
        <f t="shared" si="228"/>
        <v>0</v>
      </c>
      <c r="J386" s="1052">
        <f t="shared" si="228"/>
        <v>0</v>
      </c>
      <c r="K386" s="1052">
        <f t="shared" si="228"/>
        <v>0</v>
      </c>
      <c r="L386" s="1052">
        <f t="shared" si="228"/>
        <v>0</v>
      </c>
      <c r="M386" s="1052">
        <f t="shared" si="228"/>
        <v>0</v>
      </c>
      <c r="N386" s="1052">
        <f t="shared" si="228"/>
        <v>0</v>
      </c>
      <c r="O386" s="1052">
        <f t="shared" si="228"/>
        <v>0</v>
      </c>
      <c r="P386" s="1052">
        <f t="shared" si="228"/>
        <v>0</v>
      </c>
      <c r="Q386" s="1052">
        <f t="shared" si="228"/>
        <v>0</v>
      </c>
      <c r="R386" s="1052">
        <f t="shared" si="228"/>
        <v>0</v>
      </c>
      <c r="S386" s="1052">
        <f t="shared" si="228"/>
        <v>0</v>
      </c>
      <c r="T386" s="1052">
        <f t="shared" si="228"/>
        <v>0</v>
      </c>
      <c r="U386" s="1052">
        <f t="shared" si="228"/>
        <v>0</v>
      </c>
      <c r="V386" s="1052">
        <f t="shared" si="228"/>
        <v>0</v>
      </c>
      <c r="W386" s="1052">
        <f t="shared" si="228"/>
        <v>0</v>
      </c>
      <c r="X386" s="1052">
        <f t="shared" si="228"/>
        <v>0</v>
      </c>
      <c r="Y386" s="1052">
        <f t="shared" si="228"/>
        <v>0</v>
      </c>
      <c r="Z386" s="1052">
        <f t="shared" si="228"/>
        <v>0</v>
      </c>
      <c r="AA386" s="1052">
        <f t="shared" si="228"/>
        <v>0</v>
      </c>
      <c r="AB386" s="1052">
        <f t="shared" si="228"/>
        <v>0</v>
      </c>
      <c r="AC386" s="1052">
        <f t="shared" si="228"/>
        <v>0</v>
      </c>
      <c r="AD386" s="1052">
        <f t="shared" si="228"/>
        <v>0</v>
      </c>
      <c r="AE386" s="1052">
        <f t="shared" si="228"/>
        <v>0</v>
      </c>
      <c r="AF386" s="1052">
        <f t="shared" si="228"/>
        <v>0</v>
      </c>
      <c r="AG386" s="1052">
        <f t="shared" si="228"/>
        <v>0</v>
      </c>
      <c r="AH386" s="1052">
        <f t="shared" si="228"/>
        <v>0</v>
      </c>
      <c r="AI386" s="1052">
        <f t="shared" si="228"/>
        <v>0</v>
      </c>
      <c r="AJ386" s="1052">
        <f t="shared" si="228"/>
        <v>0</v>
      </c>
      <c r="AK386" s="1052">
        <f t="shared" si="228"/>
        <v>0</v>
      </c>
      <c r="AL386" s="1052">
        <f t="shared" si="228"/>
        <v>0</v>
      </c>
      <c r="AM386" s="1052">
        <f t="shared" si="228"/>
        <v>0</v>
      </c>
      <c r="AN386" s="1052">
        <f t="shared" si="228"/>
        <v>0</v>
      </c>
      <c r="AO386" s="1052">
        <f t="shared" si="228"/>
        <v>0</v>
      </c>
      <c r="AP386" s="1052">
        <f t="shared" si="228"/>
        <v>0</v>
      </c>
      <c r="AQ386" s="1052">
        <f t="shared" si="228"/>
        <v>0</v>
      </c>
      <c r="AR386" s="1052">
        <f t="shared" si="228"/>
        <v>0</v>
      </c>
      <c r="AS386" s="1052">
        <f t="shared" si="228"/>
        <v>0</v>
      </c>
      <c r="AT386" s="1052">
        <f t="shared" si="228"/>
        <v>0</v>
      </c>
      <c r="AU386" s="1052">
        <f t="shared" si="228"/>
        <v>0</v>
      </c>
      <c r="AV386" s="1052">
        <f t="shared" si="228"/>
        <v>0</v>
      </c>
      <c r="AW386" s="1052">
        <f t="shared" si="228"/>
        <v>0</v>
      </c>
      <c r="AX386" s="1052">
        <f t="shared" si="228"/>
        <v>0</v>
      </c>
      <c r="AY386" s="1052">
        <f t="shared" si="228"/>
        <v>0</v>
      </c>
      <c r="AZ386" s="1052">
        <f t="shared" si="228"/>
        <v>0</v>
      </c>
      <c r="BA386" s="1052">
        <f t="shared" si="228"/>
        <v>0</v>
      </c>
      <c r="BB386" s="1052">
        <f t="shared" si="228"/>
        <v>0</v>
      </c>
      <c r="BC386" s="1052">
        <f t="shared" si="228"/>
        <v>0</v>
      </c>
      <c r="BD386" s="1052">
        <f t="shared" si="228"/>
        <v>0</v>
      </c>
      <c r="BE386" s="1052">
        <f t="shared" si="228"/>
        <v>0</v>
      </c>
      <c r="BF386" s="1052">
        <f t="shared" si="228"/>
        <v>0</v>
      </c>
      <c r="BG386" s="1052">
        <f t="shared" si="228"/>
        <v>0</v>
      </c>
      <c r="BH386" s="1052">
        <f t="shared" si="228"/>
        <v>0</v>
      </c>
      <c r="BI386" s="1052">
        <f t="shared" si="228"/>
        <v>0</v>
      </c>
      <c r="BJ386" s="1052">
        <f t="shared" si="228"/>
        <v>0</v>
      </c>
      <c r="BK386" s="1052">
        <f t="shared" si="228"/>
        <v>0</v>
      </c>
      <c r="BL386" s="1052">
        <f t="shared" si="228"/>
        <v>0</v>
      </c>
      <c r="BM386" s="1052">
        <f t="shared" si="228"/>
        <v>0</v>
      </c>
      <c r="BN386" s="1052">
        <f t="shared" si="228"/>
        <v>0</v>
      </c>
      <c r="BO386" s="1052">
        <f t="shared" si="228"/>
        <v>0</v>
      </c>
      <c r="BP386" s="1052">
        <f t="shared" si="228"/>
        <v>0</v>
      </c>
      <c r="BQ386" s="1052">
        <f t="shared" si="228"/>
        <v>0</v>
      </c>
      <c r="BR386" s="1052">
        <f t="shared" si="228"/>
        <v>0</v>
      </c>
      <c r="BS386" s="1052">
        <f t="shared" ref="BS386:CI387" si="229">BS227-BS238</f>
        <v>0</v>
      </c>
      <c r="BT386" s="1052">
        <f t="shared" si="229"/>
        <v>0</v>
      </c>
      <c r="BU386" s="1052">
        <f t="shared" si="229"/>
        <v>0</v>
      </c>
      <c r="BV386" s="1052">
        <f t="shared" si="229"/>
        <v>0</v>
      </c>
      <c r="BW386" s="1052">
        <f t="shared" si="229"/>
        <v>0</v>
      </c>
      <c r="BX386" s="1052">
        <f t="shared" si="229"/>
        <v>0</v>
      </c>
      <c r="BY386" s="1052">
        <f t="shared" si="229"/>
        <v>0</v>
      </c>
      <c r="BZ386" s="1052">
        <f t="shared" si="229"/>
        <v>0</v>
      </c>
      <c r="CA386" s="1052">
        <f t="shared" si="229"/>
        <v>0</v>
      </c>
      <c r="CB386" s="1052">
        <f t="shared" si="229"/>
        <v>0</v>
      </c>
      <c r="CC386" s="1052">
        <f t="shared" si="229"/>
        <v>0</v>
      </c>
      <c r="CD386" s="1052">
        <f t="shared" si="229"/>
        <v>0</v>
      </c>
      <c r="CE386" s="1052">
        <f t="shared" si="229"/>
        <v>0</v>
      </c>
      <c r="CF386" s="1052">
        <f t="shared" si="229"/>
        <v>0</v>
      </c>
      <c r="CG386" s="1052">
        <f t="shared" si="229"/>
        <v>0</v>
      </c>
      <c r="CH386" s="1052">
        <f t="shared" si="229"/>
        <v>0</v>
      </c>
      <c r="CI386" s="1053">
        <f t="shared" si="229"/>
        <v>0</v>
      </c>
    </row>
    <row r="387" spans="2:87" x14ac:dyDescent="0.25">
      <c r="B387" s="1372"/>
      <c r="C387" s="1373" t="s">
        <v>698</v>
      </c>
      <c r="D387" s="1373"/>
      <c r="E387" s="1373" t="s">
        <v>146</v>
      </c>
      <c r="F387" s="1373">
        <v>2</v>
      </c>
      <c r="G387" s="1052">
        <f t="shared" si="228"/>
        <v>0</v>
      </c>
      <c r="H387" s="1052">
        <f t="shared" si="228"/>
        <v>0</v>
      </c>
      <c r="I387" s="1052">
        <f t="shared" si="228"/>
        <v>0</v>
      </c>
      <c r="J387" s="1052">
        <f t="shared" si="228"/>
        <v>0</v>
      </c>
      <c r="K387" s="1052">
        <f t="shared" si="228"/>
        <v>0</v>
      </c>
      <c r="L387" s="1052">
        <f t="shared" si="228"/>
        <v>0</v>
      </c>
      <c r="M387" s="1052">
        <f t="shared" si="228"/>
        <v>0</v>
      </c>
      <c r="N387" s="1052">
        <f t="shared" si="228"/>
        <v>0</v>
      </c>
      <c r="O387" s="1052">
        <f t="shared" si="228"/>
        <v>0</v>
      </c>
      <c r="P387" s="1052">
        <f t="shared" si="228"/>
        <v>0</v>
      </c>
      <c r="Q387" s="1052">
        <f t="shared" si="228"/>
        <v>0</v>
      </c>
      <c r="R387" s="1052">
        <f t="shared" si="228"/>
        <v>0</v>
      </c>
      <c r="S387" s="1052">
        <f t="shared" si="228"/>
        <v>0</v>
      </c>
      <c r="T387" s="1052">
        <f t="shared" si="228"/>
        <v>0</v>
      </c>
      <c r="U387" s="1052">
        <f t="shared" si="228"/>
        <v>0</v>
      </c>
      <c r="V387" s="1052">
        <f t="shared" si="228"/>
        <v>0</v>
      </c>
      <c r="W387" s="1052">
        <f t="shared" si="228"/>
        <v>0</v>
      </c>
      <c r="X387" s="1052">
        <f t="shared" si="228"/>
        <v>0</v>
      </c>
      <c r="Y387" s="1052">
        <f t="shared" si="228"/>
        <v>0</v>
      </c>
      <c r="Z387" s="1052">
        <f t="shared" si="228"/>
        <v>0</v>
      </c>
      <c r="AA387" s="1052">
        <f t="shared" si="228"/>
        <v>0</v>
      </c>
      <c r="AB387" s="1052">
        <f t="shared" si="228"/>
        <v>0</v>
      </c>
      <c r="AC387" s="1052">
        <f t="shared" si="228"/>
        <v>0</v>
      </c>
      <c r="AD387" s="1052">
        <f t="shared" si="228"/>
        <v>0</v>
      </c>
      <c r="AE387" s="1052">
        <f t="shared" si="228"/>
        <v>0</v>
      </c>
      <c r="AF387" s="1052">
        <f t="shared" si="228"/>
        <v>0</v>
      </c>
      <c r="AG387" s="1052">
        <f t="shared" si="228"/>
        <v>0</v>
      </c>
      <c r="AH387" s="1052">
        <f t="shared" si="228"/>
        <v>0</v>
      </c>
      <c r="AI387" s="1052">
        <f t="shared" si="228"/>
        <v>0</v>
      </c>
      <c r="AJ387" s="1052">
        <f t="shared" si="228"/>
        <v>0</v>
      </c>
      <c r="AK387" s="1052">
        <f t="shared" si="228"/>
        <v>0</v>
      </c>
      <c r="AL387" s="1052">
        <f t="shared" si="228"/>
        <v>0</v>
      </c>
      <c r="AM387" s="1052">
        <f t="shared" si="228"/>
        <v>0</v>
      </c>
      <c r="AN387" s="1052">
        <f t="shared" si="228"/>
        <v>0</v>
      </c>
      <c r="AO387" s="1052">
        <f t="shared" si="228"/>
        <v>0</v>
      </c>
      <c r="AP387" s="1052">
        <f t="shared" si="228"/>
        <v>0</v>
      </c>
      <c r="AQ387" s="1052">
        <f t="shared" si="228"/>
        <v>0</v>
      </c>
      <c r="AR387" s="1052">
        <f t="shared" si="228"/>
        <v>0</v>
      </c>
      <c r="AS387" s="1052">
        <f t="shared" si="228"/>
        <v>0</v>
      </c>
      <c r="AT387" s="1052">
        <f t="shared" si="228"/>
        <v>0</v>
      </c>
      <c r="AU387" s="1052">
        <f t="shared" si="228"/>
        <v>0</v>
      </c>
      <c r="AV387" s="1052">
        <f t="shared" si="228"/>
        <v>0</v>
      </c>
      <c r="AW387" s="1052">
        <f t="shared" si="228"/>
        <v>0</v>
      </c>
      <c r="AX387" s="1052">
        <f t="shared" si="228"/>
        <v>0</v>
      </c>
      <c r="AY387" s="1052">
        <f t="shared" si="228"/>
        <v>0</v>
      </c>
      <c r="AZ387" s="1052">
        <f t="shared" si="228"/>
        <v>0</v>
      </c>
      <c r="BA387" s="1052">
        <f t="shared" si="228"/>
        <v>0</v>
      </c>
      <c r="BB387" s="1052">
        <f t="shared" si="228"/>
        <v>0</v>
      </c>
      <c r="BC387" s="1052">
        <f t="shared" si="228"/>
        <v>0</v>
      </c>
      <c r="BD387" s="1052">
        <f t="shared" si="228"/>
        <v>0</v>
      </c>
      <c r="BE387" s="1052">
        <f t="shared" si="228"/>
        <v>0</v>
      </c>
      <c r="BF387" s="1052">
        <f t="shared" si="228"/>
        <v>0</v>
      </c>
      <c r="BG387" s="1052">
        <f t="shared" si="228"/>
        <v>0</v>
      </c>
      <c r="BH387" s="1052">
        <f t="shared" si="228"/>
        <v>0</v>
      </c>
      <c r="BI387" s="1052">
        <f t="shared" si="228"/>
        <v>0</v>
      </c>
      <c r="BJ387" s="1052">
        <f t="shared" si="228"/>
        <v>0</v>
      </c>
      <c r="BK387" s="1052">
        <f t="shared" si="228"/>
        <v>0</v>
      </c>
      <c r="BL387" s="1052">
        <f t="shared" si="228"/>
        <v>0</v>
      </c>
      <c r="BM387" s="1052">
        <f t="shared" si="228"/>
        <v>0</v>
      </c>
      <c r="BN387" s="1052">
        <f t="shared" si="228"/>
        <v>0</v>
      </c>
      <c r="BO387" s="1052">
        <f t="shared" si="228"/>
        <v>0</v>
      </c>
      <c r="BP387" s="1052">
        <f t="shared" si="228"/>
        <v>0</v>
      </c>
      <c r="BQ387" s="1052">
        <f t="shared" si="228"/>
        <v>0</v>
      </c>
      <c r="BR387" s="1052">
        <f t="shared" si="228"/>
        <v>0</v>
      </c>
      <c r="BS387" s="1052">
        <f t="shared" si="229"/>
        <v>0</v>
      </c>
      <c r="BT387" s="1052">
        <f t="shared" si="229"/>
        <v>0</v>
      </c>
      <c r="BU387" s="1052">
        <f t="shared" si="229"/>
        <v>0</v>
      </c>
      <c r="BV387" s="1052">
        <f t="shared" si="229"/>
        <v>0</v>
      </c>
      <c r="BW387" s="1052">
        <f t="shared" si="229"/>
        <v>0</v>
      </c>
      <c r="BX387" s="1052">
        <f t="shared" si="229"/>
        <v>0</v>
      </c>
      <c r="BY387" s="1052">
        <f t="shared" si="229"/>
        <v>0</v>
      </c>
      <c r="BZ387" s="1052">
        <f t="shared" si="229"/>
        <v>0</v>
      </c>
      <c r="CA387" s="1052">
        <f t="shared" si="229"/>
        <v>0</v>
      </c>
      <c r="CB387" s="1052">
        <f t="shared" si="229"/>
        <v>0</v>
      </c>
      <c r="CC387" s="1052">
        <f t="shared" si="229"/>
        <v>0</v>
      </c>
      <c r="CD387" s="1052">
        <f t="shared" si="229"/>
        <v>0</v>
      </c>
      <c r="CE387" s="1052">
        <f t="shared" si="229"/>
        <v>0</v>
      </c>
      <c r="CF387" s="1052">
        <f t="shared" si="229"/>
        <v>0</v>
      </c>
      <c r="CG387" s="1052">
        <f t="shared" si="229"/>
        <v>0</v>
      </c>
      <c r="CH387" s="1052">
        <f t="shared" si="229"/>
        <v>0</v>
      </c>
      <c r="CI387" s="1053">
        <f t="shared" si="229"/>
        <v>0</v>
      </c>
    </row>
    <row r="388" spans="2:87" x14ac:dyDescent="0.25">
      <c r="B388" s="1372"/>
      <c r="C388" s="1373" t="s">
        <v>699</v>
      </c>
      <c r="D388" s="1373"/>
      <c r="E388" s="1373" t="s">
        <v>146</v>
      </c>
      <c r="F388" s="1373">
        <v>2</v>
      </c>
      <c r="G388" s="1052">
        <f t="shared" ref="G388:BR388" si="230">G224+G226-G236-G237</f>
        <v>0</v>
      </c>
      <c r="H388" s="1052">
        <f t="shared" si="230"/>
        <v>0</v>
      </c>
      <c r="I388" s="1052">
        <f t="shared" si="230"/>
        <v>0</v>
      </c>
      <c r="J388" s="1052">
        <f t="shared" si="230"/>
        <v>0</v>
      </c>
      <c r="K388" s="1052">
        <f t="shared" si="230"/>
        <v>0</v>
      </c>
      <c r="L388" s="1052">
        <f t="shared" si="230"/>
        <v>0</v>
      </c>
      <c r="M388" s="1052">
        <f t="shared" si="230"/>
        <v>0</v>
      </c>
      <c r="N388" s="1052">
        <f t="shared" si="230"/>
        <v>0</v>
      </c>
      <c r="O388" s="1052">
        <f t="shared" si="230"/>
        <v>0</v>
      </c>
      <c r="P388" s="1052">
        <f t="shared" si="230"/>
        <v>0</v>
      </c>
      <c r="Q388" s="1052">
        <f t="shared" si="230"/>
        <v>0</v>
      </c>
      <c r="R388" s="1052">
        <f t="shared" si="230"/>
        <v>0</v>
      </c>
      <c r="S388" s="1052">
        <f t="shared" si="230"/>
        <v>0</v>
      </c>
      <c r="T388" s="1052">
        <f t="shared" si="230"/>
        <v>0</v>
      </c>
      <c r="U388" s="1052">
        <f t="shared" si="230"/>
        <v>0</v>
      </c>
      <c r="V388" s="1052">
        <f t="shared" si="230"/>
        <v>0</v>
      </c>
      <c r="W388" s="1052">
        <f t="shared" si="230"/>
        <v>0</v>
      </c>
      <c r="X388" s="1052">
        <f t="shared" si="230"/>
        <v>0</v>
      </c>
      <c r="Y388" s="1052">
        <f t="shared" si="230"/>
        <v>0</v>
      </c>
      <c r="Z388" s="1052">
        <f t="shared" si="230"/>
        <v>0</v>
      </c>
      <c r="AA388" s="1052">
        <f t="shared" si="230"/>
        <v>0</v>
      </c>
      <c r="AB388" s="1052">
        <f t="shared" si="230"/>
        <v>0</v>
      </c>
      <c r="AC388" s="1052">
        <f t="shared" si="230"/>
        <v>0</v>
      </c>
      <c r="AD388" s="1052">
        <f t="shared" si="230"/>
        <v>0</v>
      </c>
      <c r="AE388" s="1052">
        <f t="shared" si="230"/>
        <v>0</v>
      </c>
      <c r="AF388" s="1052">
        <f t="shared" si="230"/>
        <v>0</v>
      </c>
      <c r="AG388" s="1052">
        <f t="shared" si="230"/>
        <v>0</v>
      </c>
      <c r="AH388" s="1052">
        <f t="shared" si="230"/>
        <v>0</v>
      </c>
      <c r="AI388" s="1052">
        <f t="shared" si="230"/>
        <v>0</v>
      </c>
      <c r="AJ388" s="1052">
        <f t="shared" si="230"/>
        <v>0</v>
      </c>
      <c r="AK388" s="1052">
        <f t="shared" si="230"/>
        <v>0</v>
      </c>
      <c r="AL388" s="1052">
        <f t="shared" si="230"/>
        <v>0</v>
      </c>
      <c r="AM388" s="1052">
        <f t="shared" si="230"/>
        <v>0</v>
      </c>
      <c r="AN388" s="1052">
        <f t="shared" si="230"/>
        <v>0</v>
      </c>
      <c r="AO388" s="1052">
        <f t="shared" si="230"/>
        <v>0</v>
      </c>
      <c r="AP388" s="1052">
        <f t="shared" si="230"/>
        <v>0</v>
      </c>
      <c r="AQ388" s="1052">
        <f t="shared" si="230"/>
        <v>0</v>
      </c>
      <c r="AR388" s="1052">
        <f t="shared" si="230"/>
        <v>0</v>
      </c>
      <c r="AS388" s="1052">
        <f t="shared" si="230"/>
        <v>0</v>
      </c>
      <c r="AT388" s="1052">
        <f t="shared" si="230"/>
        <v>0</v>
      </c>
      <c r="AU388" s="1052">
        <f t="shared" si="230"/>
        <v>0</v>
      </c>
      <c r="AV388" s="1052">
        <f t="shared" si="230"/>
        <v>0</v>
      </c>
      <c r="AW388" s="1052">
        <f t="shared" si="230"/>
        <v>0</v>
      </c>
      <c r="AX388" s="1052">
        <f t="shared" si="230"/>
        <v>0</v>
      </c>
      <c r="AY388" s="1052">
        <f t="shared" si="230"/>
        <v>0</v>
      </c>
      <c r="AZ388" s="1052">
        <f t="shared" si="230"/>
        <v>0</v>
      </c>
      <c r="BA388" s="1052">
        <f t="shared" si="230"/>
        <v>0</v>
      </c>
      <c r="BB388" s="1052">
        <f t="shared" si="230"/>
        <v>0</v>
      </c>
      <c r="BC388" s="1052">
        <f t="shared" si="230"/>
        <v>0</v>
      </c>
      <c r="BD388" s="1052">
        <f t="shared" si="230"/>
        <v>0</v>
      </c>
      <c r="BE388" s="1052">
        <f t="shared" si="230"/>
        <v>0</v>
      </c>
      <c r="BF388" s="1052">
        <f t="shared" si="230"/>
        <v>0</v>
      </c>
      <c r="BG388" s="1052">
        <f t="shared" si="230"/>
        <v>0</v>
      </c>
      <c r="BH388" s="1052">
        <f t="shared" si="230"/>
        <v>0</v>
      </c>
      <c r="BI388" s="1052">
        <f t="shared" si="230"/>
        <v>0</v>
      </c>
      <c r="BJ388" s="1052">
        <f t="shared" si="230"/>
        <v>0</v>
      </c>
      <c r="BK388" s="1052">
        <f t="shared" si="230"/>
        <v>0</v>
      </c>
      <c r="BL388" s="1052">
        <f t="shared" si="230"/>
        <v>0</v>
      </c>
      <c r="BM388" s="1052">
        <f t="shared" si="230"/>
        <v>0</v>
      </c>
      <c r="BN388" s="1052">
        <f t="shared" si="230"/>
        <v>0</v>
      </c>
      <c r="BO388" s="1052">
        <f t="shared" si="230"/>
        <v>0</v>
      </c>
      <c r="BP388" s="1052">
        <f t="shared" si="230"/>
        <v>0</v>
      </c>
      <c r="BQ388" s="1052">
        <f t="shared" si="230"/>
        <v>0</v>
      </c>
      <c r="BR388" s="1052">
        <f t="shared" si="230"/>
        <v>0</v>
      </c>
      <c r="BS388" s="1052">
        <f t="shared" ref="BS388:CI388" si="231">BS224+BS226-BS236-BS237</f>
        <v>0</v>
      </c>
      <c r="BT388" s="1052">
        <f t="shared" si="231"/>
        <v>0</v>
      </c>
      <c r="BU388" s="1052">
        <f t="shared" si="231"/>
        <v>0</v>
      </c>
      <c r="BV388" s="1052">
        <f t="shared" si="231"/>
        <v>0</v>
      </c>
      <c r="BW388" s="1052">
        <f t="shared" si="231"/>
        <v>0</v>
      </c>
      <c r="BX388" s="1052">
        <f t="shared" si="231"/>
        <v>0</v>
      </c>
      <c r="BY388" s="1052">
        <f t="shared" si="231"/>
        <v>0</v>
      </c>
      <c r="BZ388" s="1052">
        <f t="shared" si="231"/>
        <v>0</v>
      </c>
      <c r="CA388" s="1052">
        <f t="shared" si="231"/>
        <v>0</v>
      </c>
      <c r="CB388" s="1052">
        <f t="shared" si="231"/>
        <v>0</v>
      </c>
      <c r="CC388" s="1052">
        <f t="shared" si="231"/>
        <v>0</v>
      </c>
      <c r="CD388" s="1052">
        <f t="shared" si="231"/>
        <v>0</v>
      </c>
      <c r="CE388" s="1052">
        <f t="shared" si="231"/>
        <v>0</v>
      </c>
      <c r="CF388" s="1052">
        <f t="shared" si="231"/>
        <v>0</v>
      </c>
      <c r="CG388" s="1052">
        <f t="shared" si="231"/>
        <v>0</v>
      </c>
      <c r="CH388" s="1052">
        <f t="shared" si="231"/>
        <v>0</v>
      </c>
      <c r="CI388" s="1053">
        <f t="shared" si="231"/>
        <v>0</v>
      </c>
    </row>
    <row r="389" spans="2:87" x14ac:dyDescent="0.25">
      <c r="B389" s="1372"/>
      <c r="C389" s="1373" t="s">
        <v>153</v>
      </c>
      <c r="D389" s="1373"/>
      <c r="E389" s="1373" t="s">
        <v>146</v>
      </c>
      <c r="F389" s="1373">
        <v>2</v>
      </c>
      <c r="G389" s="1052">
        <f t="shared" ref="G389:BR389" si="232">G242</f>
        <v>0</v>
      </c>
      <c r="H389" s="1052">
        <f t="shared" si="232"/>
        <v>0</v>
      </c>
      <c r="I389" s="1052">
        <f t="shared" si="232"/>
        <v>0</v>
      </c>
      <c r="J389" s="1052">
        <f t="shared" si="232"/>
        <v>0</v>
      </c>
      <c r="K389" s="1052">
        <f t="shared" si="232"/>
        <v>0</v>
      </c>
      <c r="L389" s="1052">
        <f t="shared" si="232"/>
        <v>0</v>
      </c>
      <c r="M389" s="1052">
        <f t="shared" si="232"/>
        <v>0</v>
      </c>
      <c r="N389" s="1052">
        <f t="shared" si="232"/>
        <v>0</v>
      </c>
      <c r="O389" s="1052">
        <f t="shared" si="232"/>
        <v>0</v>
      </c>
      <c r="P389" s="1052">
        <f t="shared" si="232"/>
        <v>0</v>
      </c>
      <c r="Q389" s="1052">
        <f t="shared" si="232"/>
        <v>0</v>
      </c>
      <c r="R389" s="1052">
        <f t="shared" si="232"/>
        <v>0</v>
      </c>
      <c r="S389" s="1052">
        <f t="shared" si="232"/>
        <v>0</v>
      </c>
      <c r="T389" s="1052">
        <f t="shared" si="232"/>
        <v>0</v>
      </c>
      <c r="U389" s="1052">
        <f t="shared" si="232"/>
        <v>0</v>
      </c>
      <c r="V389" s="1052">
        <f t="shared" si="232"/>
        <v>0</v>
      </c>
      <c r="W389" s="1052">
        <f t="shared" si="232"/>
        <v>0</v>
      </c>
      <c r="X389" s="1052">
        <f t="shared" si="232"/>
        <v>0</v>
      </c>
      <c r="Y389" s="1052">
        <f t="shared" si="232"/>
        <v>0</v>
      </c>
      <c r="Z389" s="1052">
        <f t="shared" si="232"/>
        <v>0</v>
      </c>
      <c r="AA389" s="1052">
        <f t="shared" si="232"/>
        <v>0</v>
      </c>
      <c r="AB389" s="1052">
        <f t="shared" si="232"/>
        <v>0</v>
      </c>
      <c r="AC389" s="1052">
        <f t="shared" si="232"/>
        <v>0</v>
      </c>
      <c r="AD389" s="1052">
        <f t="shared" si="232"/>
        <v>0</v>
      </c>
      <c r="AE389" s="1052">
        <f t="shared" si="232"/>
        <v>0</v>
      </c>
      <c r="AF389" s="1052">
        <f t="shared" si="232"/>
        <v>0</v>
      </c>
      <c r="AG389" s="1052">
        <f t="shared" si="232"/>
        <v>0</v>
      </c>
      <c r="AH389" s="1052">
        <f t="shared" si="232"/>
        <v>0</v>
      </c>
      <c r="AI389" s="1052">
        <f t="shared" si="232"/>
        <v>0</v>
      </c>
      <c r="AJ389" s="1052">
        <f t="shared" si="232"/>
        <v>0</v>
      </c>
      <c r="AK389" s="1052">
        <f t="shared" si="232"/>
        <v>0</v>
      </c>
      <c r="AL389" s="1052">
        <f t="shared" si="232"/>
        <v>0</v>
      </c>
      <c r="AM389" s="1052">
        <f t="shared" si="232"/>
        <v>0</v>
      </c>
      <c r="AN389" s="1052">
        <f t="shared" si="232"/>
        <v>0</v>
      </c>
      <c r="AO389" s="1052">
        <f t="shared" si="232"/>
        <v>0</v>
      </c>
      <c r="AP389" s="1052">
        <f t="shared" si="232"/>
        <v>0</v>
      </c>
      <c r="AQ389" s="1052">
        <f t="shared" si="232"/>
        <v>0</v>
      </c>
      <c r="AR389" s="1052">
        <f t="shared" si="232"/>
        <v>0</v>
      </c>
      <c r="AS389" s="1052">
        <f t="shared" si="232"/>
        <v>0</v>
      </c>
      <c r="AT389" s="1052">
        <f t="shared" si="232"/>
        <v>0</v>
      </c>
      <c r="AU389" s="1052">
        <f t="shared" si="232"/>
        <v>0</v>
      </c>
      <c r="AV389" s="1052">
        <f t="shared" si="232"/>
        <v>0</v>
      </c>
      <c r="AW389" s="1052">
        <f t="shared" si="232"/>
        <v>0</v>
      </c>
      <c r="AX389" s="1052">
        <f t="shared" si="232"/>
        <v>0</v>
      </c>
      <c r="AY389" s="1052">
        <f t="shared" si="232"/>
        <v>0</v>
      </c>
      <c r="AZ389" s="1052">
        <f t="shared" si="232"/>
        <v>0</v>
      </c>
      <c r="BA389" s="1052">
        <f t="shared" si="232"/>
        <v>0</v>
      </c>
      <c r="BB389" s="1052">
        <f t="shared" si="232"/>
        <v>0</v>
      </c>
      <c r="BC389" s="1052">
        <f t="shared" si="232"/>
        <v>0</v>
      </c>
      <c r="BD389" s="1052">
        <f t="shared" si="232"/>
        <v>0</v>
      </c>
      <c r="BE389" s="1052">
        <f t="shared" si="232"/>
        <v>0</v>
      </c>
      <c r="BF389" s="1052">
        <f t="shared" si="232"/>
        <v>0</v>
      </c>
      <c r="BG389" s="1052">
        <f t="shared" si="232"/>
        <v>0</v>
      </c>
      <c r="BH389" s="1052">
        <f t="shared" si="232"/>
        <v>0</v>
      </c>
      <c r="BI389" s="1052">
        <f t="shared" si="232"/>
        <v>0</v>
      </c>
      <c r="BJ389" s="1052">
        <f t="shared" si="232"/>
        <v>0</v>
      </c>
      <c r="BK389" s="1052">
        <f t="shared" si="232"/>
        <v>0</v>
      </c>
      <c r="BL389" s="1052">
        <f t="shared" si="232"/>
        <v>0</v>
      </c>
      <c r="BM389" s="1052">
        <f t="shared" si="232"/>
        <v>0</v>
      </c>
      <c r="BN389" s="1052">
        <f t="shared" si="232"/>
        <v>0</v>
      </c>
      <c r="BO389" s="1052">
        <f t="shared" si="232"/>
        <v>0</v>
      </c>
      <c r="BP389" s="1052">
        <f t="shared" si="232"/>
        <v>0</v>
      </c>
      <c r="BQ389" s="1052">
        <f t="shared" si="232"/>
        <v>0</v>
      </c>
      <c r="BR389" s="1052">
        <f t="shared" si="232"/>
        <v>0</v>
      </c>
      <c r="BS389" s="1052">
        <f t="shared" ref="BS389:CI389" si="233">BS242</f>
        <v>0</v>
      </c>
      <c r="BT389" s="1052">
        <f t="shared" si="233"/>
        <v>0</v>
      </c>
      <c r="BU389" s="1052">
        <f t="shared" si="233"/>
        <v>0</v>
      </c>
      <c r="BV389" s="1052">
        <f t="shared" si="233"/>
        <v>0</v>
      </c>
      <c r="BW389" s="1052">
        <f t="shared" si="233"/>
        <v>0</v>
      </c>
      <c r="BX389" s="1052">
        <f t="shared" si="233"/>
        <v>0</v>
      </c>
      <c r="BY389" s="1052">
        <f t="shared" si="233"/>
        <v>0</v>
      </c>
      <c r="BZ389" s="1052">
        <f t="shared" si="233"/>
        <v>0</v>
      </c>
      <c r="CA389" s="1052">
        <f t="shared" si="233"/>
        <v>0</v>
      </c>
      <c r="CB389" s="1052">
        <f t="shared" si="233"/>
        <v>0</v>
      </c>
      <c r="CC389" s="1052">
        <f t="shared" si="233"/>
        <v>0</v>
      </c>
      <c r="CD389" s="1052">
        <f t="shared" si="233"/>
        <v>0</v>
      </c>
      <c r="CE389" s="1052">
        <f t="shared" si="233"/>
        <v>0</v>
      </c>
      <c r="CF389" s="1052">
        <f t="shared" si="233"/>
        <v>0</v>
      </c>
      <c r="CG389" s="1052">
        <f t="shared" si="233"/>
        <v>0</v>
      </c>
      <c r="CH389" s="1052">
        <f t="shared" si="233"/>
        <v>0</v>
      </c>
      <c r="CI389" s="1053">
        <f t="shared" si="233"/>
        <v>0</v>
      </c>
    </row>
    <row r="390" spans="2:87" x14ac:dyDescent="0.25">
      <c r="B390" s="1372"/>
      <c r="C390" s="1373" t="s">
        <v>700</v>
      </c>
      <c r="D390" s="1373"/>
      <c r="E390" s="1373" t="s">
        <v>146</v>
      </c>
      <c r="F390" s="1373">
        <v>2</v>
      </c>
      <c r="G390" s="1052">
        <f t="shared" ref="G390:AL390" si="234">G266-SUM(G386:G389)</f>
        <v>0</v>
      </c>
      <c r="H390" s="1052">
        <f t="shared" si="234"/>
        <v>0</v>
      </c>
      <c r="I390" s="1052">
        <f t="shared" si="234"/>
        <v>0</v>
      </c>
      <c r="J390" s="1052">
        <f t="shared" si="234"/>
        <v>0</v>
      </c>
      <c r="K390" s="1052">
        <f t="shared" si="234"/>
        <v>0</v>
      </c>
      <c r="L390" s="1052">
        <f t="shared" si="234"/>
        <v>0</v>
      </c>
      <c r="M390" s="1052">
        <f t="shared" si="234"/>
        <v>0</v>
      </c>
      <c r="N390" s="1052">
        <f t="shared" si="234"/>
        <v>0</v>
      </c>
      <c r="O390" s="1052">
        <f t="shared" si="234"/>
        <v>0</v>
      </c>
      <c r="P390" s="1052">
        <f t="shared" si="234"/>
        <v>0</v>
      </c>
      <c r="Q390" s="1052">
        <f t="shared" si="234"/>
        <v>0</v>
      </c>
      <c r="R390" s="1052">
        <f t="shared" si="234"/>
        <v>0</v>
      </c>
      <c r="S390" s="1052">
        <f t="shared" si="234"/>
        <v>0</v>
      </c>
      <c r="T390" s="1052">
        <f t="shared" si="234"/>
        <v>0</v>
      </c>
      <c r="U390" s="1052">
        <f t="shared" si="234"/>
        <v>0</v>
      </c>
      <c r="V390" s="1052">
        <f t="shared" si="234"/>
        <v>0</v>
      </c>
      <c r="W390" s="1052">
        <f t="shared" si="234"/>
        <v>0</v>
      </c>
      <c r="X390" s="1052">
        <f t="shared" si="234"/>
        <v>0</v>
      </c>
      <c r="Y390" s="1052">
        <f t="shared" si="234"/>
        <v>0</v>
      </c>
      <c r="Z390" s="1052">
        <f t="shared" si="234"/>
        <v>0</v>
      </c>
      <c r="AA390" s="1052">
        <f t="shared" si="234"/>
        <v>0</v>
      </c>
      <c r="AB390" s="1052">
        <f t="shared" si="234"/>
        <v>0</v>
      </c>
      <c r="AC390" s="1052">
        <f t="shared" si="234"/>
        <v>0</v>
      </c>
      <c r="AD390" s="1052">
        <f t="shared" si="234"/>
        <v>0</v>
      </c>
      <c r="AE390" s="1052">
        <f t="shared" si="234"/>
        <v>0</v>
      </c>
      <c r="AF390" s="1052">
        <f t="shared" si="234"/>
        <v>0</v>
      </c>
      <c r="AG390" s="1052">
        <f t="shared" si="234"/>
        <v>0</v>
      </c>
      <c r="AH390" s="1052">
        <f t="shared" si="234"/>
        <v>0</v>
      </c>
      <c r="AI390" s="1052">
        <f t="shared" si="234"/>
        <v>0</v>
      </c>
      <c r="AJ390" s="1052">
        <f t="shared" si="234"/>
        <v>0</v>
      </c>
      <c r="AK390" s="1052">
        <f t="shared" si="234"/>
        <v>0</v>
      </c>
      <c r="AL390" s="1052">
        <f t="shared" si="234"/>
        <v>0</v>
      </c>
      <c r="AM390" s="1052">
        <f t="shared" ref="AM390:BR390" si="235">AM266-SUM(AM386:AM389)</f>
        <v>0</v>
      </c>
      <c r="AN390" s="1052">
        <f t="shared" si="235"/>
        <v>0</v>
      </c>
      <c r="AO390" s="1052">
        <f t="shared" si="235"/>
        <v>0</v>
      </c>
      <c r="AP390" s="1052">
        <f t="shared" si="235"/>
        <v>0</v>
      </c>
      <c r="AQ390" s="1052">
        <f t="shared" si="235"/>
        <v>0</v>
      </c>
      <c r="AR390" s="1052">
        <f t="shared" si="235"/>
        <v>0</v>
      </c>
      <c r="AS390" s="1052">
        <f t="shared" si="235"/>
        <v>0</v>
      </c>
      <c r="AT390" s="1052">
        <f t="shared" si="235"/>
        <v>0</v>
      </c>
      <c r="AU390" s="1052">
        <f t="shared" si="235"/>
        <v>0</v>
      </c>
      <c r="AV390" s="1052">
        <f t="shared" si="235"/>
        <v>0</v>
      </c>
      <c r="AW390" s="1052">
        <f t="shared" si="235"/>
        <v>0</v>
      </c>
      <c r="AX390" s="1052">
        <f t="shared" si="235"/>
        <v>0</v>
      </c>
      <c r="AY390" s="1052">
        <f t="shared" si="235"/>
        <v>0</v>
      </c>
      <c r="AZ390" s="1052">
        <f t="shared" si="235"/>
        <v>0</v>
      </c>
      <c r="BA390" s="1052">
        <f t="shared" si="235"/>
        <v>0</v>
      </c>
      <c r="BB390" s="1052">
        <f t="shared" si="235"/>
        <v>0</v>
      </c>
      <c r="BC390" s="1052">
        <f t="shared" si="235"/>
        <v>0</v>
      </c>
      <c r="BD390" s="1052">
        <f t="shared" si="235"/>
        <v>0</v>
      </c>
      <c r="BE390" s="1052">
        <f t="shared" si="235"/>
        <v>0</v>
      </c>
      <c r="BF390" s="1052">
        <f t="shared" si="235"/>
        <v>0</v>
      </c>
      <c r="BG390" s="1052">
        <f t="shared" si="235"/>
        <v>0</v>
      </c>
      <c r="BH390" s="1052">
        <f t="shared" si="235"/>
        <v>0</v>
      </c>
      <c r="BI390" s="1052">
        <f t="shared" si="235"/>
        <v>0</v>
      </c>
      <c r="BJ390" s="1052">
        <f t="shared" si="235"/>
        <v>0</v>
      </c>
      <c r="BK390" s="1052">
        <f t="shared" si="235"/>
        <v>0</v>
      </c>
      <c r="BL390" s="1052">
        <f t="shared" si="235"/>
        <v>0</v>
      </c>
      <c r="BM390" s="1052">
        <f t="shared" si="235"/>
        <v>0</v>
      </c>
      <c r="BN390" s="1052">
        <f t="shared" si="235"/>
        <v>0</v>
      </c>
      <c r="BO390" s="1052">
        <f t="shared" si="235"/>
        <v>0</v>
      </c>
      <c r="BP390" s="1052">
        <f t="shared" si="235"/>
        <v>0</v>
      </c>
      <c r="BQ390" s="1052">
        <f t="shared" si="235"/>
        <v>0</v>
      </c>
      <c r="BR390" s="1052">
        <f t="shared" si="235"/>
        <v>0</v>
      </c>
      <c r="BS390" s="1052">
        <f t="shared" ref="BS390:CI390" si="236">BS266-SUM(BS386:BS389)</f>
        <v>0</v>
      </c>
      <c r="BT390" s="1052">
        <f t="shared" si="236"/>
        <v>0</v>
      </c>
      <c r="BU390" s="1052">
        <f t="shared" si="236"/>
        <v>0</v>
      </c>
      <c r="BV390" s="1052">
        <f t="shared" si="236"/>
        <v>0</v>
      </c>
      <c r="BW390" s="1052">
        <f t="shared" si="236"/>
        <v>0</v>
      </c>
      <c r="BX390" s="1052">
        <f t="shared" si="236"/>
        <v>0</v>
      </c>
      <c r="BY390" s="1052">
        <f t="shared" si="236"/>
        <v>0</v>
      </c>
      <c r="BZ390" s="1052">
        <f t="shared" si="236"/>
        <v>0</v>
      </c>
      <c r="CA390" s="1052">
        <f t="shared" si="236"/>
        <v>0</v>
      </c>
      <c r="CB390" s="1052">
        <f t="shared" si="236"/>
        <v>0</v>
      </c>
      <c r="CC390" s="1052">
        <f t="shared" si="236"/>
        <v>0</v>
      </c>
      <c r="CD390" s="1052">
        <f t="shared" si="236"/>
        <v>0</v>
      </c>
      <c r="CE390" s="1052">
        <f t="shared" si="236"/>
        <v>0</v>
      </c>
      <c r="CF390" s="1052">
        <f t="shared" si="236"/>
        <v>0</v>
      </c>
      <c r="CG390" s="1052">
        <f t="shared" si="236"/>
        <v>0</v>
      </c>
      <c r="CH390" s="1052">
        <f t="shared" si="236"/>
        <v>0</v>
      </c>
      <c r="CI390" s="1053">
        <f t="shared" si="236"/>
        <v>0</v>
      </c>
    </row>
    <row r="391" spans="2:87" x14ac:dyDescent="0.25">
      <c r="B391" s="1372"/>
      <c r="C391" s="1373" t="s">
        <v>701</v>
      </c>
      <c r="D391" s="1373"/>
      <c r="E391" s="1373" t="s">
        <v>146</v>
      </c>
      <c r="F391" s="1373">
        <v>2</v>
      </c>
      <c r="G391" s="1052">
        <f t="shared" ref="G391:BR391" si="237">G223</f>
        <v>0</v>
      </c>
      <c r="H391" s="1052">
        <f t="shared" si="237"/>
        <v>0</v>
      </c>
      <c r="I391" s="1052">
        <f t="shared" si="237"/>
        <v>0</v>
      </c>
      <c r="J391" s="1052">
        <f t="shared" si="237"/>
        <v>0</v>
      </c>
      <c r="K391" s="1052">
        <f t="shared" si="237"/>
        <v>0</v>
      </c>
      <c r="L391" s="1052">
        <f t="shared" si="237"/>
        <v>0</v>
      </c>
      <c r="M391" s="1052">
        <f t="shared" si="237"/>
        <v>0</v>
      </c>
      <c r="N391" s="1052">
        <f t="shared" si="237"/>
        <v>0</v>
      </c>
      <c r="O391" s="1052">
        <f t="shared" si="237"/>
        <v>0</v>
      </c>
      <c r="P391" s="1052">
        <f t="shared" si="237"/>
        <v>0</v>
      </c>
      <c r="Q391" s="1052">
        <f t="shared" si="237"/>
        <v>0</v>
      </c>
      <c r="R391" s="1052">
        <f t="shared" si="237"/>
        <v>0</v>
      </c>
      <c r="S391" s="1052">
        <f t="shared" si="237"/>
        <v>0</v>
      </c>
      <c r="T391" s="1052">
        <f t="shared" si="237"/>
        <v>0</v>
      </c>
      <c r="U391" s="1052">
        <f t="shared" si="237"/>
        <v>0</v>
      </c>
      <c r="V391" s="1052">
        <f t="shared" si="237"/>
        <v>0</v>
      </c>
      <c r="W391" s="1052">
        <f t="shared" si="237"/>
        <v>0</v>
      </c>
      <c r="X391" s="1052">
        <f t="shared" si="237"/>
        <v>0</v>
      </c>
      <c r="Y391" s="1052">
        <f t="shared" si="237"/>
        <v>0</v>
      </c>
      <c r="Z391" s="1052">
        <f t="shared" si="237"/>
        <v>0</v>
      </c>
      <c r="AA391" s="1052">
        <f t="shared" si="237"/>
        <v>0</v>
      </c>
      <c r="AB391" s="1052">
        <f t="shared" si="237"/>
        <v>0</v>
      </c>
      <c r="AC391" s="1052">
        <f t="shared" si="237"/>
        <v>0</v>
      </c>
      <c r="AD391" s="1052">
        <f t="shared" si="237"/>
        <v>0</v>
      </c>
      <c r="AE391" s="1052">
        <f t="shared" si="237"/>
        <v>0</v>
      </c>
      <c r="AF391" s="1052">
        <f t="shared" si="237"/>
        <v>0</v>
      </c>
      <c r="AG391" s="1052">
        <f t="shared" si="237"/>
        <v>0</v>
      </c>
      <c r="AH391" s="1052">
        <f t="shared" si="237"/>
        <v>0</v>
      </c>
      <c r="AI391" s="1052">
        <f t="shared" si="237"/>
        <v>0</v>
      </c>
      <c r="AJ391" s="1052">
        <f t="shared" si="237"/>
        <v>0</v>
      </c>
      <c r="AK391" s="1052">
        <f t="shared" si="237"/>
        <v>0</v>
      </c>
      <c r="AL391" s="1052">
        <f t="shared" si="237"/>
        <v>0</v>
      </c>
      <c r="AM391" s="1052">
        <f t="shared" si="237"/>
        <v>0</v>
      </c>
      <c r="AN391" s="1052">
        <f t="shared" si="237"/>
        <v>0</v>
      </c>
      <c r="AO391" s="1052">
        <f t="shared" si="237"/>
        <v>0</v>
      </c>
      <c r="AP391" s="1052">
        <f t="shared" si="237"/>
        <v>0</v>
      </c>
      <c r="AQ391" s="1052">
        <f t="shared" si="237"/>
        <v>0</v>
      </c>
      <c r="AR391" s="1052">
        <f t="shared" si="237"/>
        <v>0</v>
      </c>
      <c r="AS391" s="1052">
        <f t="shared" si="237"/>
        <v>0</v>
      </c>
      <c r="AT391" s="1052">
        <f t="shared" si="237"/>
        <v>0</v>
      </c>
      <c r="AU391" s="1052">
        <f t="shared" si="237"/>
        <v>0</v>
      </c>
      <c r="AV391" s="1052">
        <f t="shared" si="237"/>
        <v>0</v>
      </c>
      <c r="AW391" s="1052">
        <f t="shared" si="237"/>
        <v>0</v>
      </c>
      <c r="AX391" s="1052">
        <f t="shared" si="237"/>
        <v>0</v>
      </c>
      <c r="AY391" s="1052">
        <f t="shared" si="237"/>
        <v>0</v>
      </c>
      <c r="AZ391" s="1052">
        <f t="shared" si="237"/>
        <v>0</v>
      </c>
      <c r="BA391" s="1052">
        <f t="shared" si="237"/>
        <v>0</v>
      </c>
      <c r="BB391" s="1052">
        <f t="shared" si="237"/>
        <v>0</v>
      </c>
      <c r="BC391" s="1052">
        <f t="shared" si="237"/>
        <v>0</v>
      </c>
      <c r="BD391" s="1052">
        <f t="shared" si="237"/>
        <v>0</v>
      </c>
      <c r="BE391" s="1052">
        <f t="shared" si="237"/>
        <v>0</v>
      </c>
      <c r="BF391" s="1052">
        <f t="shared" si="237"/>
        <v>0</v>
      </c>
      <c r="BG391" s="1052">
        <f t="shared" si="237"/>
        <v>0</v>
      </c>
      <c r="BH391" s="1052">
        <f t="shared" si="237"/>
        <v>0</v>
      </c>
      <c r="BI391" s="1052">
        <f t="shared" si="237"/>
        <v>0</v>
      </c>
      <c r="BJ391" s="1052">
        <f t="shared" si="237"/>
        <v>0</v>
      </c>
      <c r="BK391" s="1052">
        <f t="shared" si="237"/>
        <v>0</v>
      </c>
      <c r="BL391" s="1052">
        <f t="shared" si="237"/>
        <v>0</v>
      </c>
      <c r="BM391" s="1052">
        <f t="shared" si="237"/>
        <v>0</v>
      </c>
      <c r="BN391" s="1052">
        <f t="shared" si="237"/>
        <v>0</v>
      </c>
      <c r="BO391" s="1052">
        <f t="shared" si="237"/>
        <v>0</v>
      </c>
      <c r="BP391" s="1052">
        <f t="shared" si="237"/>
        <v>0</v>
      </c>
      <c r="BQ391" s="1052">
        <f t="shared" si="237"/>
        <v>0</v>
      </c>
      <c r="BR391" s="1052">
        <f t="shared" si="237"/>
        <v>0</v>
      </c>
      <c r="BS391" s="1052">
        <f t="shared" ref="BS391:CI391" si="238">BS223</f>
        <v>0</v>
      </c>
      <c r="BT391" s="1052">
        <f t="shared" si="238"/>
        <v>0</v>
      </c>
      <c r="BU391" s="1052">
        <f t="shared" si="238"/>
        <v>0</v>
      </c>
      <c r="BV391" s="1052">
        <f t="shared" si="238"/>
        <v>0</v>
      </c>
      <c r="BW391" s="1052">
        <f t="shared" si="238"/>
        <v>0</v>
      </c>
      <c r="BX391" s="1052">
        <f t="shared" si="238"/>
        <v>0</v>
      </c>
      <c r="BY391" s="1052">
        <f t="shared" si="238"/>
        <v>0</v>
      </c>
      <c r="BZ391" s="1052">
        <f t="shared" si="238"/>
        <v>0</v>
      </c>
      <c r="CA391" s="1052">
        <f t="shared" si="238"/>
        <v>0</v>
      </c>
      <c r="CB391" s="1052">
        <f t="shared" si="238"/>
        <v>0</v>
      </c>
      <c r="CC391" s="1052">
        <f t="shared" si="238"/>
        <v>0</v>
      </c>
      <c r="CD391" s="1052">
        <f t="shared" si="238"/>
        <v>0</v>
      </c>
      <c r="CE391" s="1052">
        <f t="shared" si="238"/>
        <v>0</v>
      </c>
      <c r="CF391" s="1052">
        <f t="shared" si="238"/>
        <v>0</v>
      </c>
      <c r="CG391" s="1052">
        <f t="shared" si="238"/>
        <v>0</v>
      </c>
      <c r="CH391" s="1052">
        <f t="shared" si="238"/>
        <v>0</v>
      </c>
      <c r="CI391" s="1053">
        <f t="shared" si="238"/>
        <v>0</v>
      </c>
    </row>
    <row r="392" spans="2:87" x14ac:dyDescent="0.25">
      <c r="B392" s="1372"/>
      <c r="C392" s="1373" t="s">
        <v>702</v>
      </c>
      <c r="D392" s="1373"/>
      <c r="E392" s="1373" t="s">
        <v>146</v>
      </c>
      <c r="F392" s="1373">
        <v>2</v>
      </c>
      <c r="G392" s="1052">
        <f t="shared" ref="G392:AL392" si="239">SUM(G386:G390)+G269</f>
        <v>0</v>
      </c>
      <c r="H392" s="1052">
        <f t="shared" si="239"/>
        <v>0</v>
      </c>
      <c r="I392" s="1052">
        <f t="shared" si="239"/>
        <v>0</v>
      </c>
      <c r="J392" s="1052">
        <f t="shared" si="239"/>
        <v>0</v>
      </c>
      <c r="K392" s="1052">
        <f t="shared" si="239"/>
        <v>0</v>
      </c>
      <c r="L392" s="1052">
        <f t="shared" si="239"/>
        <v>0</v>
      </c>
      <c r="M392" s="1052">
        <f t="shared" si="239"/>
        <v>0</v>
      </c>
      <c r="N392" s="1052">
        <f t="shared" si="239"/>
        <v>0</v>
      </c>
      <c r="O392" s="1052">
        <f t="shared" si="239"/>
        <v>0</v>
      </c>
      <c r="P392" s="1052">
        <f t="shared" si="239"/>
        <v>0</v>
      </c>
      <c r="Q392" s="1052">
        <f t="shared" si="239"/>
        <v>0</v>
      </c>
      <c r="R392" s="1052">
        <f t="shared" si="239"/>
        <v>0</v>
      </c>
      <c r="S392" s="1052">
        <f t="shared" si="239"/>
        <v>0</v>
      </c>
      <c r="T392" s="1052">
        <f t="shared" si="239"/>
        <v>0</v>
      </c>
      <c r="U392" s="1052">
        <f t="shared" si="239"/>
        <v>0</v>
      </c>
      <c r="V392" s="1052">
        <f t="shared" si="239"/>
        <v>0</v>
      </c>
      <c r="W392" s="1052">
        <f t="shared" si="239"/>
        <v>0</v>
      </c>
      <c r="X392" s="1052">
        <f t="shared" si="239"/>
        <v>0</v>
      </c>
      <c r="Y392" s="1052">
        <f t="shared" si="239"/>
        <v>0</v>
      </c>
      <c r="Z392" s="1052">
        <f t="shared" si="239"/>
        <v>0</v>
      </c>
      <c r="AA392" s="1052">
        <f t="shared" si="239"/>
        <v>0</v>
      </c>
      <c r="AB392" s="1052">
        <f t="shared" si="239"/>
        <v>0</v>
      </c>
      <c r="AC392" s="1052">
        <f t="shared" si="239"/>
        <v>0</v>
      </c>
      <c r="AD392" s="1052">
        <f t="shared" si="239"/>
        <v>0</v>
      </c>
      <c r="AE392" s="1052">
        <f t="shared" si="239"/>
        <v>0</v>
      </c>
      <c r="AF392" s="1052">
        <f t="shared" si="239"/>
        <v>0</v>
      </c>
      <c r="AG392" s="1052">
        <f t="shared" si="239"/>
        <v>0</v>
      </c>
      <c r="AH392" s="1052">
        <f t="shared" si="239"/>
        <v>0</v>
      </c>
      <c r="AI392" s="1052">
        <f t="shared" si="239"/>
        <v>0</v>
      </c>
      <c r="AJ392" s="1052">
        <f t="shared" si="239"/>
        <v>0</v>
      </c>
      <c r="AK392" s="1052">
        <f t="shared" si="239"/>
        <v>0</v>
      </c>
      <c r="AL392" s="1052">
        <f t="shared" si="239"/>
        <v>0</v>
      </c>
      <c r="AM392" s="1052">
        <f t="shared" ref="AM392:BR392" si="240">SUM(AM386:AM390)+AM269</f>
        <v>0</v>
      </c>
      <c r="AN392" s="1052">
        <f t="shared" si="240"/>
        <v>0</v>
      </c>
      <c r="AO392" s="1052">
        <f t="shared" si="240"/>
        <v>0</v>
      </c>
      <c r="AP392" s="1052">
        <f t="shared" si="240"/>
        <v>0</v>
      </c>
      <c r="AQ392" s="1052">
        <f t="shared" si="240"/>
        <v>0</v>
      </c>
      <c r="AR392" s="1052">
        <f t="shared" si="240"/>
        <v>0</v>
      </c>
      <c r="AS392" s="1052">
        <f t="shared" si="240"/>
        <v>0</v>
      </c>
      <c r="AT392" s="1052">
        <f t="shared" si="240"/>
        <v>0</v>
      </c>
      <c r="AU392" s="1052">
        <f t="shared" si="240"/>
        <v>0</v>
      </c>
      <c r="AV392" s="1052">
        <f t="shared" si="240"/>
        <v>0</v>
      </c>
      <c r="AW392" s="1052">
        <f t="shared" si="240"/>
        <v>0</v>
      </c>
      <c r="AX392" s="1052">
        <f t="shared" si="240"/>
        <v>0</v>
      </c>
      <c r="AY392" s="1052">
        <f t="shared" si="240"/>
        <v>0</v>
      </c>
      <c r="AZ392" s="1052">
        <f t="shared" si="240"/>
        <v>0</v>
      </c>
      <c r="BA392" s="1052">
        <f t="shared" si="240"/>
        <v>0</v>
      </c>
      <c r="BB392" s="1052">
        <f t="shared" si="240"/>
        <v>0</v>
      </c>
      <c r="BC392" s="1052">
        <f t="shared" si="240"/>
        <v>0</v>
      </c>
      <c r="BD392" s="1052">
        <f t="shared" si="240"/>
        <v>0</v>
      </c>
      <c r="BE392" s="1052">
        <f t="shared" si="240"/>
        <v>0</v>
      </c>
      <c r="BF392" s="1052">
        <f t="shared" si="240"/>
        <v>0</v>
      </c>
      <c r="BG392" s="1052">
        <f t="shared" si="240"/>
        <v>0</v>
      </c>
      <c r="BH392" s="1052">
        <f t="shared" si="240"/>
        <v>0</v>
      </c>
      <c r="BI392" s="1052">
        <f t="shared" si="240"/>
        <v>0</v>
      </c>
      <c r="BJ392" s="1052">
        <f t="shared" si="240"/>
        <v>0</v>
      </c>
      <c r="BK392" s="1052">
        <f t="shared" si="240"/>
        <v>0</v>
      </c>
      <c r="BL392" s="1052">
        <f t="shared" si="240"/>
        <v>0</v>
      </c>
      <c r="BM392" s="1052">
        <f t="shared" si="240"/>
        <v>0</v>
      </c>
      <c r="BN392" s="1052">
        <f t="shared" si="240"/>
        <v>0</v>
      </c>
      <c r="BO392" s="1052">
        <f t="shared" si="240"/>
        <v>0</v>
      </c>
      <c r="BP392" s="1052">
        <f t="shared" si="240"/>
        <v>0</v>
      </c>
      <c r="BQ392" s="1052">
        <f t="shared" si="240"/>
        <v>0</v>
      </c>
      <c r="BR392" s="1052">
        <f t="shared" si="240"/>
        <v>0</v>
      </c>
      <c r="BS392" s="1052">
        <f t="shared" ref="BS392:CI392" si="241">SUM(BS386:BS390)+BS269</f>
        <v>0</v>
      </c>
      <c r="BT392" s="1052">
        <f t="shared" si="241"/>
        <v>0</v>
      </c>
      <c r="BU392" s="1052">
        <f t="shared" si="241"/>
        <v>0</v>
      </c>
      <c r="BV392" s="1052">
        <f t="shared" si="241"/>
        <v>0</v>
      </c>
      <c r="BW392" s="1052">
        <f t="shared" si="241"/>
        <v>0</v>
      </c>
      <c r="BX392" s="1052">
        <f t="shared" si="241"/>
        <v>0</v>
      </c>
      <c r="BY392" s="1052">
        <f t="shared" si="241"/>
        <v>0</v>
      </c>
      <c r="BZ392" s="1052">
        <f t="shared" si="241"/>
        <v>0</v>
      </c>
      <c r="CA392" s="1052">
        <f t="shared" si="241"/>
        <v>0</v>
      </c>
      <c r="CB392" s="1052">
        <f t="shared" si="241"/>
        <v>0</v>
      </c>
      <c r="CC392" s="1052">
        <f t="shared" si="241"/>
        <v>0</v>
      </c>
      <c r="CD392" s="1052">
        <f t="shared" si="241"/>
        <v>0</v>
      </c>
      <c r="CE392" s="1052">
        <f t="shared" si="241"/>
        <v>0</v>
      </c>
      <c r="CF392" s="1052">
        <f t="shared" si="241"/>
        <v>0</v>
      </c>
      <c r="CG392" s="1052">
        <f t="shared" si="241"/>
        <v>0</v>
      </c>
      <c r="CH392" s="1052">
        <f t="shared" si="241"/>
        <v>0</v>
      </c>
      <c r="CI392" s="1053">
        <f t="shared" si="241"/>
        <v>0</v>
      </c>
    </row>
    <row r="393" spans="2:87" x14ac:dyDescent="0.25">
      <c r="B393" s="1372"/>
      <c r="C393" s="1373"/>
      <c r="D393" s="1373"/>
      <c r="E393" s="1373"/>
      <c r="F393" s="1373"/>
      <c r="G393" s="1373"/>
      <c r="H393" s="1373"/>
      <c r="I393" s="1373"/>
      <c r="J393" s="1373"/>
      <c r="K393" s="1373"/>
      <c r="L393" s="1373"/>
      <c r="M393" s="1373"/>
      <c r="N393" s="1373"/>
      <c r="O393" s="1373"/>
      <c r="P393" s="1373"/>
      <c r="Q393" s="1373"/>
      <c r="R393" s="1373"/>
      <c r="S393" s="1373"/>
      <c r="T393" s="1373"/>
      <c r="U393" s="1373"/>
      <c r="V393" s="1373"/>
      <c r="W393" s="1373"/>
      <c r="X393" s="1373"/>
      <c r="Y393" s="1373"/>
      <c r="Z393" s="1373"/>
      <c r="AA393" s="1373"/>
      <c r="AB393" s="1373"/>
      <c r="AC393" s="1373"/>
      <c r="AD393" s="1373"/>
      <c r="AE393" s="1373"/>
      <c r="AF393" s="1373"/>
      <c r="AG393" s="1373"/>
      <c r="AH393" s="1373"/>
      <c r="AI393" s="1373"/>
      <c r="AJ393" s="1373"/>
      <c r="AK393" s="1373"/>
      <c r="AL393" s="1373"/>
      <c r="AM393" s="1373"/>
      <c r="AN393" s="1373"/>
      <c r="AO393" s="1373"/>
      <c r="AP393" s="1373"/>
      <c r="AQ393" s="1373"/>
      <c r="AR393" s="1373"/>
      <c r="AS393" s="1373"/>
      <c r="AT393" s="1373"/>
      <c r="AU393" s="1373"/>
      <c r="AV393" s="1373"/>
      <c r="AW393" s="1373"/>
      <c r="AX393" s="1373"/>
      <c r="AY393" s="1373"/>
      <c r="AZ393" s="1373"/>
      <c r="BA393" s="1373"/>
      <c r="BB393" s="1373"/>
      <c r="BC393" s="1373"/>
      <c r="BD393" s="1373"/>
      <c r="BE393" s="1373"/>
      <c r="BF393" s="1373"/>
      <c r="BG393" s="1373"/>
      <c r="BH393" s="1373"/>
      <c r="BI393" s="1373"/>
      <c r="BJ393" s="1373"/>
      <c r="BK393" s="1373"/>
      <c r="BL393" s="1373"/>
      <c r="BM393" s="1373"/>
      <c r="BN393" s="1373"/>
      <c r="BO393" s="1373"/>
      <c r="BP393" s="1373"/>
      <c r="BQ393" s="1373"/>
      <c r="BR393" s="1373"/>
      <c r="BS393" s="1373"/>
      <c r="BT393" s="1373"/>
      <c r="BU393" s="1373"/>
      <c r="BV393" s="1373"/>
      <c r="BW393" s="1373"/>
      <c r="BX393" s="1373"/>
      <c r="BY393" s="1373"/>
      <c r="BZ393" s="1373"/>
      <c r="CA393" s="1373"/>
      <c r="CB393" s="1373"/>
      <c r="CC393" s="1373"/>
      <c r="CD393" s="1373"/>
      <c r="CE393" s="1373"/>
      <c r="CF393" s="1373"/>
      <c r="CG393" s="1373"/>
      <c r="CH393" s="1373"/>
      <c r="CI393" s="1374"/>
    </row>
    <row r="394" spans="2:87" x14ac:dyDescent="0.25">
      <c r="B394" s="1372" t="s">
        <v>705</v>
      </c>
      <c r="C394" s="1373"/>
      <c r="D394" s="1373"/>
      <c r="E394" s="1373"/>
      <c r="F394" s="1373"/>
      <c r="G394" s="1050" t="s">
        <v>119</v>
      </c>
      <c r="H394" s="1050" t="s">
        <v>120</v>
      </c>
      <c r="I394" s="1050" t="s">
        <v>121</v>
      </c>
      <c r="J394" s="1050" t="s">
        <v>122</v>
      </c>
      <c r="K394" s="1050" t="s">
        <v>123</v>
      </c>
      <c r="L394" s="1050" t="s">
        <v>124</v>
      </c>
      <c r="M394" s="1050" t="s">
        <v>125</v>
      </c>
      <c r="N394" s="1050" t="s">
        <v>126</v>
      </c>
      <c r="O394" s="1050" t="s">
        <v>127</v>
      </c>
      <c r="P394" s="1050" t="s">
        <v>128</v>
      </c>
      <c r="Q394" s="1050" t="s">
        <v>129</v>
      </c>
      <c r="R394" s="1050" t="s">
        <v>130</v>
      </c>
      <c r="S394" s="1050" t="s">
        <v>157</v>
      </c>
      <c r="T394" s="1050" t="s">
        <v>158</v>
      </c>
      <c r="U394" s="1050" t="s">
        <v>159</v>
      </c>
      <c r="V394" s="1050" t="s">
        <v>160</v>
      </c>
      <c r="W394" s="1050" t="s">
        <v>131</v>
      </c>
      <c r="X394" s="1050" t="s">
        <v>161</v>
      </c>
      <c r="Y394" s="1050" t="s">
        <v>162</v>
      </c>
      <c r="Z394" s="1050" t="s">
        <v>163</v>
      </c>
      <c r="AA394" s="1050" t="s">
        <v>164</v>
      </c>
      <c r="AB394" s="1050" t="s">
        <v>132</v>
      </c>
      <c r="AC394" s="1050" t="s">
        <v>165</v>
      </c>
      <c r="AD394" s="1050" t="s">
        <v>166</v>
      </c>
      <c r="AE394" s="1050" t="s">
        <v>167</v>
      </c>
      <c r="AF394" s="1050" t="s">
        <v>168</v>
      </c>
      <c r="AG394" s="1050" t="s">
        <v>133</v>
      </c>
      <c r="AH394" s="1050" t="s">
        <v>169</v>
      </c>
      <c r="AI394" s="1050" t="s">
        <v>170</v>
      </c>
      <c r="AJ394" s="1050" t="s">
        <v>171</v>
      </c>
      <c r="AK394" s="1050" t="s">
        <v>172</v>
      </c>
      <c r="AL394" s="1050" t="s">
        <v>134</v>
      </c>
      <c r="AM394" s="1050" t="s">
        <v>173</v>
      </c>
      <c r="AN394" s="1050" t="s">
        <v>174</v>
      </c>
      <c r="AO394" s="1050" t="s">
        <v>175</v>
      </c>
      <c r="AP394" s="1050" t="s">
        <v>176</v>
      </c>
      <c r="AQ394" s="1050" t="s">
        <v>135</v>
      </c>
      <c r="AR394" s="1050" t="s">
        <v>177</v>
      </c>
      <c r="AS394" s="1050" t="s">
        <v>178</v>
      </c>
      <c r="AT394" s="1050" t="s">
        <v>179</v>
      </c>
      <c r="AU394" s="1050" t="s">
        <v>180</v>
      </c>
      <c r="AV394" s="1050" t="s">
        <v>136</v>
      </c>
      <c r="AW394" s="1050" t="s">
        <v>181</v>
      </c>
      <c r="AX394" s="1050" t="s">
        <v>182</v>
      </c>
      <c r="AY394" s="1050" t="s">
        <v>183</v>
      </c>
      <c r="AZ394" s="1050" t="s">
        <v>184</v>
      </c>
      <c r="BA394" s="1050" t="s">
        <v>137</v>
      </c>
      <c r="BB394" s="1050" t="s">
        <v>185</v>
      </c>
      <c r="BC394" s="1050" t="s">
        <v>186</v>
      </c>
      <c r="BD394" s="1050" t="s">
        <v>187</v>
      </c>
      <c r="BE394" s="1050" t="s">
        <v>188</v>
      </c>
      <c r="BF394" s="1050" t="s">
        <v>138</v>
      </c>
      <c r="BG394" s="1050" t="s">
        <v>189</v>
      </c>
      <c r="BH394" s="1050" t="s">
        <v>190</v>
      </c>
      <c r="BI394" s="1050" t="s">
        <v>191</v>
      </c>
      <c r="BJ394" s="1050" t="s">
        <v>192</v>
      </c>
      <c r="BK394" s="1050" t="s">
        <v>139</v>
      </c>
      <c r="BL394" s="1050" t="s">
        <v>193</v>
      </c>
      <c r="BM394" s="1050" t="s">
        <v>194</v>
      </c>
      <c r="BN394" s="1050" t="s">
        <v>195</v>
      </c>
      <c r="BO394" s="1050" t="s">
        <v>196</v>
      </c>
      <c r="BP394" s="1050" t="s">
        <v>140</v>
      </c>
      <c r="BQ394" s="1050" t="s">
        <v>197</v>
      </c>
      <c r="BR394" s="1050" t="s">
        <v>198</v>
      </c>
      <c r="BS394" s="1050" t="s">
        <v>199</v>
      </c>
      <c r="BT394" s="1050" t="s">
        <v>200</v>
      </c>
      <c r="BU394" s="1050" t="s">
        <v>141</v>
      </c>
      <c r="BV394" s="1050" t="s">
        <v>201</v>
      </c>
      <c r="BW394" s="1050" t="s">
        <v>202</v>
      </c>
      <c r="BX394" s="1050" t="s">
        <v>203</v>
      </c>
      <c r="BY394" s="1050" t="s">
        <v>204</v>
      </c>
      <c r="BZ394" s="1050" t="s">
        <v>142</v>
      </c>
      <c r="CA394" s="1050" t="s">
        <v>205</v>
      </c>
      <c r="CB394" s="1050" t="s">
        <v>206</v>
      </c>
      <c r="CC394" s="1050" t="s">
        <v>207</v>
      </c>
      <c r="CD394" s="1050" t="s">
        <v>208</v>
      </c>
      <c r="CE394" s="1050" t="s">
        <v>143</v>
      </c>
      <c r="CF394" s="1050" t="s">
        <v>209</v>
      </c>
      <c r="CG394" s="1050" t="s">
        <v>210</v>
      </c>
      <c r="CH394" s="1050" t="s">
        <v>211</v>
      </c>
      <c r="CI394" s="1051" t="s">
        <v>212</v>
      </c>
    </row>
    <row r="395" spans="2:87" x14ac:dyDescent="0.25">
      <c r="B395" s="1372"/>
      <c r="C395" s="1373" t="s">
        <v>697</v>
      </c>
      <c r="D395" s="1373"/>
      <c r="E395" s="1373" t="s">
        <v>146</v>
      </c>
      <c r="F395" s="1373">
        <v>2</v>
      </c>
      <c r="G395" s="1052">
        <f t="shared" ref="G395:BR396" si="242">G317-G328</f>
        <v>0</v>
      </c>
      <c r="H395" s="1052">
        <f t="shared" si="242"/>
        <v>0</v>
      </c>
      <c r="I395" s="1052">
        <f t="shared" si="242"/>
        <v>0</v>
      </c>
      <c r="J395" s="1052">
        <f t="shared" si="242"/>
        <v>0</v>
      </c>
      <c r="K395" s="1052">
        <f t="shared" si="242"/>
        <v>0</v>
      </c>
      <c r="L395" s="1052">
        <f t="shared" si="242"/>
        <v>0</v>
      </c>
      <c r="M395" s="1052">
        <f t="shared" si="242"/>
        <v>0</v>
      </c>
      <c r="N395" s="1052">
        <f t="shared" si="242"/>
        <v>0</v>
      </c>
      <c r="O395" s="1052">
        <f t="shared" si="242"/>
        <v>0</v>
      </c>
      <c r="P395" s="1052">
        <f t="shared" si="242"/>
        <v>0</v>
      </c>
      <c r="Q395" s="1052">
        <f t="shared" si="242"/>
        <v>0</v>
      </c>
      <c r="R395" s="1052">
        <f t="shared" si="242"/>
        <v>0</v>
      </c>
      <c r="S395" s="1052">
        <f t="shared" si="242"/>
        <v>0</v>
      </c>
      <c r="T395" s="1052">
        <f t="shared" si="242"/>
        <v>0</v>
      </c>
      <c r="U395" s="1052">
        <f t="shared" si="242"/>
        <v>0</v>
      </c>
      <c r="V395" s="1052">
        <f t="shared" si="242"/>
        <v>0</v>
      </c>
      <c r="W395" s="1052">
        <f t="shared" si="242"/>
        <v>0</v>
      </c>
      <c r="X395" s="1052">
        <f t="shared" si="242"/>
        <v>0</v>
      </c>
      <c r="Y395" s="1052">
        <f t="shared" si="242"/>
        <v>0</v>
      </c>
      <c r="Z395" s="1052">
        <f t="shared" si="242"/>
        <v>0</v>
      </c>
      <c r="AA395" s="1052">
        <f t="shared" si="242"/>
        <v>0</v>
      </c>
      <c r="AB395" s="1052">
        <f t="shared" si="242"/>
        <v>0</v>
      </c>
      <c r="AC395" s="1052">
        <f t="shared" si="242"/>
        <v>0</v>
      </c>
      <c r="AD395" s="1052">
        <f t="shared" si="242"/>
        <v>0</v>
      </c>
      <c r="AE395" s="1052">
        <f t="shared" si="242"/>
        <v>0</v>
      </c>
      <c r="AF395" s="1052">
        <f t="shared" si="242"/>
        <v>0</v>
      </c>
      <c r="AG395" s="1052">
        <f t="shared" si="242"/>
        <v>0</v>
      </c>
      <c r="AH395" s="1052">
        <f t="shared" si="242"/>
        <v>0</v>
      </c>
      <c r="AI395" s="1052">
        <f t="shared" si="242"/>
        <v>0</v>
      </c>
      <c r="AJ395" s="1052">
        <f t="shared" si="242"/>
        <v>0</v>
      </c>
      <c r="AK395" s="1052">
        <f t="shared" si="242"/>
        <v>0</v>
      </c>
      <c r="AL395" s="1052">
        <f t="shared" si="242"/>
        <v>0</v>
      </c>
      <c r="AM395" s="1052">
        <f t="shared" si="242"/>
        <v>0</v>
      </c>
      <c r="AN395" s="1052">
        <f t="shared" si="242"/>
        <v>0</v>
      </c>
      <c r="AO395" s="1052">
        <f t="shared" si="242"/>
        <v>0</v>
      </c>
      <c r="AP395" s="1052">
        <f t="shared" si="242"/>
        <v>0</v>
      </c>
      <c r="AQ395" s="1052">
        <f t="shared" si="242"/>
        <v>0</v>
      </c>
      <c r="AR395" s="1052">
        <f t="shared" si="242"/>
        <v>0</v>
      </c>
      <c r="AS395" s="1052">
        <f t="shared" si="242"/>
        <v>0</v>
      </c>
      <c r="AT395" s="1052">
        <f t="shared" si="242"/>
        <v>0</v>
      </c>
      <c r="AU395" s="1052">
        <f t="shared" si="242"/>
        <v>0</v>
      </c>
      <c r="AV395" s="1052">
        <f t="shared" si="242"/>
        <v>0</v>
      </c>
      <c r="AW395" s="1052">
        <f t="shared" si="242"/>
        <v>0</v>
      </c>
      <c r="AX395" s="1052">
        <f t="shared" si="242"/>
        <v>0</v>
      </c>
      <c r="AY395" s="1052">
        <f t="shared" si="242"/>
        <v>0</v>
      </c>
      <c r="AZ395" s="1052">
        <f t="shared" si="242"/>
        <v>0</v>
      </c>
      <c r="BA395" s="1052">
        <f t="shared" si="242"/>
        <v>0</v>
      </c>
      <c r="BB395" s="1052">
        <f t="shared" si="242"/>
        <v>0</v>
      </c>
      <c r="BC395" s="1052">
        <f t="shared" si="242"/>
        <v>0</v>
      </c>
      <c r="BD395" s="1052">
        <f t="shared" si="242"/>
        <v>0</v>
      </c>
      <c r="BE395" s="1052">
        <f t="shared" si="242"/>
        <v>0</v>
      </c>
      <c r="BF395" s="1052">
        <f t="shared" si="242"/>
        <v>0</v>
      </c>
      <c r="BG395" s="1052">
        <f t="shared" si="242"/>
        <v>0</v>
      </c>
      <c r="BH395" s="1052">
        <f t="shared" si="242"/>
        <v>0</v>
      </c>
      <c r="BI395" s="1052">
        <f t="shared" si="242"/>
        <v>0</v>
      </c>
      <c r="BJ395" s="1052">
        <f t="shared" si="242"/>
        <v>0</v>
      </c>
      <c r="BK395" s="1052">
        <f t="shared" si="242"/>
        <v>0</v>
      </c>
      <c r="BL395" s="1052">
        <f t="shared" si="242"/>
        <v>0</v>
      </c>
      <c r="BM395" s="1052">
        <f t="shared" si="242"/>
        <v>0</v>
      </c>
      <c r="BN395" s="1052">
        <f t="shared" si="242"/>
        <v>0</v>
      </c>
      <c r="BO395" s="1052">
        <f t="shared" si="242"/>
        <v>0</v>
      </c>
      <c r="BP395" s="1052">
        <f t="shared" si="242"/>
        <v>0</v>
      </c>
      <c r="BQ395" s="1052">
        <f t="shared" si="242"/>
        <v>0</v>
      </c>
      <c r="BR395" s="1052">
        <f t="shared" si="242"/>
        <v>0</v>
      </c>
      <c r="BS395" s="1052">
        <f t="shared" ref="BS395:CI396" si="243">BS317-BS328</f>
        <v>0</v>
      </c>
      <c r="BT395" s="1052">
        <f t="shared" si="243"/>
        <v>0</v>
      </c>
      <c r="BU395" s="1052">
        <f t="shared" si="243"/>
        <v>0</v>
      </c>
      <c r="BV395" s="1052">
        <f t="shared" si="243"/>
        <v>0</v>
      </c>
      <c r="BW395" s="1052">
        <f t="shared" si="243"/>
        <v>0</v>
      </c>
      <c r="BX395" s="1052">
        <f t="shared" si="243"/>
        <v>0</v>
      </c>
      <c r="BY395" s="1052">
        <f t="shared" si="243"/>
        <v>0</v>
      </c>
      <c r="BZ395" s="1052">
        <f t="shared" si="243"/>
        <v>0</v>
      </c>
      <c r="CA395" s="1052">
        <f t="shared" si="243"/>
        <v>0</v>
      </c>
      <c r="CB395" s="1052">
        <f t="shared" si="243"/>
        <v>0</v>
      </c>
      <c r="CC395" s="1052">
        <f t="shared" si="243"/>
        <v>0</v>
      </c>
      <c r="CD395" s="1052">
        <f t="shared" si="243"/>
        <v>0</v>
      </c>
      <c r="CE395" s="1052">
        <f t="shared" si="243"/>
        <v>0</v>
      </c>
      <c r="CF395" s="1052">
        <f t="shared" si="243"/>
        <v>0</v>
      </c>
      <c r="CG395" s="1052">
        <f t="shared" si="243"/>
        <v>0</v>
      </c>
      <c r="CH395" s="1052">
        <f t="shared" si="243"/>
        <v>0</v>
      </c>
      <c r="CI395" s="1053">
        <f t="shared" si="243"/>
        <v>0</v>
      </c>
    </row>
    <row r="396" spans="2:87" x14ac:dyDescent="0.25">
      <c r="B396" s="1372"/>
      <c r="C396" s="1373" t="s">
        <v>698</v>
      </c>
      <c r="D396" s="1373"/>
      <c r="E396" s="1373" t="s">
        <v>146</v>
      </c>
      <c r="F396" s="1373">
        <v>2</v>
      </c>
      <c r="G396" s="1052">
        <f t="shared" si="242"/>
        <v>0</v>
      </c>
      <c r="H396" s="1052">
        <f t="shared" si="242"/>
        <v>0</v>
      </c>
      <c r="I396" s="1052">
        <f t="shared" si="242"/>
        <v>0</v>
      </c>
      <c r="J396" s="1052">
        <f t="shared" si="242"/>
        <v>0</v>
      </c>
      <c r="K396" s="1052">
        <f t="shared" si="242"/>
        <v>0</v>
      </c>
      <c r="L396" s="1052">
        <f t="shared" si="242"/>
        <v>0</v>
      </c>
      <c r="M396" s="1052">
        <f t="shared" si="242"/>
        <v>0</v>
      </c>
      <c r="N396" s="1052">
        <f t="shared" si="242"/>
        <v>0</v>
      </c>
      <c r="O396" s="1052">
        <f t="shared" si="242"/>
        <v>0</v>
      </c>
      <c r="P396" s="1052">
        <f t="shared" si="242"/>
        <v>0</v>
      </c>
      <c r="Q396" s="1052">
        <f t="shared" si="242"/>
        <v>0</v>
      </c>
      <c r="R396" s="1052">
        <f t="shared" si="242"/>
        <v>0</v>
      </c>
      <c r="S396" s="1052">
        <f t="shared" si="242"/>
        <v>0</v>
      </c>
      <c r="T396" s="1052">
        <f t="shared" si="242"/>
        <v>0</v>
      </c>
      <c r="U396" s="1052">
        <f t="shared" si="242"/>
        <v>0</v>
      </c>
      <c r="V396" s="1052">
        <f t="shared" si="242"/>
        <v>0</v>
      </c>
      <c r="W396" s="1052">
        <f t="shared" si="242"/>
        <v>0</v>
      </c>
      <c r="X396" s="1052">
        <f t="shared" si="242"/>
        <v>0</v>
      </c>
      <c r="Y396" s="1052">
        <f t="shared" si="242"/>
        <v>0</v>
      </c>
      <c r="Z396" s="1052">
        <f t="shared" si="242"/>
        <v>0</v>
      </c>
      <c r="AA396" s="1052">
        <f t="shared" si="242"/>
        <v>0</v>
      </c>
      <c r="AB396" s="1052">
        <f t="shared" si="242"/>
        <v>0</v>
      </c>
      <c r="AC396" s="1052">
        <f t="shared" si="242"/>
        <v>0</v>
      </c>
      <c r="AD396" s="1052">
        <f t="shared" si="242"/>
        <v>0</v>
      </c>
      <c r="AE396" s="1052">
        <f t="shared" si="242"/>
        <v>0</v>
      </c>
      <c r="AF396" s="1052">
        <f t="shared" si="242"/>
        <v>0</v>
      </c>
      <c r="AG396" s="1052">
        <f t="shared" si="242"/>
        <v>0</v>
      </c>
      <c r="AH396" s="1052">
        <f t="shared" si="242"/>
        <v>0</v>
      </c>
      <c r="AI396" s="1052">
        <f t="shared" si="242"/>
        <v>0</v>
      </c>
      <c r="AJ396" s="1052">
        <f t="shared" si="242"/>
        <v>0</v>
      </c>
      <c r="AK396" s="1052">
        <f t="shared" si="242"/>
        <v>0</v>
      </c>
      <c r="AL396" s="1052">
        <f t="shared" si="242"/>
        <v>0</v>
      </c>
      <c r="AM396" s="1052">
        <f t="shared" si="242"/>
        <v>0</v>
      </c>
      <c r="AN396" s="1052">
        <f t="shared" si="242"/>
        <v>0</v>
      </c>
      <c r="AO396" s="1052">
        <f t="shared" si="242"/>
        <v>0</v>
      </c>
      <c r="AP396" s="1052">
        <f t="shared" si="242"/>
        <v>0</v>
      </c>
      <c r="AQ396" s="1052">
        <f t="shared" si="242"/>
        <v>0</v>
      </c>
      <c r="AR396" s="1052">
        <f t="shared" si="242"/>
        <v>0</v>
      </c>
      <c r="AS396" s="1052">
        <f t="shared" si="242"/>
        <v>0</v>
      </c>
      <c r="AT396" s="1052">
        <f t="shared" si="242"/>
        <v>0</v>
      </c>
      <c r="AU396" s="1052">
        <f t="shared" si="242"/>
        <v>0</v>
      </c>
      <c r="AV396" s="1052">
        <f t="shared" si="242"/>
        <v>0</v>
      </c>
      <c r="AW396" s="1052">
        <f t="shared" si="242"/>
        <v>0</v>
      </c>
      <c r="AX396" s="1052">
        <f t="shared" si="242"/>
        <v>0</v>
      </c>
      <c r="AY396" s="1052">
        <f t="shared" si="242"/>
        <v>0</v>
      </c>
      <c r="AZ396" s="1052">
        <f t="shared" si="242"/>
        <v>0</v>
      </c>
      <c r="BA396" s="1052">
        <f t="shared" si="242"/>
        <v>0</v>
      </c>
      <c r="BB396" s="1052">
        <f t="shared" si="242"/>
        <v>0</v>
      </c>
      <c r="BC396" s="1052">
        <f t="shared" si="242"/>
        <v>0</v>
      </c>
      <c r="BD396" s="1052">
        <f t="shared" si="242"/>
        <v>0</v>
      </c>
      <c r="BE396" s="1052">
        <f t="shared" si="242"/>
        <v>0</v>
      </c>
      <c r="BF396" s="1052">
        <f t="shared" si="242"/>
        <v>0</v>
      </c>
      <c r="BG396" s="1052">
        <f t="shared" si="242"/>
        <v>0</v>
      </c>
      <c r="BH396" s="1052">
        <f t="shared" si="242"/>
        <v>0</v>
      </c>
      <c r="BI396" s="1052">
        <f t="shared" si="242"/>
        <v>0</v>
      </c>
      <c r="BJ396" s="1052">
        <f t="shared" si="242"/>
        <v>0</v>
      </c>
      <c r="BK396" s="1052">
        <f t="shared" si="242"/>
        <v>0</v>
      </c>
      <c r="BL396" s="1052">
        <f t="shared" si="242"/>
        <v>0</v>
      </c>
      <c r="BM396" s="1052">
        <f t="shared" si="242"/>
        <v>0</v>
      </c>
      <c r="BN396" s="1052">
        <f t="shared" si="242"/>
        <v>0</v>
      </c>
      <c r="BO396" s="1052">
        <f t="shared" si="242"/>
        <v>0</v>
      </c>
      <c r="BP396" s="1052">
        <f t="shared" si="242"/>
        <v>0</v>
      </c>
      <c r="BQ396" s="1052">
        <f t="shared" si="242"/>
        <v>0</v>
      </c>
      <c r="BR396" s="1052">
        <f t="shared" si="242"/>
        <v>0</v>
      </c>
      <c r="BS396" s="1052">
        <f t="shared" si="243"/>
        <v>0</v>
      </c>
      <c r="BT396" s="1052">
        <f t="shared" si="243"/>
        <v>0</v>
      </c>
      <c r="BU396" s="1052">
        <f t="shared" si="243"/>
        <v>0</v>
      </c>
      <c r="BV396" s="1052">
        <f t="shared" si="243"/>
        <v>0</v>
      </c>
      <c r="BW396" s="1052">
        <f t="shared" si="243"/>
        <v>0</v>
      </c>
      <c r="BX396" s="1052">
        <f t="shared" si="243"/>
        <v>0</v>
      </c>
      <c r="BY396" s="1052">
        <f t="shared" si="243"/>
        <v>0</v>
      </c>
      <c r="BZ396" s="1052">
        <f t="shared" si="243"/>
        <v>0</v>
      </c>
      <c r="CA396" s="1052">
        <f t="shared" si="243"/>
        <v>0</v>
      </c>
      <c r="CB396" s="1052">
        <f t="shared" si="243"/>
        <v>0</v>
      </c>
      <c r="CC396" s="1052">
        <f t="shared" si="243"/>
        <v>0</v>
      </c>
      <c r="CD396" s="1052">
        <f t="shared" si="243"/>
        <v>0</v>
      </c>
      <c r="CE396" s="1052">
        <f t="shared" si="243"/>
        <v>0</v>
      </c>
      <c r="CF396" s="1052">
        <f t="shared" si="243"/>
        <v>0</v>
      </c>
      <c r="CG396" s="1052">
        <f t="shared" si="243"/>
        <v>0</v>
      </c>
      <c r="CH396" s="1052">
        <f t="shared" si="243"/>
        <v>0</v>
      </c>
      <c r="CI396" s="1053">
        <f t="shared" si="243"/>
        <v>0</v>
      </c>
    </row>
    <row r="397" spans="2:87" x14ac:dyDescent="0.25">
      <c r="B397" s="1372"/>
      <c r="C397" s="1373" t="s">
        <v>699</v>
      </c>
      <c r="D397" s="1373"/>
      <c r="E397" s="1373" t="s">
        <v>146</v>
      </c>
      <c r="F397" s="1373">
        <v>2</v>
      </c>
      <c r="G397" s="1052">
        <f>G314+G316-G326-G327</f>
        <v>0</v>
      </c>
      <c r="H397" s="1052">
        <f t="shared" ref="H397:BS397" si="244">H314+H316-H326-H327</f>
        <v>0</v>
      </c>
      <c r="I397" s="1052">
        <f t="shared" si="244"/>
        <v>0</v>
      </c>
      <c r="J397" s="1052">
        <f t="shared" si="244"/>
        <v>0</v>
      </c>
      <c r="K397" s="1052">
        <f t="shared" si="244"/>
        <v>0</v>
      </c>
      <c r="L397" s="1052">
        <f t="shared" si="244"/>
        <v>0</v>
      </c>
      <c r="M397" s="1052">
        <f t="shared" si="244"/>
        <v>0</v>
      </c>
      <c r="N397" s="1052">
        <f t="shared" si="244"/>
        <v>0</v>
      </c>
      <c r="O397" s="1052">
        <f t="shared" si="244"/>
        <v>0</v>
      </c>
      <c r="P397" s="1052">
        <f t="shared" si="244"/>
        <v>0</v>
      </c>
      <c r="Q397" s="1052">
        <f t="shared" si="244"/>
        <v>0</v>
      </c>
      <c r="R397" s="1052">
        <f t="shared" si="244"/>
        <v>0</v>
      </c>
      <c r="S397" s="1052">
        <f t="shared" si="244"/>
        <v>0</v>
      </c>
      <c r="T397" s="1052">
        <f t="shared" si="244"/>
        <v>0</v>
      </c>
      <c r="U397" s="1052">
        <f t="shared" si="244"/>
        <v>0</v>
      </c>
      <c r="V397" s="1052">
        <f t="shared" si="244"/>
        <v>0</v>
      </c>
      <c r="W397" s="1052">
        <f t="shared" si="244"/>
        <v>0</v>
      </c>
      <c r="X397" s="1052">
        <f t="shared" si="244"/>
        <v>0</v>
      </c>
      <c r="Y397" s="1052">
        <f t="shared" si="244"/>
        <v>0</v>
      </c>
      <c r="Z397" s="1052">
        <f t="shared" si="244"/>
        <v>0</v>
      </c>
      <c r="AA397" s="1052">
        <f t="shared" si="244"/>
        <v>0</v>
      </c>
      <c r="AB397" s="1052">
        <f t="shared" si="244"/>
        <v>0</v>
      </c>
      <c r="AC397" s="1052">
        <f t="shared" si="244"/>
        <v>0</v>
      </c>
      <c r="AD397" s="1052">
        <f t="shared" si="244"/>
        <v>0</v>
      </c>
      <c r="AE397" s="1052">
        <f t="shared" si="244"/>
        <v>0</v>
      </c>
      <c r="AF397" s="1052">
        <f t="shared" si="244"/>
        <v>0</v>
      </c>
      <c r="AG397" s="1052">
        <f t="shared" si="244"/>
        <v>0</v>
      </c>
      <c r="AH397" s="1052">
        <f t="shared" si="244"/>
        <v>0</v>
      </c>
      <c r="AI397" s="1052">
        <f t="shared" si="244"/>
        <v>0</v>
      </c>
      <c r="AJ397" s="1052">
        <f t="shared" si="244"/>
        <v>0</v>
      </c>
      <c r="AK397" s="1052">
        <f t="shared" si="244"/>
        <v>0</v>
      </c>
      <c r="AL397" s="1052">
        <f t="shared" si="244"/>
        <v>0</v>
      </c>
      <c r="AM397" s="1052">
        <f t="shared" si="244"/>
        <v>0</v>
      </c>
      <c r="AN397" s="1052">
        <f t="shared" si="244"/>
        <v>0</v>
      </c>
      <c r="AO397" s="1052">
        <f t="shared" si="244"/>
        <v>0</v>
      </c>
      <c r="AP397" s="1052">
        <f t="shared" si="244"/>
        <v>0</v>
      </c>
      <c r="AQ397" s="1052">
        <f t="shared" si="244"/>
        <v>0</v>
      </c>
      <c r="AR397" s="1052">
        <f t="shared" si="244"/>
        <v>0</v>
      </c>
      <c r="AS397" s="1052">
        <f t="shared" si="244"/>
        <v>0</v>
      </c>
      <c r="AT397" s="1052">
        <f t="shared" si="244"/>
        <v>0</v>
      </c>
      <c r="AU397" s="1052">
        <f t="shared" si="244"/>
        <v>0</v>
      </c>
      <c r="AV397" s="1052">
        <f t="shared" si="244"/>
        <v>0</v>
      </c>
      <c r="AW397" s="1052">
        <f t="shared" si="244"/>
        <v>0</v>
      </c>
      <c r="AX397" s="1052">
        <f t="shared" si="244"/>
        <v>0</v>
      </c>
      <c r="AY397" s="1052">
        <f t="shared" si="244"/>
        <v>0</v>
      </c>
      <c r="AZ397" s="1052">
        <f t="shared" si="244"/>
        <v>0</v>
      </c>
      <c r="BA397" s="1052">
        <f t="shared" si="244"/>
        <v>0</v>
      </c>
      <c r="BB397" s="1052">
        <f t="shared" si="244"/>
        <v>0</v>
      </c>
      <c r="BC397" s="1052">
        <f t="shared" si="244"/>
        <v>0</v>
      </c>
      <c r="BD397" s="1052">
        <f t="shared" si="244"/>
        <v>0</v>
      </c>
      <c r="BE397" s="1052">
        <f t="shared" si="244"/>
        <v>0</v>
      </c>
      <c r="BF397" s="1052">
        <f t="shared" si="244"/>
        <v>0</v>
      </c>
      <c r="BG397" s="1052">
        <f t="shared" si="244"/>
        <v>0</v>
      </c>
      <c r="BH397" s="1052">
        <f t="shared" si="244"/>
        <v>0</v>
      </c>
      <c r="BI397" s="1052">
        <f t="shared" si="244"/>
        <v>0</v>
      </c>
      <c r="BJ397" s="1052">
        <f t="shared" si="244"/>
        <v>0</v>
      </c>
      <c r="BK397" s="1052">
        <f t="shared" si="244"/>
        <v>0</v>
      </c>
      <c r="BL397" s="1052">
        <f t="shared" si="244"/>
        <v>0</v>
      </c>
      <c r="BM397" s="1052">
        <f t="shared" si="244"/>
        <v>0</v>
      </c>
      <c r="BN397" s="1052">
        <f t="shared" si="244"/>
        <v>0</v>
      </c>
      <c r="BO397" s="1052">
        <f t="shared" si="244"/>
        <v>0</v>
      </c>
      <c r="BP397" s="1052">
        <f t="shared" si="244"/>
        <v>0</v>
      </c>
      <c r="BQ397" s="1052">
        <f t="shared" si="244"/>
        <v>0</v>
      </c>
      <c r="BR397" s="1052">
        <f t="shared" si="244"/>
        <v>0</v>
      </c>
      <c r="BS397" s="1052">
        <f t="shared" si="244"/>
        <v>0</v>
      </c>
      <c r="BT397" s="1052">
        <f t="shared" ref="BT397:CI397" si="245">BT314+BT316-BT326-BT327</f>
        <v>0</v>
      </c>
      <c r="BU397" s="1052">
        <f t="shared" si="245"/>
        <v>0</v>
      </c>
      <c r="BV397" s="1052">
        <f t="shared" si="245"/>
        <v>0</v>
      </c>
      <c r="BW397" s="1052">
        <f t="shared" si="245"/>
        <v>0</v>
      </c>
      <c r="BX397" s="1052">
        <f t="shared" si="245"/>
        <v>0</v>
      </c>
      <c r="BY397" s="1052">
        <f t="shared" si="245"/>
        <v>0</v>
      </c>
      <c r="BZ397" s="1052">
        <f t="shared" si="245"/>
        <v>0</v>
      </c>
      <c r="CA397" s="1052">
        <f t="shared" si="245"/>
        <v>0</v>
      </c>
      <c r="CB397" s="1052">
        <f t="shared" si="245"/>
        <v>0</v>
      </c>
      <c r="CC397" s="1052">
        <f t="shared" si="245"/>
        <v>0</v>
      </c>
      <c r="CD397" s="1052">
        <f t="shared" si="245"/>
        <v>0</v>
      </c>
      <c r="CE397" s="1052">
        <f t="shared" si="245"/>
        <v>0</v>
      </c>
      <c r="CF397" s="1052">
        <f t="shared" si="245"/>
        <v>0</v>
      </c>
      <c r="CG397" s="1052">
        <f t="shared" si="245"/>
        <v>0</v>
      </c>
      <c r="CH397" s="1052">
        <f t="shared" si="245"/>
        <v>0</v>
      </c>
      <c r="CI397" s="1053">
        <f t="shared" si="245"/>
        <v>0</v>
      </c>
    </row>
    <row r="398" spans="2:87" x14ac:dyDescent="0.25">
      <c r="B398" s="1372"/>
      <c r="C398" s="1373" t="s">
        <v>153</v>
      </c>
      <c r="D398" s="1373"/>
      <c r="E398" s="1373" t="s">
        <v>146</v>
      </c>
      <c r="F398" s="1373">
        <v>2</v>
      </c>
      <c r="G398" s="1052">
        <f>G332</f>
        <v>0</v>
      </c>
      <c r="H398" s="1052">
        <f t="shared" ref="H398:BS398" si="246">H332</f>
        <v>0</v>
      </c>
      <c r="I398" s="1052">
        <f t="shared" si="246"/>
        <v>0</v>
      </c>
      <c r="J398" s="1052">
        <f t="shared" si="246"/>
        <v>0</v>
      </c>
      <c r="K398" s="1052">
        <f t="shared" si="246"/>
        <v>0</v>
      </c>
      <c r="L398" s="1052">
        <f t="shared" si="246"/>
        <v>0</v>
      </c>
      <c r="M398" s="1052">
        <f t="shared" si="246"/>
        <v>0</v>
      </c>
      <c r="N398" s="1052">
        <f t="shared" si="246"/>
        <v>0</v>
      </c>
      <c r="O398" s="1052">
        <f t="shared" si="246"/>
        <v>0</v>
      </c>
      <c r="P398" s="1052">
        <f t="shared" si="246"/>
        <v>0</v>
      </c>
      <c r="Q398" s="1052">
        <f t="shared" si="246"/>
        <v>0</v>
      </c>
      <c r="R398" s="1052">
        <f t="shared" si="246"/>
        <v>0</v>
      </c>
      <c r="S398" s="1052">
        <f t="shared" si="246"/>
        <v>0</v>
      </c>
      <c r="T398" s="1052">
        <f t="shared" si="246"/>
        <v>0</v>
      </c>
      <c r="U398" s="1052">
        <f t="shared" si="246"/>
        <v>0</v>
      </c>
      <c r="V398" s="1052">
        <f t="shared" si="246"/>
        <v>0</v>
      </c>
      <c r="W398" s="1052">
        <f t="shared" si="246"/>
        <v>0</v>
      </c>
      <c r="X398" s="1052">
        <f t="shared" si="246"/>
        <v>0</v>
      </c>
      <c r="Y398" s="1052">
        <f t="shared" si="246"/>
        <v>0</v>
      </c>
      <c r="Z398" s="1052">
        <f t="shared" si="246"/>
        <v>0</v>
      </c>
      <c r="AA398" s="1052">
        <f t="shared" si="246"/>
        <v>0</v>
      </c>
      <c r="AB398" s="1052">
        <f t="shared" si="246"/>
        <v>0</v>
      </c>
      <c r="AC398" s="1052">
        <f t="shared" si="246"/>
        <v>0</v>
      </c>
      <c r="AD398" s="1052">
        <f t="shared" si="246"/>
        <v>0</v>
      </c>
      <c r="AE398" s="1052">
        <f t="shared" si="246"/>
        <v>0</v>
      </c>
      <c r="AF398" s="1052">
        <f t="shared" si="246"/>
        <v>0</v>
      </c>
      <c r="AG398" s="1052">
        <f t="shared" si="246"/>
        <v>0</v>
      </c>
      <c r="AH398" s="1052">
        <f t="shared" si="246"/>
        <v>0</v>
      </c>
      <c r="AI398" s="1052">
        <f t="shared" si="246"/>
        <v>0</v>
      </c>
      <c r="AJ398" s="1052">
        <f t="shared" si="246"/>
        <v>0</v>
      </c>
      <c r="AK398" s="1052">
        <f t="shared" si="246"/>
        <v>0</v>
      </c>
      <c r="AL398" s="1052">
        <f t="shared" si="246"/>
        <v>0</v>
      </c>
      <c r="AM398" s="1052">
        <f t="shared" si="246"/>
        <v>0</v>
      </c>
      <c r="AN398" s="1052">
        <f t="shared" si="246"/>
        <v>0</v>
      </c>
      <c r="AO398" s="1052">
        <f t="shared" si="246"/>
        <v>0</v>
      </c>
      <c r="AP398" s="1052">
        <f t="shared" si="246"/>
        <v>0</v>
      </c>
      <c r="AQ398" s="1052">
        <f t="shared" si="246"/>
        <v>0</v>
      </c>
      <c r="AR398" s="1052">
        <f t="shared" si="246"/>
        <v>0</v>
      </c>
      <c r="AS398" s="1052">
        <f t="shared" si="246"/>
        <v>0</v>
      </c>
      <c r="AT398" s="1052">
        <f t="shared" si="246"/>
        <v>0</v>
      </c>
      <c r="AU398" s="1052">
        <f t="shared" si="246"/>
        <v>0</v>
      </c>
      <c r="AV398" s="1052">
        <f t="shared" si="246"/>
        <v>0</v>
      </c>
      <c r="AW398" s="1052">
        <f t="shared" si="246"/>
        <v>0</v>
      </c>
      <c r="AX398" s="1052">
        <f t="shared" si="246"/>
        <v>0</v>
      </c>
      <c r="AY398" s="1052">
        <f t="shared" si="246"/>
        <v>0</v>
      </c>
      <c r="AZ398" s="1052">
        <f t="shared" si="246"/>
        <v>0</v>
      </c>
      <c r="BA398" s="1052">
        <f t="shared" si="246"/>
        <v>0</v>
      </c>
      <c r="BB398" s="1052">
        <f t="shared" si="246"/>
        <v>0</v>
      </c>
      <c r="BC398" s="1052">
        <f t="shared" si="246"/>
        <v>0</v>
      </c>
      <c r="BD398" s="1052">
        <f t="shared" si="246"/>
        <v>0</v>
      </c>
      <c r="BE398" s="1052">
        <f t="shared" si="246"/>
        <v>0</v>
      </c>
      <c r="BF398" s="1052">
        <f t="shared" si="246"/>
        <v>0</v>
      </c>
      <c r="BG398" s="1052">
        <f t="shared" si="246"/>
        <v>0</v>
      </c>
      <c r="BH398" s="1052">
        <f t="shared" si="246"/>
        <v>0</v>
      </c>
      <c r="BI398" s="1052">
        <f t="shared" si="246"/>
        <v>0</v>
      </c>
      <c r="BJ398" s="1052">
        <f t="shared" si="246"/>
        <v>0</v>
      </c>
      <c r="BK398" s="1052">
        <f t="shared" si="246"/>
        <v>0</v>
      </c>
      <c r="BL398" s="1052">
        <f t="shared" si="246"/>
        <v>0</v>
      </c>
      <c r="BM398" s="1052">
        <f t="shared" si="246"/>
        <v>0</v>
      </c>
      <c r="BN398" s="1052">
        <f t="shared" si="246"/>
        <v>0</v>
      </c>
      <c r="BO398" s="1052">
        <f t="shared" si="246"/>
        <v>0</v>
      </c>
      <c r="BP398" s="1052">
        <f t="shared" si="246"/>
        <v>0</v>
      </c>
      <c r="BQ398" s="1052">
        <f t="shared" si="246"/>
        <v>0</v>
      </c>
      <c r="BR398" s="1052">
        <f t="shared" si="246"/>
        <v>0</v>
      </c>
      <c r="BS398" s="1052">
        <f t="shared" si="246"/>
        <v>0</v>
      </c>
      <c r="BT398" s="1052">
        <f t="shared" ref="BT398:CI398" si="247">BT332</f>
        <v>0</v>
      </c>
      <c r="BU398" s="1052">
        <f t="shared" si="247"/>
        <v>0</v>
      </c>
      <c r="BV398" s="1052">
        <f t="shared" si="247"/>
        <v>0</v>
      </c>
      <c r="BW398" s="1052">
        <f t="shared" si="247"/>
        <v>0</v>
      </c>
      <c r="BX398" s="1052">
        <f t="shared" si="247"/>
        <v>0</v>
      </c>
      <c r="BY398" s="1052">
        <f t="shared" si="247"/>
        <v>0</v>
      </c>
      <c r="BZ398" s="1052">
        <f t="shared" si="247"/>
        <v>0</v>
      </c>
      <c r="CA398" s="1052">
        <f t="shared" si="247"/>
        <v>0</v>
      </c>
      <c r="CB398" s="1052">
        <f t="shared" si="247"/>
        <v>0</v>
      </c>
      <c r="CC398" s="1052">
        <f t="shared" si="247"/>
        <v>0</v>
      </c>
      <c r="CD398" s="1052">
        <f t="shared" si="247"/>
        <v>0</v>
      </c>
      <c r="CE398" s="1052">
        <f t="shared" si="247"/>
        <v>0</v>
      </c>
      <c r="CF398" s="1052">
        <f t="shared" si="247"/>
        <v>0</v>
      </c>
      <c r="CG398" s="1052">
        <f t="shared" si="247"/>
        <v>0</v>
      </c>
      <c r="CH398" s="1052">
        <f t="shared" si="247"/>
        <v>0</v>
      </c>
      <c r="CI398" s="1053">
        <f t="shared" si="247"/>
        <v>0</v>
      </c>
    </row>
    <row r="399" spans="2:87" x14ac:dyDescent="0.25">
      <c r="B399" s="1372"/>
      <c r="C399" s="1373" t="s">
        <v>700</v>
      </c>
      <c r="D399" s="1373"/>
      <c r="E399" s="1373" t="s">
        <v>146</v>
      </c>
      <c r="F399" s="1373">
        <v>2</v>
      </c>
      <c r="G399" s="1052">
        <f>G356-SUM(G395:G398)</f>
        <v>0</v>
      </c>
      <c r="H399" s="1052">
        <f t="shared" ref="H399:BS399" si="248">H356-SUM(H395:H398)</f>
        <v>0</v>
      </c>
      <c r="I399" s="1052">
        <f t="shared" si="248"/>
        <v>0</v>
      </c>
      <c r="J399" s="1052">
        <f t="shared" si="248"/>
        <v>0</v>
      </c>
      <c r="K399" s="1052">
        <f t="shared" si="248"/>
        <v>0</v>
      </c>
      <c r="L399" s="1052">
        <f t="shared" si="248"/>
        <v>0</v>
      </c>
      <c r="M399" s="1052">
        <f t="shared" si="248"/>
        <v>0</v>
      </c>
      <c r="N399" s="1052">
        <f t="shared" si="248"/>
        <v>0</v>
      </c>
      <c r="O399" s="1052">
        <f t="shared" si="248"/>
        <v>0</v>
      </c>
      <c r="P399" s="1052">
        <f t="shared" si="248"/>
        <v>0</v>
      </c>
      <c r="Q399" s="1052">
        <f t="shared" si="248"/>
        <v>0</v>
      </c>
      <c r="R399" s="1052">
        <f t="shared" si="248"/>
        <v>0</v>
      </c>
      <c r="S399" s="1052">
        <f t="shared" si="248"/>
        <v>0</v>
      </c>
      <c r="T399" s="1052">
        <f t="shared" si="248"/>
        <v>0</v>
      </c>
      <c r="U399" s="1052">
        <f t="shared" si="248"/>
        <v>0</v>
      </c>
      <c r="V399" s="1052">
        <f t="shared" si="248"/>
        <v>0</v>
      </c>
      <c r="W399" s="1052">
        <f t="shared" si="248"/>
        <v>0</v>
      </c>
      <c r="X399" s="1052">
        <f t="shared" si="248"/>
        <v>0</v>
      </c>
      <c r="Y399" s="1052">
        <f t="shared" si="248"/>
        <v>0</v>
      </c>
      <c r="Z399" s="1052">
        <f t="shared" si="248"/>
        <v>0</v>
      </c>
      <c r="AA399" s="1052">
        <f t="shared" si="248"/>
        <v>0</v>
      </c>
      <c r="AB399" s="1052">
        <f t="shared" si="248"/>
        <v>0</v>
      </c>
      <c r="AC399" s="1052">
        <f t="shared" si="248"/>
        <v>0</v>
      </c>
      <c r="AD399" s="1052">
        <f t="shared" si="248"/>
        <v>0</v>
      </c>
      <c r="AE399" s="1052">
        <f t="shared" si="248"/>
        <v>0</v>
      </c>
      <c r="AF399" s="1052">
        <f t="shared" si="248"/>
        <v>0</v>
      </c>
      <c r="AG399" s="1052">
        <f t="shared" si="248"/>
        <v>0</v>
      </c>
      <c r="AH399" s="1052">
        <f t="shared" si="248"/>
        <v>0</v>
      </c>
      <c r="AI399" s="1052">
        <f t="shared" si="248"/>
        <v>0</v>
      </c>
      <c r="AJ399" s="1052">
        <f t="shared" si="248"/>
        <v>0</v>
      </c>
      <c r="AK399" s="1052">
        <f t="shared" si="248"/>
        <v>0</v>
      </c>
      <c r="AL399" s="1052">
        <f t="shared" si="248"/>
        <v>0</v>
      </c>
      <c r="AM399" s="1052">
        <f t="shared" si="248"/>
        <v>0</v>
      </c>
      <c r="AN399" s="1052">
        <f t="shared" si="248"/>
        <v>0</v>
      </c>
      <c r="AO399" s="1052">
        <f t="shared" si="248"/>
        <v>0</v>
      </c>
      <c r="AP399" s="1052">
        <f t="shared" si="248"/>
        <v>0</v>
      </c>
      <c r="AQ399" s="1052">
        <f t="shared" si="248"/>
        <v>0</v>
      </c>
      <c r="AR399" s="1052">
        <f t="shared" si="248"/>
        <v>0</v>
      </c>
      <c r="AS399" s="1052">
        <f t="shared" si="248"/>
        <v>0</v>
      </c>
      <c r="AT399" s="1052">
        <f t="shared" si="248"/>
        <v>0</v>
      </c>
      <c r="AU399" s="1052">
        <f t="shared" si="248"/>
        <v>0</v>
      </c>
      <c r="AV399" s="1052">
        <f t="shared" si="248"/>
        <v>0</v>
      </c>
      <c r="AW399" s="1052">
        <f t="shared" si="248"/>
        <v>0</v>
      </c>
      <c r="AX399" s="1052">
        <f t="shared" si="248"/>
        <v>0</v>
      </c>
      <c r="AY399" s="1052">
        <f t="shared" si="248"/>
        <v>0</v>
      </c>
      <c r="AZ399" s="1052">
        <f t="shared" si="248"/>
        <v>0</v>
      </c>
      <c r="BA399" s="1052">
        <f t="shared" si="248"/>
        <v>0</v>
      </c>
      <c r="BB399" s="1052">
        <f t="shared" si="248"/>
        <v>0</v>
      </c>
      <c r="BC399" s="1052">
        <f t="shared" si="248"/>
        <v>0</v>
      </c>
      <c r="BD399" s="1052">
        <f t="shared" si="248"/>
        <v>0</v>
      </c>
      <c r="BE399" s="1052">
        <f t="shared" si="248"/>
        <v>0</v>
      </c>
      <c r="BF399" s="1052">
        <f t="shared" si="248"/>
        <v>0</v>
      </c>
      <c r="BG399" s="1052">
        <f t="shared" si="248"/>
        <v>0</v>
      </c>
      <c r="BH399" s="1052">
        <f t="shared" si="248"/>
        <v>0</v>
      </c>
      <c r="BI399" s="1052">
        <f t="shared" si="248"/>
        <v>0</v>
      </c>
      <c r="BJ399" s="1052">
        <f t="shared" si="248"/>
        <v>0</v>
      </c>
      <c r="BK399" s="1052">
        <f t="shared" si="248"/>
        <v>0</v>
      </c>
      <c r="BL399" s="1052">
        <f t="shared" si="248"/>
        <v>0</v>
      </c>
      <c r="BM399" s="1052">
        <f t="shared" si="248"/>
        <v>0</v>
      </c>
      <c r="BN399" s="1052">
        <f t="shared" si="248"/>
        <v>0</v>
      </c>
      <c r="BO399" s="1052">
        <f t="shared" si="248"/>
        <v>0</v>
      </c>
      <c r="BP399" s="1052">
        <f t="shared" si="248"/>
        <v>0</v>
      </c>
      <c r="BQ399" s="1052">
        <f t="shared" si="248"/>
        <v>0</v>
      </c>
      <c r="BR399" s="1052">
        <f t="shared" si="248"/>
        <v>0</v>
      </c>
      <c r="BS399" s="1052">
        <f t="shared" si="248"/>
        <v>0</v>
      </c>
      <c r="BT399" s="1052">
        <f t="shared" ref="BT399:CI399" si="249">BT356-SUM(BT395:BT398)</f>
        <v>0</v>
      </c>
      <c r="BU399" s="1052">
        <f t="shared" si="249"/>
        <v>0</v>
      </c>
      <c r="BV399" s="1052">
        <f t="shared" si="249"/>
        <v>0</v>
      </c>
      <c r="BW399" s="1052">
        <f t="shared" si="249"/>
        <v>0</v>
      </c>
      <c r="BX399" s="1052">
        <f t="shared" si="249"/>
        <v>0</v>
      </c>
      <c r="BY399" s="1052">
        <f t="shared" si="249"/>
        <v>0</v>
      </c>
      <c r="BZ399" s="1052">
        <f t="shared" si="249"/>
        <v>0</v>
      </c>
      <c r="CA399" s="1052">
        <f t="shared" si="249"/>
        <v>0</v>
      </c>
      <c r="CB399" s="1052">
        <f t="shared" si="249"/>
        <v>0</v>
      </c>
      <c r="CC399" s="1052">
        <f t="shared" si="249"/>
        <v>0</v>
      </c>
      <c r="CD399" s="1052">
        <f t="shared" si="249"/>
        <v>0</v>
      </c>
      <c r="CE399" s="1052">
        <f t="shared" si="249"/>
        <v>0</v>
      </c>
      <c r="CF399" s="1052">
        <f t="shared" si="249"/>
        <v>0</v>
      </c>
      <c r="CG399" s="1052">
        <f t="shared" si="249"/>
        <v>0</v>
      </c>
      <c r="CH399" s="1052">
        <f t="shared" si="249"/>
        <v>0</v>
      </c>
      <c r="CI399" s="1053">
        <f t="shared" si="249"/>
        <v>0</v>
      </c>
    </row>
    <row r="400" spans="2:87" x14ac:dyDescent="0.25">
      <c r="B400" s="1372"/>
      <c r="C400" s="1373" t="s">
        <v>701</v>
      </c>
      <c r="D400" s="1373"/>
      <c r="E400" s="1373" t="s">
        <v>146</v>
      </c>
      <c r="F400" s="1373">
        <v>2</v>
      </c>
      <c r="G400" s="1052">
        <f>G313</f>
        <v>0</v>
      </c>
      <c r="H400" s="1052">
        <f t="shared" ref="H400:BS400" si="250">H313</f>
        <v>0</v>
      </c>
      <c r="I400" s="1052">
        <f t="shared" si="250"/>
        <v>0</v>
      </c>
      <c r="J400" s="1052">
        <f t="shared" si="250"/>
        <v>0</v>
      </c>
      <c r="K400" s="1052">
        <f t="shared" si="250"/>
        <v>0</v>
      </c>
      <c r="L400" s="1052">
        <f t="shared" si="250"/>
        <v>0</v>
      </c>
      <c r="M400" s="1052">
        <f t="shared" si="250"/>
        <v>0</v>
      </c>
      <c r="N400" s="1052">
        <f t="shared" si="250"/>
        <v>0</v>
      </c>
      <c r="O400" s="1052">
        <f t="shared" si="250"/>
        <v>0</v>
      </c>
      <c r="P400" s="1052">
        <f t="shared" si="250"/>
        <v>0</v>
      </c>
      <c r="Q400" s="1052">
        <f t="shared" si="250"/>
        <v>0</v>
      </c>
      <c r="R400" s="1052">
        <f t="shared" si="250"/>
        <v>0</v>
      </c>
      <c r="S400" s="1052">
        <f t="shared" si="250"/>
        <v>0</v>
      </c>
      <c r="T400" s="1052">
        <f t="shared" si="250"/>
        <v>0</v>
      </c>
      <c r="U400" s="1052">
        <f t="shared" si="250"/>
        <v>0</v>
      </c>
      <c r="V400" s="1052">
        <f t="shared" si="250"/>
        <v>0</v>
      </c>
      <c r="W400" s="1052">
        <f t="shared" si="250"/>
        <v>0</v>
      </c>
      <c r="X400" s="1052">
        <f t="shared" si="250"/>
        <v>0</v>
      </c>
      <c r="Y400" s="1052">
        <f t="shared" si="250"/>
        <v>0</v>
      </c>
      <c r="Z400" s="1052">
        <f t="shared" si="250"/>
        <v>0</v>
      </c>
      <c r="AA400" s="1052">
        <f t="shared" si="250"/>
        <v>0</v>
      </c>
      <c r="AB400" s="1052">
        <f t="shared" si="250"/>
        <v>0</v>
      </c>
      <c r="AC400" s="1052">
        <f t="shared" si="250"/>
        <v>0</v>
      </c>
      <c r="AD400" s="1052">
        <f t="shared" si="250"/>
        <v>0</v>
      </c>
      <c r="AE400" s="1052">
        <f t="shared" si="250"/>
        <v>0</v>
      </c>
      <c r="AF400" s="1052">
        <f t="shared" si="250"/>
        <v>0</v>
      </c>
      <c r="AG400" s="1052">
        <f t="shared" si="250"/>
        <v>0</v>
      </c>
      <c r="AH400" s="1052">
        <f t="shared" si="250"/>
        <v>0</v>
      </c>
      <c r="AI400" s="1052">
        <f t="shared" si="250"/>
        <v>0</v>
      </c>
      <c r="AJ400" s="1052">
        <f t="shared" si="250"/>
        <v>0</v>
      </c>
      <c r="AK400" s="1052">
        <f t="shared" si="250"/>
        <v>0</v>
      </c>
      <c r="AL400" s="1052">
        <f t="shared" si="250"/>
        <v>0</v>
      </c>
      <c r="AM400" s="1052">
        <f t="shared" si="250"/>
        <v>0</v>
      </c>
      <c r="AN400" s="1052">
        <f t="shared" si="250"/>
        <v>0</v>
      </c>
      <c r="AO400" s="1052">
        <f t="shared" si="250"/>
        <v>0</v>
      </c>
      <c r="AP400" s="1052">
        <f t="shared" si="250"/>
        <v>0</v>
      </c>
      <c r="AQ400" s="1052">
        <f t="shared" si="250"/>
        <v>0</v>
      </c>
      <c r="AR400" s="1052">
        <f t="shared" si="250"/>
        <v>0</v>
      </c>
      <c r="AS400" s="1052">
        <f t="shared" si="250"/>
        <v>0</v>
      </c>
      <c r="AT400" s="1052">
        <f t="shared" si="250"/>
        <v>0</v>
      </c>
      <c r="AU400" s="1052">
        <f t="shared" si="250"/>
        <v>0</v>
      </c>
      <c r="AV400" s="1052">
        <f t="shared" si="250"/>
        <v>0</v>
      </c>
      <c r="AW400" s="1052">
        <f t="shared" si="250"/>
        <v>0</v>
      </c>
      <c r="AX400" s="1052">
        <f t="shared" si="250"/>
        <v>0</v>
      </c>
      <c r="AY400" s="1052">
        <f t="shared" si="250"/>
        <v>0</v>
      </c>
      <c r="AZ400" s="1052">
        <f t="shared" si="250"/>
        <v>0</v>
      </c>
      <c r="BA400" s="1052">
        <f t="shared" si="250"/>
        <v>0</v>
      </c>
      <c r="BB400" s="1052">
        <f t="shared" si="250"/>
        <v>0</v>
      </c>
      <c r="BC400" s="1052">
        <f t="shared" si="250"/>
        <v>0</v>
      </c>
      <c r="BD400" s="1052">
        <f t="shared" si="250"/>
        <v>0</v>
      </c>
      <c r="BE400" s="1052">
        <f t="shared" si="250"/>
        <v>0</v>
      </c>
      <c r="BF400" s="1052">
        <f t="shared" si="250"/>
        <v>0</v>
      </c>
      <c r="BG400" s="1052">
        <f t="shared" si="250"/>
        <v>0</v>
      </c>
      <c r="BH400" s="1052">
        <f t="shared" si="250"/>
        <v>0</v>
      </c>
      <c r="BI400" s="1052">
        <f t="shared" si="250"/>
        <v>0</v>
      </c>
      <c r="BJ400" s="1052">
        <f t="shared" si="250"/>
        <v>0</v>
      </c>
      <c r="BK400" s="1052">
        <f t="shared" si="250"/>
        <v>0</v>
      </c>
      <c r="BL400" s="1052">
        <f t="shared" si="250"/>
        <v>0</v>
      </c>
      <c r="BM400" s="1052">
        <f t="shared" si="250"/>
        <v>0</v>
      </c>
      <c r="BN400" s="1052">
        <f t="shared" si="250"/>
        <v>0</v>
      </c>
      <c r="BO400" s="1052">
        <f t="shared" si="250"/>
        <v>0</v>
      </c>
      <c r="BP400" s="1052">
        <f t="shared" si="250"/>
        <v>0</v>
      </c>
      <c r="BQ400" s="1052">
        <f t="shared" si="250"/>
        <v>0</v>
      </c>
      <c r="BR400" s="1052">
        <f t="shared" si="250"/>
        <v>0</v>
      </c>
      <c r="BS400" s="1052">
        <f t="shared" si="250"/>
        <v>0</v>
      </c>
      <c r="BT400" s="1052">
        <f t="shared" ref="BT400:CI400" si="251">BT313</f>
        <v>0</v>
      </c>
      <c r="BU400" s="1052">
        <f t="shared" si="251"/>
        <v>0</v>
      </c>
      <c r="BV400" s="1052">
        <f t="shared" si="251"/>
        <v>0</v>
      </c>
      <c r="BW400" s="1052">
        <f t="shared" si="251"/>
        <v>0</v>
      </c>
      <c r="BX400" s="1052">
        <f t="shared" si="251"/>
        <v>0</v>
      </c>
      <c r="BY400" s="1052">
        <f t="shared" si="251"/>
        <v>0</v>
      </c>
      <c r="BZ400" s="1052">
        <f t="shared" si="251"/>
        <v>0</v>
      </c>
      <c r="CA400" s="1052">
        <f t="shared" si="251"/>
        <v>0</v>
      </c>
      <c r="CB400" s="1052">
        <f t="shared" si="251"/>
        <v>0</v>
      </c>
      <c r="CC400" s="1052">
        <f t="shared" si="251"/>
        <v>0</v>
      </c>
      <c r="CD400" s="1052">
        <f t="shared" si="251"/>
        <v>0</v>
      </c>
      <c r="CE400" s="1052">
        <f t="shared" si="251"/>
        <v>0</v>
      </c>
      <c r="CF400" s="1052">
        <f t="shared" si="251"/>
        <v>0</v>
      </c>
      <c r="CG400" s="1052">
        <f t="shared" si="251"/>
        <v>0</v>
      </c>
      <c r="CH400" s="1052">
        <f t="shared" si="251"/>
        <v>0</v>
      </c>
      <c r="CI400" s="1053">
        <f t="shared" si="251"/>
        <v>0</v>
      </c>
    </row>
    <row r="401" spans="2:87" x14ac:dyDescent="0.25">
      <c r="B401" s="1372"/>
      <c r="C401" s="1373" t="s">
        <v>702</v>
      </c>
      <c r="D401" s="1373"/>
      <c r="E401" s="1373" t="s">
        <v>146</v>
      </c>
      <c r="F401" s="1373">
        <v>2</v>
      </c>
      <c r="G401" s="1052">
        <f>SUM(G395:G399)+G359</f>
        <v>0</v>
      </c>
      <c r="H401" s="1052">
        <f t="shared" ref="H401:BS401" si="252">SUM(H395:H399)+H359</f>
        <v>0</v>
      </c>
      <c r="I401" s="1052">
        <f t="shared" si="252"/>
        <v>0</v>
      </c>
      <c r="J401" s="1052">
        <f t="shared" si="252"/>
        <v>0</v>
      </c>
      <c r="K401" s="1052">
        <f t="shared" si="252"/>
        <v>0</v>
      </c>
      <c r="L401" s="1052">
        <f t="shared" si="252"/>
        <v>0</v>
      </c>
      <c r="M401" s="1052">
        <f t="shared" si="252"/>
        <v>0</v>
      </c>
      <c r="N401" s="1052">
        <f t="shared" si="252"/>
        <v>0</v>
      </c>
      <c r="O401" s="1052">
        <f t="shared" si="252"/>
        <v>0</v>
      </c>
      <c r="P401" s="1052">
        <f t="shared" si="252"/>
        <v>0</v>
      </c>
      <c r="Q401" s="1052">
        <f t="shared" si="252"/>
        <v>0</v>
      </c>
      <c r="R401" s="1052">
        <f t="shared" si="252"/>
        <v>0</v>
      </c>
      <c r="S401" s="1052">
        <f t="shared" si="252"/>
        <v>0</v>
      </c>
      <c r="T401" s="1052">
        <f t="shared" si="252"/>
        <v>0</v>
      </c>
      <c r="U401" s="1052">
        <f t="shared" si="252"/>
        <v>0</v>
      </c>
      <c r="V401" s="1052">
        <f t="shared" si="252"/>
        <v>0</v>
      </c>
      <c r="W401" s="1052">
        <f t="shared" si="252"/>
        <v>0</v>
      </c>
      <c r="X401" s="1052">
        <f t="shared" si="252"/>
        <v>0</v>
      </c>
      <c r="Y401" s="1052">
        <f t="shared" si="252"/>
        <v>0</v>
      </c>
      <c r="Z401" s="1052">
        <f t="shared" si="252"/>
        <v>0</v>
      </c>
      <c r="AA401" s="1052">
        <f t="shared" si="252"/>
        <v>0</v>
      </c>
      <c r="AB401" s="1052">
        <f t="shared" si="252"/>
        <v>0</v>
      </c>
      <c r="AC401" s="1052">
        <f t="shared" si="252"/>
        <v>0</v>
      </c>
      <c r="AD401" s="1052">
        <f t="shared" si="252"/>
        <v>0</v>
      </c>
      <c r="AE401" s="1052">
        <f t="shared" si="252"/>
        <v>0</v>
      </c>
      <c r="AF401" s="1052">
        <f t="shared" si="252"/>
        <v>0</v>
      </c>
      <c r="AG401" s="1052">
        <f t="shared" si="252"/>
        <v>0</v>
      </c>
      <c r="AH401" s="1052">
        <f t="shared" si="252"/>
        <v>0</v>
      </c>
      <c r="AI401" s="1052">
        <f t="shared" si="252"/>
        <v>0</v>
      </c>
      <c r="AJ401" s="1052">
        <f t="shared" si="252"/>
        <v>0</v>
      </c>
      <c r="AK401" s="1052">
        <f t="shared" si="252"/>
        <v>0</v>
      </c>
      <c r="AL401" s="1052">
        <f t="shared" si="252"/>
        <v>0</v>
      </c>
      <c r="AM401" s="1052">
        <f t="shared" si="252"/>
        <v>0</v>
      </c>
      <c r="AN401" s="1052">
        <f t="shared" si="252"/>
        <v>0</v>
      </c>
      <c r="AO401" s="1052">
        <f t="shared" si="252"/>
        <v>0</v>
      </c>
      <c r="AP401" s="1052">
        <f t="shared" si="252"/>
        <v>0</v>
      </c>
      <c r="AQ401" s="1052">
        <f t="shared" si="252"/>
        <v>0</v>
      </c>
      <c r="AR401" s="1052">
        <f t="shared" si="252"/>
        <v>0</v>
      </c>
      <c r="AS401" s="1052">
        <f t="shared" si="252"/>
        <v>0</v>
      </c>
      <c r="AT401" s="1052">
        <f t="shared" si="252"/>
        <v>0</v>
      </c>
      <c r="AU401" s="1052">
        <f t="shared" si="252"/>
        <v>0</v>
      </c>
      <c r="AV401" s="1052">
        <f t="shared" si="252"/>
        <v>0</v>
      </c>
      <c r="AW401" s="1052">
        <f t="shared" si="252"/>
        <v>0</v>
      </c>
      <c r="AX401" s="1052">
        <f t="shared" si="252"/>
        <v>0</v>
      </c>
      <c r="AY401" s="1052">
        <f t="shared" si="252"/>
        <v>0</v>
      </c>
      <c r="AZ401" s="1052">
        <f t="shared" si="252"/>
        <v>0</v>
      </c>
      <c r="BA401" s="1052">
        <f t="shared" si="252"/>
        <v>0</v>
      </c>
      <c r="BB401" s="1052">
        <f t="shared" si="252"/>
        <v>0</v>
      </c>
      <c r="BC401" s="1052">
        <f t="shared" si="252"/>
        <v>0</v>
      </c>
      <c r="BD401" s="1052">
        <f t="shared" si="252"/>
        <v>0</v>
      </c>
      <c r="BE401" s="1052">
        <f t="shared" si="252"/>
        <v>0</v>
      </c>
      <c r="BF401" s="1052">
        <f t="shared" si="252"/>
        <v>0</v>
      </c>
      <c r="BG401" s="1052">
        <f t="shared" si="252"/>
        <v>0</v>
      </c>
      <c r="BH401" s="1052">
        <f t="shared" si="252"/>
        <v>0</v>
      </c>
      <c r="BI401" s="1052">
        <f t="shared" si="252"/>
        <v>0</v>
      </c>
      <c r="BJ401" s="1052">
        <f t="shared" si="252"/>
        <v>0</v>
      </c>
      <c r="BK401" s="1052">
        <f t="shared" si="252"/>
        <v>0</v>
      </c>
      <c r="BL401" s="1052">
        <f t="shared" si="252"/>
        <v>0</v>
      </c>
      <c r="BM401" s="1052">
        <f t="shared" si="252"/>
        <v>0</v>
      </c>
      <c r="BN401" s="1052">
        <f t="shared" si="252"/>
        <v>0</v>
      </c>
      <c r="BO401" s="1052">
        <f t="shared" si="252"/>
        <v>0</v>
      </c>
      <c r="BP401" s="1052">
        <f t="shared" si="252"/>
        <v>0</v>
      </c>
      <c r="BQ401" s="1052">
        <f t="shared" si="252"/>
        <v>0</v>
      </c>
      <c r="BR401" s="1052">
        <f t="shared" si="252"/>
        <v>0</v>
      </c>
      <c r="BS401" s="1052">
        <f t="shared" si="252"/>
        <v>0</v>
      </c>
      <c r="BT401" s="1052">
        <f t="shared" ref="BT401:CI401" si="253">SUM(BT395:BT399)+BT359</f>
        <v>0</v>
      </c>
      <c r="BU401" s="1052">
        <f t="shared" si="253"/>
        <v>0</v>
      </c>
      <c r="BV401" s="1052">
        <f t="shared" si="253"/>
        <v>0</v>
      </c>
      <c r="BW401" s="1052">
        <f t="shared" si="253"/>
        <v>0</v>
      </c>
      <c r="BX401" s="1052">
        <f t="shared" si="253"/>
        <v>0</v>
      </c>
      <c r="BY401" s="1052">
        <f t="shared" si="253"/>
        <v>0</v>
      </c>
      <c r="BZ401" s="1052">
        <f t="shared" si="253"/>
        <v>0</v>
      </c>
      <c r="CA401" s="1052">
        <f t="shared" si="253"/>
        <v>0</v>
      </c>
      <c r="CB401" s="1052">
        <f t="shared" si="253"/>
        <v>0</v>
      </c>
      <c r="CC401" s="1052">
        <f t="shared" si="253"/>
        <v>0</v>
      </c>
      <c r="CD401" s="1052">
        <f t="shared" si="253"/>
        <v>0</v>
      </c>
      <c r="CE401" s="1052">
        <f t="shared" si="253"/>
        <v>0</v>
      </c>
      <c r="CF401" s="1052">
        <f t="shared" si="253"/>
        <v>0</v>
      </c>
      <c r="CG401" s="1052">
        <f t="shared" si="253"/>
        <v>0</v>
      </c>
      <c r="CH401" s="1052">
        <f t="shared" si="253"/>
        <v>0</v>
      </c>
      <c r="CI401" s="1053">
        <f t="shared" si="253"/>
        <v>0</v>
      </c>
    </row>
    <row r="402" spans="2:87" ht="14.4" thickBot="1" x14ac:dyDescent="0.3">
      <c r="B402" s="1375"/>
      <c r="C402" s="1376"/>
      <c r="D402" s="1376"/>
      <c r="E402" s="1376"/>
      <c r="F402" s="1376"/>
      <c r="G402" s="1376"/>
      <c r="H402" s="1376"/>
      <c r="I402" s="1376"/>
      <c r="J402" s="1376"/>
      <c r="K402" s="1376"/>
      <c r="L402" s="1376"/>
      <c r="M402" s="1376"/>
      <c r="N402" s="1376"/>
      <c r="O402" s="1376"/>
      <c r="P402" s="1376"/>
      <c r="Q402" s="1376"/>
      <c r="R402" s="1376"/>
      <c r="S402" s="1376"/>
      <c r="T402" s="1376"/>
      <c r="U402" s="1376"/>
      <c r="V402" s="1376"/>
      <c r="W402" s="1376"/>
      <c r="X402" s="1376"/>
      <c r="Y402" s="1376"/>
      <c r="Z402" s="1376"/>
      <c r="AA402" s="1376"/>
      <c r="AB402" s="1376"/>
      <c r="AC402" s="1376"/>
      <c r="AD402" s="1376"/>
      <c r="AE402" s="1376"/>
      <c r="AF402" s="1376"/>
      <c r="AG402" s="1376"/>
      <c r="AH402" s="1376"/>
      <c r="AI402" s="1376"/>
      <c r="AJ402" s="1376"/>
      <c r="AK402" s="1376"/>
      <c r="AL402" s="1376"/>
      <c r="AM402" s="1376"/>
      <c r="AN402" s="1376"/>
      <c r="AO402" s="1376"/>
      <c r="AP402" s="1376"/>
      <c r="AQ402" s="1376"/>
      <c r="AR402" s="1376"/>
      <c r="AS402" s="1376"/>
      <c r="AT402" s="1376"/>
      <c r="AU402" s="1376"/>
      <c r="AV402" s="1376"/>
      <c r="AW402" s="1376"/>
      <c r="AX402" s="1376"/>
      <c r="AY402" s="1376"/>
      <c r="AZ402" s="1376"/>
      <c r="BA402" s="1376"/>
      <c r="BB402" s="1376"/>
      <c r="BC402" s="1376"/>
      <c r="BD402" s="1376"/>
      <c r="BE402" s="1376"/>
      <c r="BF402" s="1376"/>
      <c r="BG402" s="1376"/>
      <c r="BH402" s="1376"/>
      <c r="BI402" s="1376"/>
      <c r="BJ402" s="1376"/>
      <c r="BK402" s="1376"/>
      <c r="BL402" s="1376"/>
      <c r="BM402" s="1376"/>
      <c r="BN402" s="1376"/>
      <c r="BO402" s="1376"/>
      <c r="BP402" s="1376"/>
      <c r="BQ402" s="1376"/>
      <c r="BR402" s="1376"/>
      <c r="BS402" s="1376"/>
      <c r="BT402" s="1376"/>
      <c r="BU402" s="1376"/>
      <c r="BV402" s="1376"/>
      <c r="BW402" s="1376"/>
      <c r="BX402" s="1376"/>
      <c r="BY402" s="1376"/>
      <c r="BZ402" s="1376"/>
      <c r="CA402" s="1376"/>
      <c r="CB402" s="1376"/>
      <c r="CC402" s="1376"/>
      <c r="CD402" s="1376"/>
      <c r="CE402" s="1376"/>
      <c r="CF402" s="1376"/>
      <c r="CG402" s="1376"/>
      <c r="CH402" s="1376"/>
      <c r="CI402" s="1377"/>
    </row>
  </sheetData>
  <conditionalFormatting sqref="B277 D277:E277 B280 D280:E280">
    <cfRule type="expression" dxfId="102" priority="60">
      <formula>ISNA(B277)</formula>
    </cfRule>
    <cfRule type="expression" dxfId="101" priority="59">
      <formula>ERROR.TYPE(B277)=2</formula>
    </cfRule>
    <cfRule type="expression" dxfId="100" priority="58">
      <formula>"error.type(c3)=5"</formula>
    </cfRule>
  </conditionalFormatting>
  <conditionalFormatting sqref="B282:B287 D282:E287">
    <cfRule type="expression" dxfId="99" priority="8">
      <formula>"error.type(c3)=5"</formula>
    </cfRule>
    <cfRule type="expression" dxfId="98" priority="9">
      <formula>ERROR.TYPE(B282)=2</formula>
    </cfRule>
    <cfRule type="expression" dxfId="97" priority="10">
      <formula>ISNA(B282)</formula>
    </cfRule>
  </conditionalFormatting>
  <conditionalFormatting sqref="B293 D293:E293 B299 D299:E299 B300:E300">
    <cfRule type="expression" dxfId="96" priority="104">
      <formula>ERROR.TYPE(B293)=2</formula>
    </cfRule>
    <cfRule type="expression" dxfId="95" priority="103">
      <formula>"error.type(c3)=5"</formula>
    </cfRule>
    <cfRule type="expression" dxfId="94" priority="105">
      <formula>ISNA(B293)</formula>
    </cfRule>
  </conditionalFormatting>
  <conditionalFormatting sqref="B95:E99">
    <cfRule type="expression" dxfId="93" priority="112">
      <formula>"error.type(c3)=5"</formula>
    </cfRule>
    <cfRule type="expression" dxfId="92" priority="114">
      <formula>ISNA(B95)</formula>
    </cfRule>
    <cfRule type="expression" dxfId="91" priority="113">
      <formula>ERROR.TYPE(B95)=2</formula>
    </cfRule>
  </conditionalFormatting>
  <conditionalFormatting sqref="B101:E106">
    <cfRule type="expression" dxfId="90" priority="11">
      <formula>"error.type(c3)=5"</formula>
    </cfRule>
    <cfRule type="expression" dxfId="89" priority="12">
      <formula>ERROR.TYPE(B101)=2</formula>
    </cfRule>
    <cfRule type="expression" dxfId="88" priority="13">
      <formula>ISNA(B101)</formula>
    </cfRule>
  </conditionalFormatting>
  <conditionalFormatting sqref="B112:E112 B118:E119 B276:E276 B278:E279">
    <cfRule type="expression" dxfId="87" priority="159">
      <formula>ISNA(B112)</formula>
    </cfRule>
    <cfRule type="expression" dxfId="86" priority="157">
      <formula>"error.type(c3)=5"</formula>
    </cfRule>
    <cfRule type="expression" dxfId="85" priority="158">
      <formula>ERROR.TYPE(B112)=2</formula>
    </cfRule>
  </conditionalFormatting>
  <conditionalFormatting sqref="C31">
    <cfRule type="expression" dxfId="84" priority="34">
      <formula>"error.type(c3)=5"</formula>
    </cfRule>
    <cfRule type="expression" dxfId="83" priority="36">
      <formula>ISNA(C31)</formula>
    </cfRule>
    <cfRule type="expression" dxfId="82" priority="35">
      <formula>ERROR.TYPE(C31)=2</formula>
    </cfRule>
  </conditionalFormatting>
  <conditionalFormatting sqref="C33:C40">
    <cfRule type="expression" dxfId="81" priority="136">
      <formula>"error.type(c3)=5"</formula>
    </cfRule>
    <cfRule type="expression" dxfId="80" priority="137">
      <formula>ERROR.TYPE(C33)=2</formula>
    </cfRule>
    <cfRule type="expression" dxfId="79" priority="138">
      <formula>ISNA(C33)</formula>
    </cfRule>
  </conditionalFormatting>
  <conditionalFormatting sqref="C43:C49">
    <cfRule type="expression" dxfId="78" priority="151">
      <formula>"error.type(c3)=5"</formula>
    </cfRule>
    <cfRule type="expression" dxfId="77" priority="152">
      <formula>ERROR.TYPE(C43)=2</formula>
    </cfRule>
    <cfRule type="expression" dxfId="76" priority="153">
      <formula>ISNA(C43)</formula>
    </cfRule>
  </conditionalFormatting>
  <conditionalFormatting sqref="C56:C59">
    <cfRule type="expression" dxfId="75" priority="146">
      <formula>ERROR.TYPE(C56)=2</formula>
    </cfRule>
    <cfRule type="expression" dxfId="74" priority="145">
      <formula>"error.type(c3)=5"</formula>
    </cfRule>
    <cfRule type="expression" dxfId="73" priority="147">
      <formula>ISNA(C56)</formula>
    </cfRule>
  </conditionalFormatting>
  <conditionalFormatting sqref="C64">
    <cfRule type="expression" dxfId="72" priority="144">
      <formula>ISNA(C64)</formula>
    </cfRule>
    <cfRule type="expression" dxfId="71" priority="143">
      <formula>ERROR.TYPE(C64)=2</formula>
    </cfRule>
    <cfRule type="expression" dxfId="70" priority="142">
      <formula>"error.type(c3)=5"</formula>
    </cfRule>
  </conditionalFormatting>
  <conditionalFormatting sqref="C78">
    <cfRule type="expression" dxfId="69" priority="139">
      <formula>"error.type(c3)=5"</formula>
    </cfRule>
    <cfRule type="expression" dxfId="68" priority="141">
      <formula>ISNA(C78)</formula>
    </cfRule>
    <cfRule type="expression" dxfId="67" priority="140">
      <formula>ERROR.TYPE(C78)=2</formula>
    </cfRule>
  </conditionalFormatting>
  <conditionalFormatting sqref="C128:C130">
    <cfRule type="expression" dxfId="66" priority="31">
      <formula>"error.type(c3)=5"</formula>
    </cfRule>
    <cfRule type="expression" dxfId="65" priority="33">
      <formula>ISNA(C128)</formula>
    </cfRule>
    <cfRule type="expression" dxfId="64" priority="32">
      <formula>ERROR.TYPE(C128)=2</formula>
    </cfRule>
  </conditionalFormatting>
  <conditionalFormatting sqref="C134:C139">
    <cfRule type="expression" dxfId="63" priority="23">
      <formula>ERROR.TYPE(C134)=2</formula>
    </cfRule>
    <cfRule type="expression" dxfId="62" priority="22">
      <formula>"error.type(c3)=5"</formula>
    </cfRule>
    <cfRule type="expression" dxfId="61" priority="24">
      <formula>ISNA(C134)</formula>
    </cfRule>
  </conditionalFormatting>
  <conditionalFormatting sqref="C146:C149">
    <cfRule type="expression" dxfId="60" priority="126">
      <formula>ISNA(C146)</formula>
    </cfRule>
    <cfRule type="expression" dxfId="59" priority="125">
      <formula>ERROR.TYPE(C146)=2</formula>
    </cfRule>
    <cfRule type="expression" dxfId="58" priority="124">
      <formula>"error.type(c3)=5"</formula>
    </cfRule>
  </conditionalFormatting>
  <conditionalFormatting sqref="C154">
    <cfRule type="expression" dxfId="57" priority="121">
      <formula>"error.type(c3)=5"</formula>
    </cfRule>
    <cfRule type="expression" dxfId="56" priority="123">
      <formula>ISNA(C154)</formula>
    </cfRule>
    <cfRule type="expression" dxfId="55" priority="122">
      <formula>ERROR.TYPE(C154)=2</formula>
    </cfRule>
  </conditionalFormatting>
  <conditionalFormatting sqref="C168">
    <cfRule type="expression" dxfId="54" priority="120">
      <formula>ISNA(C168)</formula>
    </cfRule>
    <cfRule type="expression" dxfId="53" priority="118">
      <formula>"error.type(c3)=5"</formula>
    </cfRule>
    <cfRule type="expression" dxfId="52" priority="119">
      <formula>ERROR.TYPE(C168)=2</formula>
    </cfRule>
  </conditionalFormatting>
  <conditionalFormatting sqref="C212">
    <cfRule type="expression" dxfId="51" priority="29">
      <formula>ERROR.TYPE(C212)=2</formula>
    </cfRule>
    <cfRule type="expression" dxfId="50" priority="30">
      <formula>ISNA(C212)</formula>
    </cfRule>
    <cfRule type="expression" dxfId="49" priority="28">
      <formula>"error.type(c3)=5"</formula>
    </cfRule>
  </conditionalFormatting>
  <conditionalFormatting sqref="C214:C221">
    <cfRule type="expression" dxfId="48" priority="38">
      <formula>ERROR.TYPE(C214)=2</formula>
    </cfRule>
    <cfRule type="expression" dxfId="47" priority="37">
      <formula>"error.type(c3)=5"</formula>
    </cfRule>
    <cfRule type="expression" dxfId="46" priority="39">
      <formula>ISNA(C214)</formula>
    </cfRule>
  </conditionalFormatting>
  <conditionalFormatting sqref="C225:C230">
    <cfRule type="expression" dxfId="45" priority="20">
      <formula>ERROR.TYPE(C225)=2</formula>
    </cfRule>
    <cfRule type="expression" dxfId="44" priority="19">
      <formula>"error.type(c3)=5"</formula>
    </cfRule>
    <cfRule type="expression" dxfId="43" priority="21">
      <formula>ISNA(C225)</formula>
    </cfRule>
  </conditionalFormatting>
  <conditionalFormatting sqref="C237:C240">
    <cfRule type="expression" dxfId="42" priority="91">
      <formula>"error.type(c3)=5"</formula>
    </cfRule>
    <cfRule type="expression" dxfId="41" priority="92">
      <formula>ERROR.TYPE(C237)=2</formula>
    </cfRule>
    <cfRule type="expression" dxfId="40" priority="93">
      <formula>ISNA(C237)</formula>
    </cfRule>
  </conditionalFormatting>
  <conditionalFormatting sqref="C245">
    <cfRule type="expression" dxfId="39" priority="88">
      <formula>"error.type(c3)=5"</formula>
    </cfRule>
    <cfRule type="expression" dxfId="38" priority="90">
      <formula>ISNA(C245)</formula>
    </cfRule>
    <cfRule type="expression" dxfId="37" priority="89">
      <formula>ERROR.TYPE(C245)=2</formula>
    </cfRule>
  </conditionalFormatting>
  <conditionalFormatting sqref="C259">
    <cfRule type="expression" dxfId="36" priority="87">
      <formula>ISNA(C259)</formula>
    </cfRule>
    <cfRule type="expression" dxfId="35" priority="85">
      <formula>"error.type(c3)=5"</formula>
    </cfRule>
    <cfRule type="expression" dxfId="34" priority="86">
      <formula>ERROR.TYPE(C259)=2</formula>
    </cfRule>
  </conditionalFormatting>
  <conditionalFormatting sqref="C277 C280">
    <cfRule type="expression" dxfId="33" priority="46">
      <formula>"error.type(c3)=5"</formula>
    </cfRule>
    <cfRule type="expression" dxfId="32" priority="47">
      <formula>ERROR.TYPE(C277)=2</formula>
    </cfRule>
    <cfRule type="expression" dxfId="31" priority="48">
      <formula>ISNA(C277)</formula>
    </cfRule>
  </conditionalFormatting>
  <conditionalFormatting sqref="C282:C287">
    <cfRule type="expression" dxfId="30" priority="5">
      <formula>"error.type(c3)=5"</formula>
    </cfRule>
    <cfRule type="expression" dxfId="29" priority="6">
      <formula>ERROR.TYPE(C282)=2</formula>
    </cfRule>
    <cfRule type="expression" dxfId="28" priority="7">
      <formula>ISNA(C282)</formula>
    </cfRule>
  </conditionalFormatting>
  <conditionalFormatting sqref="C293 C299">
    <cfRule type="expression" dxfId="27" priority="50">
      <formula>ERROR.TYPE(C293)=2</formula>
    </cfRule>
    <cfRule type="expression" dxfId="26" priority="49">
      <formula>"error.type(c3)=5"</formula>
    </cfRule>
    <cfRule type="expression" dxfId="25" priority="51">
      <formula>ISNA(C293)</formula>
    </cfRule>
  </conditionalFormatting>
  <conditionalFormatting sqref="C309:C311">
    <cfRule type="expression" dxfId="24" priority="27">
      <formula>ISNA(C309)</formula>
    </cfRule>
    <cfRule type="expression" dxfId="23" priority="26">
      <formula>ERROR.TYPE(C309)=2</formula>
    </cfRule>
    <cfRule type="expression" dxfId="22" priority="25">
      <formula>"error.type(c3)=5"</formula>
    </cfRule>
  </conditionalFormatting>
  <conditionalFormatting sqref="C315:C320">
    <cfRule type="expression" dxfId="21" priority="18">
      <formula>ISNA(C315)</formula>
    </cfRule>
    <cfRule type="expression" dxfId="20" priority="17">
      <formula>ERROR.TYPE(C315)=2</formula>
    </cfRule>
    <cfRule type="expression" dxfId="19" priority="16">
      <formula>"error.type(c3)=5"</formula>
    </cfRule>
  </conditionalFormatting>
  <conditionalFormatting sqref="C327:C330">
    <cfRule type="expression" dxfId="18" priority="72">
      <formula>ISNA(C327)</formula>
    </cfRule>
    <cfRule type="expression" dxfId="17" priority="71">
      <formula>ERROR.TYPE(C327)=2</formula>
    </cfRule>
    <cfRule type="expression" dxfId="16" priority="70">
      <formula>"error.type(c3)=5"</formula>
    </cfRule>
  </conditionalFormatting>
  <conditionalFormatting sqref="C335">
    <cfRule type="expression" dxfId="15" priority="69">
      <formula>ISNA(C335)</formula>
    </cfRule>
    <cfRule type="expression" dxfId="14" priority="68">
      <formula>ERROR.TYPE(C335)=2</formula>
    </cfRule>
    <cfRule type="expression" dxfId="13" priority="67">
      <formula>"error.type(c3)=5"</formula>
    </cfRule>
  </conditionalFormatting>
  <conditionalFormatting sqref="C349">
    <cfRule type="expression" dxfId="12" priority="66">
      <formula>ISNA(C349)</formula>
    </cfRule>
    <cfRule type="expression" dxfId="11" priority="65">
      <formula>ERROR.TYPE(C349)=2</formula>
    </cfRule>
    <cfRule type="expression" dxfId="10" priority="64">
      <formula>"error.type(c3)=5"</formula>
    </cfRule>
  </conditionalFormatting>
  <conditionalFormatting sqref="G29:H29">
    <cfRule type="cellIs" dxfId="9" priority="15" operator="greaterThan">
      <formula>0</formula>
    </cfRule>
  </conditionalFormatting>
  <conditionalFormatting sqref="G28:L28">
    <cfRule type="cellIs" dxfId="8" priority="2" operator="greaterThan">
      <formula>0</formula>
    </cfRule>
  </conditionalFormatting>
  <conditionalFormatting sqref="I29:BO29">
    <cfRule type="cellIs" dxfId="7" priority="4" operator="greaterThan">
      <formula>0</formula>
    </cfRule>
  </conditionalFormatting>
  <conditionalFormatting sqref="M28:BO28">
    <cfRule type="cellIs" dxfId="6" priority="1" operator="greaterThan">
      <formula>0</formula>
    </cfRule>
  </conditionalFormatting>
  <conditionalFormatting sqref="BP28:CI29">
    <cfRule type="cellIs" dxfId="5" priority="14" operator="greaterThan">
      <formula>0</formula>
    </cfRule>
  </conditionalFormatting>
  <hyperlinks>
    <hyperlink ref="B3" location="BWXBRS!B22" display="Table 3a: DYAA - Baseline" xr:uid="{C304A8F3-84F0-488D-88C8-63F26CB0C94D}"/>
    <hyperlink ref="C22" location="BWXBRS!$A$1" display="Back to top of sheet" xr:uid="{F315FCCC-B7AD-4851-A89D-E464FFA64459}"/>
    <hyperlink ref="B4" location="BWXBRS!B93" display="Table 3b: DYAA - Final plan Options" xr:uid="{3BB522CE-CCEC-42AC-A859-62B5E5113BE1}"/>
    <hyperlink ref="C93" location="BWXBRS!$A$1" display="Back to top of sheet" xr:uid="{BA244149-BA45-495F-9CD8-25485375740A}"/>
    <hyperlink ref="B5" location="BWXBRS!B120" display="Table 3c: DYAA - Final plan" xr:uid="{A3D1FE13-9F62-4B5C-A941-C67788FE852A}"/>
    <hyperlink ref="C120" location="BWXBRS!$A$1" display="Back to top of sheet" xr:uid="{37BC47E5-08AA-4CCF-AC81-7D1127FF3F19}"/>
    <hyperlink ref="B6" location="BWXBRS!B203" display="Table 3d: DYCP - Baseline" xr:uid="{F6C5F860-3884-45A8-8C4E-765585F03EC0}"/>
    <hyperlink ref="C203" location="BWXBRS!$A$1" display="Back to top of sheet" xr:uid="{D5F8E855-00AA-4108-9CAC-A1DF05D01021}"/>
    <hyperlink ref="B7" location="BWXBRS!B274" display="Table 3e: DYCP - Final plan Options" xr:uid="{C3FF8FB6-9341-4F6A-AF4D-B0E68948709E}"/>
    <hyperlink ref="C274" location="BWXBRS!$A$1" display="Back to top of sheet" xr:uid="{C209B7F1-94CC-45D7-8FD6-B4630CF4BCFB}"/>
    <hyperlink ref="B8" location="BWXBRS!B301" display="Table 3f: DYCP - Final plan" xr:uid="{92E26CA3-3D62-4E4F-A32E-D59432FD143F}"/>
    <hyperlink ref="C301" location="BWXBRS!$A$1" display="Back to top of sheet" xr:uid="{20A445F2-E518-4940-A1EC-B6770D980837}"/>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manualMax="0" manualMin="0" displayEmptyCellsAs="gap" high="1" low="1" negative="1" xr2:uid="{1345E710-BD5C-4681-9EA4-065412194622}">
          <x14:colorSeries rgb="FF376092"/>
          <x14:colorNegative rgb="FFD00000"/>
          <x14:colorAxis rgb="FF000000"/>
          <x14:colorMarkers rgb="FFD00000"/>
          <x14:colorFirst rgb="FFD00000"/>
          <x14:colorLast rgb="FFD00000"/>
          <x14:colorHigh rgb="FFD00000"/>
          <x14:colorLow rgb="FFD00000"/>
          <x14:sparklines>
            <x14:sparkline>
              <xm:f>BWXBRS!G66:CI66</xm:f>
              <xm:sqref>F66</xm:sqref>
            </x14:sparkline>
            <x14:sparkline>
              <xm:f>BWXBRS!G67:CI67</xm:f>
              <xm:sqref>F67</xm:sqref>
            </x14:sparkline>
            <x14:sparkline>
              <xm:f>BWXBRS!G68:CI68</xm:f>
              <xm:sqref>F68</xm:sqref>
            </x14:sparkline>
            <x14:sparkline>
              <xm:f>BWXBRS!G69:CI69</xm:f>
              <xm:sqref>F69</xm:sqref>
            </x14:sparkline>
            <x14:sparkline>
              <xm:f>BWXBRS!G70:CI70</xm:f>
              <xm:sqref>F70</xm:sqref>
            </x14:sparkline>
            <x14:sparkline>
              <xm:f>BWXBRS!G71:CI71</xm:f>
              <xm:sqref>F71</xm:sqref>
            </x14:sparkline>
            <x14:sparkline>
              <xm:f>BWXBRS!G72:CI72</xm:f>
              <xm:sqref>F72</xm:sqref>
            </x14:sparkline>
          </x14:sparklines>
        </x14:sparklineGroup>
        <x14:sparklineGroup manualMax="0" manualMin="0" displayEmptyCellsAs="gap" high="1" low="1" negative="1" xr2:uid="{B24BE1E9-01DC-4B4E-ADC7-0B4F07297F9D}">
          <x14:colorSeries rgb="FF376092"/>
          <x14:colorNegative rgb="FFD00000"/>
          <x14:colorAxis rgb="FF000000"/>
          <x14:colorMarkers rgb="FFD00000"/>
          <x14:colorFirst rgb="FFD00000"/>
          <x14:colorLast rgb="FFD00000"/>
          <x14:colorHigh rgb="FFD00000"/>
          <x14:colorLow rgb="FFD00000"/>
          <x14:sparklines>
            <x14:sparkline>
              <xm:f>BWXBRS!G156:CI156</xm:f>
              <xm:sqref>F156</xm:sqref>
            </x14:sparkline>
            <x14:sparkline>
              <xm:f>BWXBRS!G157:CI157</xm:f>
              <xm:sqref>F157</xm:sqref>
            </x14:sparkline>
            <x14:sparkline>
              <xm:f>BWXBRS!G158:CI158</xm:f>
              <xm:sqref>F158</xm:sqref>
            </x14:sparkline>
            <x14:sparkline>
              <xm:f>BWXBRS!G159:CI159</xm:f>
              <xm:sqref>F159</xm:sqref>
            </x14:sparkline>
            <x14:sparkline>
              <xm:f>BWXBRS!G160:CI160</xm:f>
              <xm:sqref>F160</xm:sqref>
            </x14:sparkline>
            <x14:sparkline>
              <xm:f>BWXBRS!G161:CI161</xm:f>
              <xm:sqref>F161</xm:sqref>
            </x14:sparkline>
            <x14:sparkline>
              <xm:f>BWXBRS!G162:CI162</xm:f>
              <xm:sqref>F162</xm:sqref>
            </x14:sparkline>
          </x14:sparklines>
        </x14:sparklineGroup>
        <x14:sparklineGroup manualMax="0" manualMin="0" displayEmptyCellsAs="gap" high="1" low="1" negative="1" xr2:uid="{A7EFFD8C-95CB-405F-9716-6665A4590677}">
          <x14:colorSeries rgb="FF376092"/>
          <x14:colorNegative rgb="FFD00000"/>
          <x14:colorAxis rgb="FF000000"/>
          <x14:colorMarkers rgb="FFD00000"/>
          <x14:colorFirst rgb="FFD00000"/>
          <x14:colorLast rgb="FFD00000"/>
          <x14:colorHigh rgb="FFD00000"/>
          <x14:colorLow rgb="FFD00000"/>
          <x14:sparklines>
            <x14:sparkline>
              <xm:f>BWXBRS!G337:CI337</xm:f>
              <xm:sqref>F337</xm:sqref>
            </x14:sparkline>
            <x14:sparkline>
              <xm:f>BWXBRS!G338:CI338</xm:f>
              <xm:sqref>F338</xm:sqref>
            </x14:sparkline>
            <x14:sparkline>
              <xm:f>BWXBRS!G339:CI339</xm:f>
              <xm:sqref>F339</xm:sqref>
            </x14:sparkline>
            <x14:sparkline>
              <xm:f>BWXBRS!G340:CI340</xm:f>
              <xm:sqref>F340</xm:sqref>
            </x14:sparkline>
            <x14:sparkline>
              <xm:f>BWXBRS!G341:CI341</xm:f>
              <xm:sqref>F341</xm:sqref>
            </x14:sparkline>
            <x14:sparkline>
              <xm:f>BWXBRS!G342:CI342</xm:f>
              <xm:sqref>F342</xm:sqref>
            </x14:sparkline>
            <x14:sparkline>
              <xm:f>BWXBRS!G343:CI343</xm:f>
              <xm:sqref>F343</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Q154"/>
  <sheetViews>
    <sheetView zoomScale="68" zoomScaleNormal="68" workbookViewId="0">
      <selection activeCell="AH71" sqref="AH71"/>
    </sheetView>
  </sheetViews>
  <sheetFormatPr defaultColWidth="8.81640625" defaultRowHeight="13.8" x14ac:dyDescent="0.25"/>
  <cols>
    <col min="1" max="1" width="2.1796875" style="1" customWidth="1"/>
    <col min="2" max="2" width="18.453125" style="1" bestFit="1" customWidth="1"/>
    <col min="3" max="3" width="19.54296875" style="1" customWidth="1"/>
    <col min="4" max="4" width="33.54296875" style="1" customWidth="1"/>
    <col min="5" max="5" width="13.1796875" style="1" customWidth="1"/>
    <col min="6" max="6" width="12.1796875" style="1" customWidth="1"/>
    <col min="7" max="7" width="17.1796875" style="1" customWidth="1"/>
    <col min="8" max="8" width="15.54296875" style="1" customWidth="1"/>
    <col min="9" max="10" width="11.81640625" style="1" customWidth="1"/>
    <col min="11" max="11" width="23.1796875" style="1" customWidth="1"/>
    <col min="12" max="14" width="10.1796875" style="1" customWidth="1"/>
    <col min="15" max="16" width="11.1796875" style="1" customWidth="1"/>
    <col min="17" max="17" width="14" style="1" customWidth="1"/>
    <col min="18" max="18" width="25.453125" style="1" customWidth="1"/>
    <col min="19" max="19" width="14.81640625" style="1" customWidth="1"/>
    <col min="20" max="23" width="16.81640625" style="1" customWidth="1"/>
    <col min="24" max="24" width="23" style="1" customWidth="1"/>
    <col min="25" max="25" width="70" style="1" customWidth="1"/>
    <col min="26" max="35" width="16.81640625" style="1" customWidth="1"/>
    <col min="36" max="36" width="11.1796875" style="1" customWidth="1"/>
    <col min="37" max="38" width="11.54296875" style="1" customWidth="1"/>
    <col min="39" max="39" width="10.453125" style="1" customWidth="1"/>
    <col min="40" max="40" width="10.81640625" style="1" customWidth="1"/>
    <col min="41" max="41" width="10.54296875" style="1" customWidth="1"/>
    <col min="42" max="43" width="11.1796875" style="1" customWidth="1"/>
    <col min="44" max="47" width="11.08984375" style="1" customWidth="1"/>
    <col min="48" max="48" width="14.1796875" style="1" customWidth="1"/>
    <col min="49" max="49" width="13.6328125" style="1" customWidth="1"/>
    <col min="50" max="51" width="17.81640625" style="1" customWidth="1"/>
    <col min="52" max="52" width="18.08984375" style="1" customWidth="1"/>
    <col min="53" max="54" width="17.81640625" style="1" customWidth="1"/>
    <col min="55" max="55" width="18.08984375" style="1" customWidth="1"/>
    <col min="56" max="16384" width="8.81640625" style="1"/>
  </cols>
  <sheetData>
    <row r="1" spans="1:55" ht="14.4" thickBot="1" x14ac:dyDescent="0.3">
      <c r="A1" s="66"/>
      <c r="B1" s="68"/>
      <c r="C1" s="66"/>
      <c r="D1" s="66"/>
      <c r="E1" s="66"/>
      <c r="F1" s="66"/>
      <c r="G1" s="66"/>
      <c r="H1" s="66"/>
      <c r="I1" s="66"/>
      <c r="J1" s="66"/>
      <c r="K1" s="66"/>
      <c r="L1" s="66"/>
      <c r="M1" s="66"/>
      <c r="N1" s="66"/>
      <c r="O1" s="66"/>
      <c r="P1" s="66"/>
      <c r="Q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row>
    <row r="2" spans="1:55" ht="35.1" customHeight="1" thickBot="1" x14ac:dyDescent="0.3">
      <c r="A2" s="66"/>
      <c r="B2" s="428" t="s">
        <v>57</v>
      </c>
      <c r="C2" s="429" t="str">
        <f>'TITLE PAGE'!$D$18</f>
        <v>Bristol Water</v>
      </c>
      <c r="D2" s="428" t="s">
        <v>2</v>
      </c>
      <c r="E2" s="430"/>
      <c r="F2" s="66"/>
      <c r="G2" s="1197" t="s">
        <v>56</v>
      </c>
      <c r="H2" s="66"/>
      <c r="I2" s="66"/>
      <c r="J2" s="66"/>
      <c r="K2" s="66"/>
      <c r="L2" s="66"/>
      <c r="M2" s="66"/>
      <c r="N2" s="66"/>
      <c r="O2" s="66"/>
      <c r="P2" s="66"/>
      <c r="Q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row>
    <row r="3" spans="1:55" ht="15" thickBot="1" x14ac:dyDescent="0.35">
      <c r="A3" s="66"/>
      <c r="B3" s="68"/>
      <c r="C3" s="66"/>
      <c r="D3" s="66"/>
      <c r="E3" s="66"/>
      <c r="F3" s="66"/>
      <c r="G3" s="66"/>
      <c r="H3" s="66"/>
      <c r="I3" s="66"/>
      <c r="J3" s="66"/>
      <c r="K3" s="66"/>
      <c r="L3" s="66"/>
      <c r="M3" s="66"/>
      <c r="N3" s="66"/>
      <c r="O3" s="66"/>
      <c r="P3" s="66"/>
      <c r="Q3" s="66"/>
      <c r="T3" s="66"/>
      <c r="U3" s="66"/>
      <c r="V3" s="66"/>
      <c r="W3" s="66"/>
      <c r="X3" s="66"/>
      <c r="Y3" s="66"/>
      <c r="Z3" s="66"/>
      <c r="AA3" s="66"/>
      <c r="AB3" s="66"/>
      <c r="AC3" s="363"/>
      <c r="AD3" s="66"/>
      <c r="AE3" s="66"/>
      <c r="AF3" s="66"/>
      <c r="AG3" s="66"/>
      <c r="AH3" s="66"/>
      <c r="AI3" s="66"/>
      <c r="AJ3" s="66"/>
      <c r="AK3" s="66"/>
      <c r="AL3" s="66"/>
      <c r="AM3" s="66"/>
      <c r="AN3" s="66"/>
      <c r="AO3" s="66"/>
      <c r="AP3" s="66"/>
      <c r="AQ3" s="66"/>
      <c r="AR3" s="66"/>
      <c r="AS3" s="66"/>
      <c r="AT3" s="66"/>
      <c r="AU3" s="66"/>
      <c r="AV3" s="66"/>
      <c r="AW3" s="66"/>
    </row>
    <row r="4" spans="1:55" ht="42" thickBot="1" x14ac:dyDescent="0.3">
      <c r="A4" s="66"/>
      <c r="B4" s="210" t="s">
        <v>706</v>
      </c>
      <c r="C4" s="66"/>
      <c r="D4" s="66"/>
      <c r="E4" s="66"/>
      <c r="F4" s="66"/>
      <c r="G4" s="66"/>
      <c r="H4" s="66"/>
      <c r="I4" s="66"/>
      <c r="J4" s="66"/>
      <c r="K4" s="66"/>
      <c r="L4" s="66"/>
      <c r="M4" s="66"/>
      <c r="N4" s="66"/>
      <c r="O4" s="66"/>
      <c r="P4" s="66"/>
      <c r="Q4" s="66"/>
      <c r="T4" s="66"/>
      <c r="U4" s="66"/>
      <c r="V4" s="66"/>
      <c r="W4" s="66"/>
      <c r="X4" s="66"/>
      <c r="Y4" s="66"/>
      <c r="Z4" s="66"/>
      <c r="AA4" s="66"/>
      <c r="AB4" s="66"/>
      <c r="AC4" s="66"/>
      <c r="AD4" s="66"/>
      <c r="AE4" s="66"/>
      <c r="AF4" s="66"/>
      <c r="AG4" s="66"/>
      <c r="AH4" s="66"/>
      <c r="AI4" s="1307" t="s">
        <v>707</v>
      </c>
      <c r="AJ4" s="1526" t="s">
        <v>708</v>
      </c>
      <c r="AK4" s="1527"/>
      <c r="AL4" s="1526" t="s">
        <v>709</v>
      </c>
      <c r="AM4" s="1527"/>
      <c r="AN4" s="1526" t="s">
        <v>710</v>
      </c>
      <c r="AO4" s="1527"/>
      <c r="AP4" s="1526" t="s">
        <v>711</v>
      </c>
      <c r="AQ4" s="1527"/>
      <c r="AR4" s="1526" t="s">
        <v>712</v>
      </c>
      <c r="AS4" s="1527"/>
      <c r="AT4" s="1526" t="s">
        <v>713</v>
      </c>
      <c r="AU4" s="1527"/>
      <c r="AV4" s="1526" t="s">
        <v>1693</v>
      </c>
      <c r="AW4" s="1527"/>
    </row>
    <row r="5" spans="1:55" ht="111" thickBot="1" x14ac:dyDescent="0.3">
      <c r="A5" s="66"/>
      <c r="B5" s="1308" t="s">
        <v>63</v>
      </c>
      <c r="C5" s="1309" t="s">
        <v>714</v>
      </c>
      <c r="D5" s="1309" t="s">
        <v>715</v>
      </c>
      <c r="E5" s="1309" t="s">
        <v>716</v>
      </c>
      <c r="F5" s="1309" t="s">
        <v>717</v>
      </c>
      <c r="G5" s="1309" t="s">
        <v>718</v>
      </c>
      <c r="H5" s="1309" t="s">
        <v>719</v>
      </c>
      <c r="I5" s="1309" t="s">
        <v>720</v>
      </c>
      <c r="J5" s="1309" t="s">
        <v>721</v>
      </c>
      <c r="K5" s="1309" t="s">
        <v>722</v>
      </c>
      <c r="L5" s="1309" t="s">
        <v>723</v>
      </c>
      <c r="M5" s="1309" t="s">
        <v>724</v>
      </c>
      <c r="N5" s="1309" t="s">
        <v>725</v>
      </c>
      <c r="O5" s="1309" t="s">
        <v>726</v>
      </c>
      <c r="P5" s="1309" t="s">
        <v>727</v>
      </c>
      <c r="Q5" s="1309" t="s">
        <v>728</v>
      </c>
      <c r="R5" s="1309" t="s">
        <v>729</v>
      </c>
      <c r="S5" s="1309" t="s">
        <v>730</v>
      </c>
      <c r="T5" s="1309" t="s">
        <v>731</v>
      </c>
      <c r="U5" s="1309" t="s">
        <v>732</v>
      </c>
      <c r="V5" s="1309" t="s">
        <v>733</v>
      </c>
      <c r="W5" s="1309" t="s">
        <v>734</v>
      </c>
      <c r="X5" s="1309" t="s">
        <v>735</v>
      </c>
      <c r="Y5" s="1309" t="s">
        <v>736</v>
      </c>
      <c r="Z5" s="1309" t="s">
        <v>737</v>
      </c>
      <c r="AA5" s="1309" t="s">
        <v>738</v>
      </c>
      <c r="AB5" s="1309" t="s">
        <v>739</v>
      </c>
      <c r="AC5" s="1310" t="s">
        <v>740</v>
      </c>
      <c r="AD5" s="1310" t="s">
        <v>741</v>
      </c>
      <c r="AE5" s="1310" t="s">
        <v>742</v>
      </c>
      <c r="AF5" s="1310" t="s">
        <v>743</v>
      </c>
      <c r="AG5" s="1311" t="s">
        <v>744</v>
      </c>
      <c r="AH5" s="1311" t="s">
        <v>745</v>
      </c>
      <c r="AI5" s="1312" t="s">
        <v>746</v>
      </c>
      <c r="AJ5" s="1210" t="s">
        <v>747</v>
      </c>
      <c r="AK5" s="1211" t="s">
        <v>748</v>
      </c>
      <c r="AL5" s="1210" t="s">
        <v>749</v>
      </c>
      <c r="AM5" s="1211" t="s">
        <v>750</v>
      </c>
      <c r="AN5" s="1210" t="s">
        <v>751</v>
      </c>
      <c r="AO5" s="1211" t="s">
        <v>752</v>
      </c>
      <c r="AP5" s="1210" t="s">
        <v>753</v>
      </c>
      <c r="AQ5" s="1211" t="s">
        <v>754</v>
      </c>
      <c r="AR5" s="1210" t="s">
        <v>755</v>
      </c>
      <c r="AS5" s="1211" t="s">
        <v>756</v>
      </c>
      <c r="AT5" s="1210" t="s">
        <v>757</v>
      </c>
      <c r="AU5" s="1211" t="s">
        <v>758</v>
      </c>
      <c r="AV5" s="1210" t="s">
        <v>1691</v>
      </c>
      <c r="AW5" s="1211" t="s">
        <v>1692</v>
      </c>
      <c r="AX5" s="1313" t="s">
        <v>2047</v>
      </c>
      <c r="AY5" s="1313" t="s">
        <v>2048</v>
      </c>
      <c r="AZ5" s="1388" t="s">
        <v>2049</v>
      </c>
      <c r="BA5" s="1313" t="s">
        <v>2050</v>
      </c>
      <c r="BB5" s="1313" t="s">
        <v>2051</v>
      </c>
      <c r="BC5" s="1388" t="s">
        <v>2052</v>
      </c>
    </row>
    <row r="6" spans="1:55" ht="27.6" x14ac:dyDescent="0.25">
      <c r="A6" s="66"/>
      <c r="B6"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 s="69" t="s">
        <v>2054</v>
      </c>
      <c r="D6" s="69" t="s">
        <v>2033</v>
      </c>
      <c r="E6" s="69" t="s">
        <v>1264</v>
      </c>
      <c r="F6" s="1127" t="str">
        <f>VLOOKUP(TBL4_OptApp[[#This Row],[Option type
Defined List]],'Option Typs_Grps'!B$2:C$47, 2, FALSE)</f>
        <v>Distribution Options</v>
      </c>
      <c r="G6" s="70" t="s">
        <v>1954</v>
      </c>
      <c r="H6" s="70" t="s">
        <v>1955</v>
      </c>
      <c r="I6" s="70" t="s">
        <v>1676</v>
      </c>
      <c r="J6" s="69" t="s">
        <v>1956</v>
      </c>
      <c r="K6" s="69">
        <v>0</v>
      </c>
      <c r="L6" s="69" t="s">
        <v>1957</v>
      </c>
      <c r="M6" s="69" t="s">
        <v>1957</v>
      </c>
      <c r="N6" s="69" t="s">
        <v>1957</v>
      </c>
      <c r="O6" s="69" t="s">
        <v>1676</v>
      </c>
      <c r="P6" s="69" t="s">
        <v>1676</v>
      </c>
      <c r="Q6" s="69" t="s">
        <v>1676</v>
      </c>
      <c r="R6" s="1436"/>
      <c r="S6" s="69" t="s">
        <v>761</v>
      </c>
      <c r="T6" s="69" t="s">
        <v>761</v>
      </c>
      <c r="U6" s="1478">
        <f>BWXBRS!BO118*-1</f>
        <v>9.8866183552152496</v>
      </c>
      <c r="V6" s="1478">
        <v>0</v>
      </c>
      <c r="W6" s="1478">
        <v>2025</v>
      </c>
      <c r="X6" s="1478">
        <v>0</v>
      </c>
      <c r="Y6" s="1478">
        <f>TBL4_OptApp[[#This Row],[Average totex expenditure per annum post option in use (£m)]]</f>
        <v>12.130994210231114</v>
      </c>
      <c r="Z6" s="1478">
        <v>12.130994210231114</v>
      </c>
      <c r="AA6" s="1479">
        <f>TBL4_OptApp[[#This Row],[Gains in WAFU / Savings in Demand on full implementation (Ml/d)]]</f>
        <v>9.8866183552152496</v>
      </c>
      <c r="AB6" s="1479">
        <f>TBL4_OptApp[[#This Row],[Average option utilisation used for average totex expenditure and operational carbon forecasts (Ml/d)]]</f>
        <v>9.8866183552152496</v>
      </c>
      <c r="AC6" s="1478">
        <v>69281.594540619742</v>
      </c>
      <c r="AD6" s="1478">
        <v>3128.9020176539038</v>
      </c>
      <c r="AE6" s="1478">
        <v>2279.6626473768374</v>
      </c>
      <c r="AF6" s="1479">
        <v>61.621321777979361</v>
      </c>
      <c r="AG6" s="1478">
        <f>TBL4_OptApp[[#This Row],[Total NPC (£m)]]/TBL4_OptApp[[#This Row],[Gains in WAFU / Savings in Demand on full implementation (Ml/d)]]</f>
        <v>30.298548333566458</v>
      </c>
      <c r="AH6" s="1480">
        <v>299.55018409101456</v>
      </c>
      <c r="AI6" s="1436"/>
      <c r="AJ6" s="1436"/>
      <c r="AK6" s="1436"/>
      <c r="AL6" s="1436"/>
      <c r="AM6" s="1436"/>
      <c r="AN6" s="1436"/>
      <c r="AO6" s="1436"/>
      <c r="AP6" s="1436"/>
      <c r="AQ6" s="1436"/>
      <c r="AR6" s="1436"/>
      <c r="AS6" s="1436"/>
      <c r="AT6" s="1436"/>
      <c r="AU6" s="1436"/>
      <c r="AV6" s="1436"/>
      <c r="AW6" s="1436"/>
      <c r="AX6" s="1435">
        <v>0</v>
      </c>
      <c r="AY6" s="1435">
        <v>-4.5</v>
      </c>
      <c r="AZ6" s="1435">
        <v>9.51</v>
      </c>
      <c r="BA6" s="1435">
        <v>0</v>
      </c>
      <c r="BB6" s="1435">
        <v>13.02</v>
      </c>
      <c r="BC6" s="1435">
        <v>-2.91</v>
      </c>
    </row>
    <row r="7" spans="1:55" ht="41.4" x14ac:dyDescent="0.25">
      <c r="A7" s="66"/>
      <c r="B7"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 s="69" t="s">
        <v>2034</v>
      </c>
      <c r="D7" s="69" t="s">
        <v>2039</v>
      </c>
      <c r="E7" s="69" t="s">
        <v>1264</v>
      </c>
      <c r="F7" s="1127" t="str">
        <f>VLOOKUP(TBL4_OptApp[[#This Row],[Option type
Defined List]],'Option Typs_Grps'!B$2:C$47, 2, FALSE)</f>
        <v>Distribution Options</v>
      </c>
      <c r="G7" s="70" t="s">
        <v>1954</v>
      </c>
      <c r="H7" s="70" t="s">
        <v>1959</v>
      </c>
      <c r="I7" s="70" t="s">
        <v>1676</v>
      </c>
      <c r="J7" s="1436"/>
      <c r="K7" s="1436"/>
      <c r="L7" s="1436"/>
      <c r="M7" s="1436"/>
      <c r="N7" s="1436"/>
      <c r="O7" s="1436"/>
      <c r="P7" s="1436"/>
      <c r="Q7" s="1436"/>
      <c r="R7" s="69" t="s">
        <v>2062</v>
      </c>
      <c r="S7" s="1436" t="s">
        <v>761</v>
      </c>
      <c r="T7" s="1436" t="s">
        <v>761</v>
      </c>
      <c r="U7" s="1481"/>
      <c r="V7" s="1481"/>
      <c r="W7" s="1481"/>
      <c r="X7" s="1481"/>
      <c r="Y7" s="1481"/>
      <c r="Z7" s="1481"/>
      <c r="AA7" s="1481"/>
      <c r="AB7" s="1481"/>
      <c r="AC7" s="1481"/>
      <c r="AD7" s="1481"/>
      <c r="AE7" s="1481"/>
      <c r="AF7" s="1481"/>
      <c r="AG7" s="1481"/>
      <c r="AH7" s="1482"/>
      <c r="AI7" s="1436"/>
      <c r="AJ7" s="1436"/>
      <c r="AK7" s="1436"/>
      <c r="AL7" s="1436"/>
      <c r="AM7" s="1436"/>
      <c r="AN7" s="1436"/>
      <c r="AO7" s="1436"/>
      <c r="AP7" s="1436"/>
      <c r="AQ7" s="1436"/>
      <c r="AR7" s="1436"/>
      <c r="AS7" s="1436"/>
      <c r="AT7" s="1436"/>
      <c r="AU7" s="1436"/>
      <c r="AV7" s="1436" t="s">
        <v>760</v>
      </c>
      <c r="AW7" s="1436" t="s">
        <v>760</v>
      </c>
      <c r="AX7" s="1434" t="s">
        <v>760</v>
      </c>
      <c r="AY7" s="1434" t="s">
        <v>760</v>
      </c>
      <c r="AZ7" s="1434" t="s">
        <v>760</v>
      </c>
      <c r="BA7" s="1434" t="s">
        <v>760</v>
      </c>
      <c r="BB7" s="1434" t="s">
        <v>760</v>
      </c>
      <c r="BC7" s="1434" t="s">
        <v>760</v>
      </c>
    </row>
    <row r="8" spans="1:55" ht="41.4" x14ac:dyDescent="0.25">
      <c r="A8" s="66"/>
      <c r="B8"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 s="69" t="s">
        <v>2035</v>
      </c>
      <c r="D8" s="69" t="s">
        <v>2040</v>
      </c>
      <c r="E8" s="69" t="s">
        <v>1264</v>
      </c>
      <c r="F8" s="1127" t="str">
        <f>VLOOKUP(TBL4_OptApp[[#This Row],[Option type
Defined List]],'Option Typs_Grps'!B$2:C$47, 2, FALSE)</f>
        <v>Distribution Options</v>
      </c>
      <c r="G8" s="70" t="s">
        <v>1954</v>
      </c>
      <c r="H8" s="70" t="s">
        <v>1959</v>
      </c>
      <c r="I8" s="70" t="s">
        <v>1676</v>
      </c>
      <c r="J8" s="1436"/>
      <c r="K8" s="1436"/>
      <c r="L8" s="1436"/>
      <c r="M8" s="1436"/>
      <c r="N8" s="1436"/>
      <c r="O8" s="1436"/>
      <c r="P8" s="1436"/>
      <c r="Q8" s="1436"/>
      <c r="R8" s="69" t="s">
        <v>2062</v>
      </c>
      <c r="S8" s="1436" t="s">
        <v>761</v>
      </c>
      <c r="T8" s="1436" t="s">
        <v>761</v>
      </c>
      <c r="U8" s="1481"/>
      <c r="V8" s="1481"/>
      <c r="W8" s="1481"/>
      <c r="X8" s="1481"/>
      <c r="Y8" s="1481"/>
      <c r="Z8" s="1481"/>
      <c r="AA8" s="1481"/>
      <c r="AB8" s="1481"/>
      <c r="AC8" s="1481"/>
      <c r="AD8" s="1481"/>
      <c r="AE8" s="1481"/>
      <c r="AF8" s="1481"/>
      <c r="AG8" s="1481"/>
      <c r="AH8" s="1482"/>
      <c r="AI8" s="1436"/>
      <c r="AJ8" s="1436"/>
      <c r="AK8" s="1436"/>
      <c r="AL8" s="1436"/>
      <c r="AM8" s="1436"/>
      <c r="AN8" s="1436"/>
      <c r="AO8" s="1436"/>
      <c r="AP8" s="1436"/>
      <c r="AQ8" s="1436"/>
      <c r="AR8" s="1436"/>
      <c r="AS8" s="1436"/>
      <c r="AT8" s="1436"/>
      <c r="AU8" s="1436"/>
      <c r="AV8" s="1436" t="s">
        <v>760</v>
      </c>
      <c r="AW8" s="1436" t="s">
        <v>760</v>
      </c>
      <c r="AX8" s="1434" t="s">
        <v>760</v>
      </c>
      <c r="AY8" s="1434" t="s">
        <v>760</v>
      </c>
      <c r="AZ8" s="1434" t="s">
        <v>760</v>
      </c>
      <c r="BA8" s="1434" t="s">
        <v>760</v>
      </c>
      <c r="BB8" s="1434" t="s">
        <v>760</v>
      </c>
      <c r="BC8" s="1434" t="s">
        <v>760</v>
      </c>
    </row>
    <row r="9" spans="1:55" ht="41.4" x14ac:dyDescent="0.25">
      <c r="A9" s="66"/>
      <c r="B9"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 s="69" t="s">
        <v>2036</v>
      </c>
      <c r="D9" s="69" t="s">
        <v>2041</v>
      </c>
      <c r="E9" s="69" t="s">
        <v>1264</v>
      </c>
      <c r="F9" s="1127" t="str">
        <f>VLOOKUP(TBL4_OptApp[[#This Row],[Option type
Defined List]],'Option Typs_Grps'!B$2:C$47, 2, FALSE)</f>
        <v>Distribution Options</v>
      </c>
      <c r="G9" s="70" t="s">
        <v>1954</v>
      </c>
      <c r="H9" s="70" t="s">
        <v>1959</v>
      </c>
      <c r="I9" s="70" t="s">
        <v>1676</v>
      </c>
      <c r="J9" s="1436"/>
      <c r="K9" s="1436"/>
      <c r="L9" s="1436"/>
      <c r="M9" s="1436"/>
      <c r="N9" s="1436"/>
      <c r="O9" s="1436"/>
      <c r="P9" s="1436"/>
      <c r="Q9" s="1436"/>
      <c r="R9" s="69" t="s">
        <v>2062</v>
      </c>
      <c r="S9" s="1436" t="s">
        <v>761</v>
      </c>
      <c r="T9" s="1436" t="s">
        <v>761</v>
      </c>
      <c r="U9" s="1481"/>
      <c r="V9" s="1481"/>
      <c r="W9" s="1481"/>
      <c r="X9" s="1481"/>
      <c r="Y9" s="1481"/>
      <c r="Z9" s="1481"/>
      <c r="AA9" s="1481"/>
      <c r="AB9" s="1481"/>
      <c r="AC9" s="1481"/>
      <c r="AD9" s="1481"/>
      <c r="AE9" s="1481"/>
      <c r="AF9" s="1481"/>
      <c r="AG9" s="1481"/>
      <c r="AH9" s="1482"/>
      <c r="AI9" s="1436"/>
      <c r="AJ9" s="1436"/>
      <c r="AK9" s="1436"/>
      <c r="AL9" s="1436"/>
      <c r="AM9" s="1436"/>
      <c r="AN9" s="1436"/>
      <c r="AO9" s="1436"/>
      <c r="AP9" s="1436"/>
      <c r="AQ9" s="1436"/>
      <c r="AR9" s="1436"/>
      <c r="AS9" s="1436"/>
      <c r="AT9" s="1436"/>
      <c r="AU9" s="1436"/>
      <c r="AV9" s="1436" t="s">
        <v>760</v>
      </c>
      <c r="AW9" s="1436" t="s">
        <v>760</v>
      </c>
      <c r="AX9" s="1434" t="s">
        <v>760</v>
      </c>
      <c r="AY9" s="1434" t="s">
        <v>760</v>
      </c>
      <c r="AZ9" s="1434" t="s">
        <v>760</v>
      </c>
      <c r="BA9" s="1434" t="s">
        <v>760</v>
      </c>
      <c r="BB9" s="1434" t="s">
        <v>760</v>
      </c>
      <c r="BC9" s="1434" t="s">
        <v>760</v>
      </c>
    </row>
    <row r="10" spans="1:55" ht="41.4" x14ac:dyDescent="0.25">
      <c r="A10" s="66"/>
      <c r="B10"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 s="69" t="s">
        <v>2037</v>
      </c>
      <c r="D10" s="69" t="s">
        <v>2042</v>
      </c>
      <c r="E10" s="69" t="s">
        <v>1264</v>
      </c>
      <c r="F10" s="1127" t="str">
        <f>VLOOKUP(TBL4_OptApp[[#This Row],[Option type
Defined List]],'Option Typs_Grps'!B$2:C$47, 2, FALSE)</f>
        <v>Distribution Options</v>
      </c>
      <c r="G10" s="70" t="s">
        <v>1954</v>
      </c>
      <c r="H10" s="70" t="s">
        <v>1959</v>
      </c>
      <c r="I10" s="70" t="s">
        <v>1676</v>
      </c>
      <c r="J10" s="1436"/>
      <c r="K10" s="1436"/>
      <c r="L10" s="1436"/>
      <c r="M10" s="1436"/>
      <c r="N10" s="1436"/>
      <c r="O10" s="1436"/>
      <c r="P10" s="1436"/>
      <c r="Q10" s="1436"/>
      <c r="R10" s="69" t="s">
        <v>2062</v>
      </c>
      <c r="S10" s="1436" t="s">
        <v>761</v>
      </c>
      <c r="T10" s="1436" t="s">
        <v>761</v>
      </c>
      <c r="U10" s="1481"/>
      <c r="V10" s="1481"/>
      <c r="W10" s="1481"/>
      <c r="X10" s="1481"/>
      <c r="Y10" s="1481"/>
      <c r="Z10" s="1481"/>
      <c r="AA10" s="1481"/>
      <c r="AB10" s="1481"/>
      <c r="AC10" s="1481"/>
      <c r="AD10" s="1481"/>
      <c r="AE10" s="1481"/>
      <c r="AF10" s="1481"/>
      <c r="AG10" s="1481"/>
      <c r="AH10" s="1482"/>
      <c r="AI10" s="1436"/>
      <c r="AJ10" s="1436"/>
      <c r="AK10" s="1436"/>
      <c r="AL10" s="1436"/>
      <c r="AM10" s="1436"/>
      <c r="AN10" s="1436"/>
      <c r="AO10" s="1436"/>
      <c r="AP10" s="1436"/>
      <c r="AQ10" s="1436"/>
      <c r="AR10" s="1436"/>
      <c r="AS10" s="1436"/>
      <c r="AT10" s="1436"/>
      <c r="AU10" s="1436"/>
      <c r="AV10" s="1436" t="s">
        <v>760</v>
      </c>
      <c r="AW10" s="1436" t="s">
        <v>760</v>
      </c>
      <c r="AX10" s="1435" t="s">
        <v>760</v>
      </c>
      <c r="AY10" s="1434"/>
      <c r="AZ10" s="1434"/>
      <c r="BA10" s="1435" t="s">
        <v>760</v>
      </c>
      <c r="BB10" s="1434"/>
      <c r="BC10" s="1434"/>
    </row>
    <row r="11" spans="1:55" ht="36" customHeight="1" x14ac:dyDescent="0.25">
      <c r="A11" s="66"/>
      <c r="B11"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 s="69" t="s">
        <v>2038</v>
      </c>
      <c r="D11" s="69" t="s">
        <v>2043</v>
      </c>
      <c r="E11" s="69" t="s">
        <v>1264</v>
      </c>
      <c r="F11" s="1127" t="str">
        <f>VLOOKUP(TBL4_OptApp[[#This Row],[Option type
Defined List]],'Option Typs_Grps'!B$2:C$47, 2, FALSE)</f>
        <v>Distribution Options</v>
      </c>
      <c r="G11" s="70" t="s">
        <v>1954</v>
      </c>
      <c r="H11" s="70" t="s">
        <v>1959</v>
      </c>
      <c r="I11" s="70" t="s">
        <v>1676</v>
      </c>
      <c r="J11" s="1436"/>
      <c r="K11" s="1436"/>
      <c r="L11" s="1436"/>
      <c r="M11" s="1436"/>
      <c r="N11" s="1436"/>
      <c r="O11" s="1436"/>
      <c r="P11" s="1436"/>
      <c r="Q11" s="1436"/>
      <c r="R11" s="69" t="s">
        <v>2062</v>
      </c>
      <c r="S11" s="1436" t="s">
        <v>761</v>
      </c>
      <c r="T11" s="1436" t="s">
        <v>761</v>
      </c>
      <c r="U11" s="1481"/>
      <c r="V11" s="1481"/>
      <c r="W11" s="1481"/>
      <c r="X11" s="1481"/>
      <c r="Y11" s="1481"/>
      <c r="Z11" s="1481"/>
      <c r="AA11" s="1481"/>
      <c r="AB11" s="1481"/>
      <c r="AC11" s="1481"/>
      <c r="AD11" s="1481"/>
      <c r="AE11" s="1481"/>
      <c r="AF11" s="1481"/>
      <c r="AG11" s="1481"/>
      <c r="AH11" s="1482"/>
      <c r="AI11" s="1436"/>
      <c r="AJ11" s="1436"/>
      <c r="AK11" s="1436"/>
      <c r="AL11" s="1436"/>
      <c r="AM11" s="1436"/>
      <c r="AN11" s="1436"/>
      <c r="AO11" s="1436"/>
      <c r="AP11" s="1436"/>
      <c r="AQ11" s="1436"/>
      <c r="AR11" s="1436"/>
      <c r="AS11" s="1436"/>
      <c r="AT11" s="1436"/>
      <c r="AU11" s="1436"/>
      <c r="AV11" s="1436" t="s">
        <v>760</v>
      </c>
      <c r="AW11" s="1436" t="s">
        <v>760</v>
      </c>
      <c r="AX11" s="1435" t="s">
        <v>760</v>
      </c>
      <c r="AY11" s="1434"/>
      <c r="AZ11" s="1434"/>
      <c r="BA11" s="1435" t="s">
        <v>760</v>
      </c>
      <c r="BB11" s="1434"/>
      <c r="BC11" s="1434"/>
    </row>
    <row r="12" spans="1:55" ht="36" customHeight="1" x14ac:dyDescent="0.25">
      <c r="A12" s="66"/>
      <c r="B12"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 s="1456" t="s">
        <v>2055</v>
      </c>
      <c r="D12" s="69" t="s">
        <v>2053</v>
      </c>
      <c r="E12" s="69" t="s">
        <v>1264</v>
      </c>
      <c r="F12" s="1127" t="str">
        <f>VLOOKUP(TBL4_OptApp[[#This Row],[Option type
Defined List]],'Option Typs_Grps'!B$2:C$47, 2, FALSE)</f>
        <v>Distribution Options</v>
      </c>
      <c r="G12" s="70" t="s">
        <v>1954</v>
      </c>
      <c r="H12" s="70" t="s">
        <v>1958</v>
      </c>
      <c r="I12" s="70" t="s">
        <v>1676</v>
      </c>
      <c r="J12" s="69" t="s">
        <v>1956</v>
      </c>
      <c r="K12" s="69">
        <v>0</v>
      </c>
      <c r="L12" s="69" t="s">
        <v>1957</v>
      </c>
      <c r="M12" s="1434" t="s">
        <v>1957</v>
      </c>
      <c r="N12" s="69" t="s">
        <v>1957</v>
      </c>
      <c r="O12" s="69" t="s">
        <v>1676</v>
      </c>
      <c r="P12" s="69" t="s">
        <v>1676</v>
      </c>
      <c r="Q12" s="69" t="s">
        <v>1676</v>
      </c>
      <c r="R12" s="1436"/>
      <c r="S12" s="69" t="s">
        <v>761</v>
      </c>
      <c r="T12" s="69" t="s">
        <v>761</v>
      </c>
      <c r="U12" s="1479">
        <v>9.8947724755653272</v>
      </c>
      <c r="V12" s="1478">
        <v>0</v>
      </c>
      <c r="W12" s="1478" t="s">
        <v>1956</v>
      </c>
      <c r="X12" s="1478">
        <v>0</v>
      </c>
      <c r="Y12" s="1478">
        <f>TBL4_OptApp[[#This Row],[Average totex expenditure per annum post option in use (£m)]]</f>
        <v>14.515563743578721</v>
      </c>
      <c r="Z12" s="1478">
        <v>14.515563743578721</v>
      </c>
      <c r="AA12" s="1479">
        <f>TBL4_OptApp[[#This Row],[Gains in WAFU / Savings in Demand on full implementation (Ml/d)]]</f>
        <v>9.8947724755653272</v>
      </c>
      <c r="AB12" s="1483">
        <f>TBL4_OptApp[[#This Row],[Average option utilisation used for average totex expenditure and operational carbon forecasts (Ml/d)]]</f>
        <v>9.8947724755653272</v>
      </c>
      <c r="AC12" s="1478">
        <v>65798.822457768794</v>
      </c>
      <c r="AD12" s="1478">
        <v>3130.8325775584522</v>
      </c>
      <c r="AE12" s="1478">
        <v>2281.4173695897052</v>
      </c>
      <c r="AF12" s="1479">
        <v>60.803126841158374</v>
      </c>
      <c r="AG12" s="1479">
        <f>TBL4_OptApp[[#This Row],[Total NPC (£m)]]/TBL4_OptApp[[#This Row],[Gains in WAFU / Savings in Demand on full implementation (Ml/d)]]</f>
        <v>31.223735542440984</v>
      </c>
      <c r="AH12" s="1480">
        <v>308.95175902967588</v>
      </c>
      <c r="AI12" s="1436"/>
      <c r="AJ12" s="1436"/>
      <c r="AK12" s="1436"/>
      <c r="AL12" s="1436"/>
      <c r="AM12" s="1436"/>
      <c r="AN12" s="1436"/>
      <c r="AO12" s="1436"/>
      <c r="AP12" s="1436"/>
      <c r="AQ12" s="1436"/>
      <c r="AR12" s="1436"/>
      <c r="AS12" s="1436"/>
      <c r="AT12" s="1436"/>
      <c r="AU12" s="1436"/>
      <c r="AV12" s="1436"/>
      <c r="AW12" s="1436"/>
      <c r="AX12" s="1435">
        <v>0</v>
      </c>
      <c r="AY12" s="1435">
        <v>-4.5</v>
      </c>
      <c r="AZ12" s="1435">
        <v>9.51</v>
      </c>
      <c r="BA12" s="1435">
        <v>0</v>
      </c>
      <c r="BB12" s="1435">
        <v>13.02</v>
      </c>
      <c r="BC12" s="1435">
        <v>-2.91</v>
      </c>
    </row>
    <row r="13" spans="1:55" ht="82.8" x14ac:dyDescent="0.25">
      <c r="A13" s="66"/>
      <c r="B13"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 s="69" t="s">
        <v>1708</v>
      </c>
      <c r="D13" s="69" t="s">
        <v>1709</v>
      </c>
      <c r="E13" s="69" t="s">
        <v>778</v>
      </c>
      <c r="F13" s="1127" t="str">
        <f>VLOOKUP(TBL4_OptApp[[#This Row],[Option type
Defined List]],'Option Typs_Grps'!B$2:C$47, 2, FALSE)</f>
        <v>Customer Options</v>
      </c>
      <c r="G13" s="70" t="s">
        <v>1954</v>
      </c>
      <c r="H13" s="70" t="s">
        <v>1959</v>
      </c>
      <c r="I13" s="70" t="s">
        <v>1676</v>
      </c>
      <c r="J13" s="1436"/>
      <c r="K13" s="1436"/>
      <c r="L13" s="1436"/>
      <c r="M13" s="1436"/>
      <c r="N13" s="1436"/>
      <c r="O13" s="1436"/>
      <c r="P13" s="1436"/>
      <c r="Q13" s="1436"/>
      <c r="R13" s="69" t="s">
        <v>1960</v>
      </c>
      <c r="S13" s="1436" t="s">
        <v>761</v>
      </c>
      <c r="T13" s="1436" t="s">
        <v>761</v>
      </c>
      <c r="U13" s="1436"/>
      <c r="V13" s="1436"/>
      <c r="W13" s="1436"/>
      <c r="X13" s="1436"/>
      <c r="Y13" s="1436"/>
      <c r="Z13" s="1436"/>
      <c r="AA13" s="1436"/>
      <c r="AB13" s="1436"/>
      <c r="AC13" s="1436"/>
      <c r="AD13" s="1436"/>
      <c r="AE13" s="1436"/>
      <c r="AF13" s="1436"/>
      <c r="AG13" s="1436"/>
      <c r="AH13" s="1442"/>
      <c r="AI13" s="1436"/>
      <c r="AJ13" s="1436"/>
      <c r="AK13" s="1436"/>
      <c r="AL13" s="1436"/>
      <c r="AM13" s="1436"/>
      <c r="AN13" s="1436"/>
      <c r="AO13" s="1436"/>
      <c r="AP13" s="1436"/>
      <c r="AQ13" s="1436"/>
      <c r="AR13" s="1436"/>
      <c r="AS13" s="1436"/>
      <c r="AT13" s="1436"/>
      <c r="AU13" s="1436"/>
      <c r="AV13" s="1436"/>
      <c r="AW13" s="1436"/>
      <c r="AX13" s="1435"/>
      <c r="AY13" s="1434"/>
      <c r="AZ13" s="1434"/>
      <c r="BA13" s="1435"/>
      <c r="BB13" s="1434"/>
      <c r="BC13" s="1434"/>
    </row>
    <row r="14" spans="1:55" ht="27.6" x14ac:dyDescent="0.25">
      <c r="A14" s="66"/>
      <c r="B1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 s="69" t="s">
        <v>1710</v>
      </c>
      <c r="D14" s="69" t="s">
        <v>1711</v>
      </c>
      <c r="E14" s="69" t="s">
        <v>778</v>
      </c>
      <c r="F14" s="1127" t="str">
        <f>VLOOKUP(TBL4_OptApp[[#This Row],[Option type
Defined List]],'Option Typs_Grps'!B$2:C$47, 2, FALSE)</f>
        <v>Customer Options</v>
      </c>
      <c r="G14" s="70" t="s">
        <v>1954</v>
      </c>
      <c r="H14" s="70" t="s">
        <v>1955</v>
      </c>
      <c r="I14" s="70" t="s">
        <v>1676</v>
      </c>
      <c r="J14" s="69" t="s">
        <v>1956</v>
      </c>
      <c r="K14" s="69">
        <v>0</v>
      </c>
      <c r="L14" s="69" t="s">
        <v>1957</v>
      </c>
      <c r="M14" s="69" t="s">
        <v>1957</v>
      </c>
      <c r="N14" s="69" t="s">
        <v>1957</v>
      </c>
      <c r="O14" s="69" t="s">
        <v>1676</v>
      </c>
      <c r="P14" s="69" t="s">
        <v>1676</v>
      </c>
      <c r="Q14" s="69" t="s">
        <v>1676</v>
      </c>
      <c r="R14" s="1436"/>
      <c r="S14" s="69" t="s">
        <v>761</v>
      </c>
      <c r="T14" s="69" t="s">
        <v>761</v>
      </c>
      <c r="U14" s="69">
        <v>1.0342159527287895</v>
      </c>
      <c r="V14" s="69">
        <v>0</v>
      </c>
      <c r="W14" s="69">
        <v>2025</v>
      </c>
      <c r="X14" s="69">
        <v>0</v>
      </c>
      <c r="Y14" s="69">
        <v>3.7173679597222224E-2</v>
      </c>
      <c r="Z14" s="69">
        <v>3.7173679597222224E-2</v>
      </c>
      <c r="AA14" s="69">
        <v>1.0342159527287895</v>
      </c>
      <c r="AB14" s="69">
        <v>1.0342159527287895</v>
      </c>
      <c r="AC14" s="69">
        <v>272.416</v>
      </c>
      <c r="AD14" s="69">
        <v>0</v>
      </c>
      <c r="AE14" s="69">
        <v>0</v>
      </c>
      <c r="AF14" s="69">
        <v>6.6741919999999996E-2</v>
      </c>
      <c r="AG14" s="69">
        <v>505.84176736405527</v>
      </c>
      <c r="AH14" s="69">
        <v>1.9094961325801734</v>
      </c>
      <c r="AI14" s="1436"/>
      <c r="AJ14" s="1436"/>
      <c r="AK14" s="1436"/>
      <c r="AL14" s="1436"/>
      <c r="AM14" s="1436"/>
      <c r="AN14" s="1436"/>
      <c r="AO14" s="1436"/>
      <c r="AP14" s="1436"/>
      <c r="AQ14" s="1436"/>
      <c r="AR14" s="1436"/>
      <c r="AS14" s="1436"/>
      <c r="AT14" s="1436"/>
      <c r="AU14" s="1436"/>
      <c r="AV14" s="1436"/>
      <c r="AW14" s="1436"/>
      <c r="AX14" s="1435">
        <v>0</v>
      </c>
      <c r="AY14" s="1435">
        <v>0</v>
      </c>
      <c r="AZ14" s="1435">
        <v>6.34</v>
      </c>
      <c r="BA14" s="1435">
        <v>0</v>
      </c>
      <c r="BB14" s="1435">
        <v>4.34</v>
      </c>
      <c r="BC14" s="1435">
        <v>0</v>
      </c>
    </row>
    <row r="15" spans="1:55" ht="27.6" x14ac:dyDescent="0.25">
      <c r="A15" s="66"/>
      <c r="B1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 s="69" t="s">
        <v>1712</v>
      </c>
      <c r="D15" s="69" t="s">
        <v>1713</v>
      </c>
      <c r="E15" s="69" t="s">
        <v>778</v>
      </c>
      <c r="F15" s="1208" t="str">
        <f>VLOOKUP(TBL4_OptApp[[#This Row],[Option type
Defined List]],'Option Typs_Grps'!B$2:C$47, 2, FALSE)</f>
        <v>Customer Options</v>
      </c>
      <c r="G15" s="70" t="s">
        <v>1954</v>
      </c>
      <c r="H15" s="70" t="s">
        <v>1958</v>
      </c>
      <c r="I15" s="70" t="s">
        <v>1676</v>
      </c>
      <c r="J15" s="69" t="s">
        <v>1956</v>
      </c>
      <c r="K15" s="69">
        <v>0</v>
      </c>
      <c r="L15" s="69" t="s">
        <v>1676</v>
      </c>
      <c r="M15" s="69" t="s">
        <v>1676</v>
      </c>
      <c r="N15" s="69" t="s">
        <v>1676</v>
      </c>
      <c r="O15" s="69" t="s">
        <v>1676</v>
      </c>
      <c r="P15" s="69" t="s">
        <v>1676</v>
      </c>
      <c r="Q15" s="69" t="s">
        <v>1676</v>
      </c>
      <c r="R15" s="1436"/>
      <c r="S15" s="69" t="s">
        <v>761</v>
      </c>
      <c r="T15" s="69" t="s">
        <v>761</v>
      </c>
      <c r="U15" s="69">
        <v>0.39583843605896846</v>
      </c>
      <c r="V15" s="69">
        <v>0</v>
      </c>
      <c r="W15" s="69" t="s">
        <v>1956</v>
      </c>
      <c r="X15" s="69">
        <v>0</v>
      </c>
      <c r="Y15" s="69">
        <v>5.57428859355713E-2</v>
      </c>
      <c r="Z15" s="69">
        <v>5.57428859355713E-2</v>
      </c>
      <c r="AA15" s="69">
        <v>0.39583843605896846</v>
      </c>
      <c r="AB15" s="69">
        <v>0.39583843605896846</v>
      </c>
      <c r="AC15" s="69">
        <v>2889.6205832304695</v>
      </c>
      <c r="AD15" s="69">
        <v>0</v>
      </c>
      <c r="AE15" s="69">
        <v>0</v>
      </c>
      <c r="AF15" s="69">
        <v>0.70795704289146522</v>
      </c>
      <c r="AG15" s="69">
        <v>1746.9355001106933</v>
      </c>
      <c r="AH15" s="69">
        <v>2.523990389347937</v>
      </c>
      <c r="AI15" s="1436"/>
      <c r="AJ15" s="1436"/>
      <c r="AK15" s="1436"/>
      <c r="AL15" s="1436"/>
      <c r="AM15" s="1436"/>
      <c r="AN15" s="1436"/>
      <c r="AO15" s="1436"/>
      <c r="AP15" s="1436"/>
      <c r="AQ15" s="1436"/>
      <c r="AR15" s="1436"/>
      <c r="AS15" s="1436"/>
      <c r="AT15" s="1436"/>
      <c r="AU15" s="1436"/>
      <c r="AV15" s="1436"/>
      <c r="AW15" s="1436"/>
      <c r="AX15" s="1435">
        <v>0</v>
      </c>
      <c r="AY15" s="1435">
        <v>-1.5</v>
      </c>
      <c r="AZ15" s="1435">
        <v>6.34</v>
      </c>
      <c r="BA15" s="1435">
        <v>0</v>
      </c>
      <c r="BB15" s="1435">
        <v>2.17</v>
      </c>
      <c r="BC15" s="1435">
        <v>0</v>
      </c>
    </row>
    <row r="16" spans="1:55" ht="110.4" x14ac:dyDescent="0.25">
      <c r="A16" s="66"/>
      <c r="B1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 s="69" t="s">
        <v>1714</v>
      </c>
      <c r="D16" s="69" t="s">
        <v>1715</v>
      </c>
      <c r="E16" s="69" t="s">
        <v>1328</v>
      </c>
      <c r="F16" s="1209" t="str">
        <f>VLOOKUP(TBL4_OptApp[[#This Row],[Option type
Defined List]],'Option Typs_Grps'!B$2:C$47, 2, FALSE)</f>
        <v>Customer Options</v>
      </c>
      <c r="G16" s="70" t="s">
        <v>1954</v>
      </c>
      <c r="H16" s="70" t="s">
        <v>1959</v>
      </c>
      <c r="I16" s="70" t="s">
        <v>1676</v>
      </c>
      <c r="J16" s="1436"/>
      <c r="K16" s="1436"/>
      <c r="L16" s="1436"/>
      <c r="M16" s="1436"/>
      <c r="N16" s="1436"/>
      <c r="O16" s="1436"/>
      <c r="P16" s="1436"/>
      <c r="Q16" s="1436"/>
      <c r="R16" s="69" t="s">
        <v>1961</v>
      </c>
      <c r="S16" s="1436" t="s">
        <v>761</v>
      </c>
      <c r="T16" s="1436" t="s">
        <v>761</v>
      </c>
      <c r="U16" s="1436"/>
      <c r="V16" s="1436"/>
      <c r="W16" s="1436"/>
      <c r="X16" s="1436"/>
      <c r="Y16" s="1436"/>
      <c r="Z16" s="1436"/>
      <c r="AA16" s="1436"/>
      <c r="AB16" s="1436"/>
      <c r="AC16" s="1436"/>
      <c r="AD16" s="1436"/>
      <c r="AE16" s="1436"/>
      <c r="AF16" s="1436"/>
      <c r="AG16" s="1436"/>
      <c r="AH16" s="1442"/>
      <c r="AI16" s="1436"/>
      <c r="AJ16" s="1436"/>
      <c r="AK16" s="1436"/>
      <c r="AL16" s="1436"/>
      <c r="AM16" s="1436"/>
      <c r="AN16" s="1436"/>
      <c r="AO16" s="1436"/>
      <c r="AP16" s="1436"/>
      <c r="AQ16" s="1436"/>
      <c r="AR16" s="1436"/>
      <c r="AS16" s="1436"/>
      <c r="AT16" s="1436"/>
      <c r="AU16" s="1436"/>
      <c r="AV16" s="1436"/>
      <c r="AW16" s="1436"/>
      <c r="AX16" s="69"/>
      <c r="AY16" s="1434"/>
      <c r="AZ16" s="1434"/>
      <c r="BA16" s="69"/>
      <c r="BB16" s="1434"/>
      <c r="BC16" s="1434"/>
    </row>
    <row r="17" spans="1:55" ht="110.4" x14ac:dyDescent="0.25">
      <c r="A17" s="66"/>
      <c r="B1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 s="69" t="s">
        <v>1716</v>
      </c>
      <c r="D17" s="69" t="s">
        <v>1717</v>
      </c>
      <c r="E17" s="69" t="s">
        <v>1328</v>
      </c>
      <c r="F17" s="1209" t="str">
        <f>VLOOKUP(TBL4_OptApp[[#This Row],[Option type
Defined List]],'Option Typs_Grps'!B$2:C$47, 2, FALSE)</f>
        <v>Customer Options</v>
      </c>
      <c r="G17" s="70" t="s">
        <v>1954</v>
      </c>
      <c r="H17" s="70" t="s">
        <v>1959</v>
      </c>
      <c r="I17" s="70" t="s">
        <v>1676</v>
      </c>
      <c r="J17" s="1436"/>
      <c r="K17" s="1436"/>
      <c r="L17" s="1436"/>
      <c r="M17" s="1436"/>
      <c r="N17" s="1436"/>
      <c r="O17" s="1436"/>
      <c r="P17" s="1436"/>
      <c r="Q17" s="1436"/>
      <c r="R17" s="69" t="s">
        <v>1962</v>
      </c>
      <c r="S17" s="1436" t="s">
        <v>761</v>
      </c>
      <c r="T17" s="1436" t="s">
        <v>761</v>
      </c>
      <c r="U17" s="1436"/>
      <c r="V17" s="1436"/>
      <c r="W17" s="1436"/>
      <c r="X17" s="1436"/>
      <c r="Y17" s="1436"/>
      <c r="Z17" s="1436"/>
      <c r="AA17" s="1436"/>
      <c r="AB17" s="1436"/>
      <c r="AC17" s="1436"/>
      <c r="AD17" s="1436"/>
      <c r="AE17" s="1436"/>
      <c r="AF17" s="1436"/>
      <c r="AG17" s="1436"/>
      <c r="AH17" s="1442"/>
      <c r="AI17" s="1436"/>
      <c r="AJ17" s="1436"/>
      <c r="AK17" s="1436"/>
      <c r="AL17" s="1436"/>
      <c r="AM17" s="1436"/>
      <c r="AN17" s="1436"/>
      <c r="AO17" s="1436"/>
      <c r="AP17" s="1436"/>
      <c r="AQ17" s="1436"/>
      <c r="AR17" s="1436"/>
      <c r="AS17" s="1436"/>
      <c r="AT17" s="1436"/>
      <c r="AU17" s="1436"/>
      <c r="AV17" s="1436"/>
      <c r="AW17" s="1436"/>
      <c r="AX17" s="69"/>
      <c r="AY17" s="1434"/>
      <c r="AZ17" s="1434"/>
      <c r="BA17" s="69"/>
      <c r="BB17" s="1434"/>
      <c r="BC17" s="1434"/>
    </row>
    <row r="18" spans="1:55" ht="82.8" x14ac:dyDescent="0.25">
      <c r="A18" s="66"/>
      <c r="B1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 s="69" t="s">
        <v>1718</v>
      </c>
      <c r="D18" s="69" t="s">
        <v>1719</v>
      </c>
      <c r="E18" s="69" t="s">
        <v>1328</v>
      </c>
      <c r="F18" s="1209" t="str">
        <f>VLOOKUP(TBL4_OptApp[[#This Row],[Option type
Defined List]],'Option Typs_Grps'!B$2:C$47, 2, FALSE)</f>
        <v>Customer Options</v>
      </c>
      <c r="G18" s="70" t="s">
        <v>1954</v>
      </c>
      <c r="H18" s="70" t="s">
        <v>1959</v>
      </c>
      <c r="I18" s="70" t="s">
        <v>1676</v>
      </c>
      <c r="J18" s="1436"/>
      <c r="K18" s="1436"/>
      <c r="L18" s="1436"/>
      <c r="M18" s="1436"/>
      <c r="N18" s="1436"/>
      <c r="O18" s="1436"/>
      <c r="P18" s="1436"/>
      <c r="Q18" s="1436"/>
      <c r="R18" s="69" t="s">
        <v>1963</v>
      </c>
      <c r="S18" s="1436" t="s">
        <v>761</v>
      </c>
      <c r="T18" s="1436" t="s">
        <v>761</v>
      </c>
      <c r="U18" s="1436"/>
      <c r="V18" s="1436"/>
      <c r="W18" s="1436"/>
      <c r="X18" s="1436"/>
      <c r="Y18" s="1436"/>
      <c r="Z18" s="1436"/>
      <c r="AA18" s="1436"/>
      <c r="AB18" s="1436"/>
      <c r="AC18" s="1436"/>
      <c r="AD18" s="1436"/>
      <c r="AE18" s="1436"/>
      <c r="AF18" s="1436"/>
      <c r="AG18" s="1436"/>
      <c r="AH18" s="1442"/>
      <c r="AI18" s="1436"/>
      <c r="AJ18" s="1436"/>
      <c r="AK18" s="1436"/>
      <c r="AL18" s="1436"/>
      <c r="AM18" s="1436"/>
      <c r="AN18" s="1436"/>
      <c r="AO18" s="1436"/>
      <c r="AP18" s="1436"/>
      <c r="AQ18" s="1436"/>
      <c r="AR18" s="1436"/>
      <c r="AS18" s="1436"/>
      <c r="AT18" s="1436"/>
      <c r="AU18" s="1436"/>
      <c r="AV18" s="1436"/>
      <c r="AW18" s="1436"/>
      <c r="AX18" s="69"/>
      <c r="AY18" s="1434"/>
      <c r="AZ18" s="1434"/>
      <c r="BA18" s="69"/>
      <c r="BB18" s="1434"/>
      <c r="BC18" s="1434"/>
    </row>
    <row r="19" spans="1:55" ht="41.4" x14ac:dyDescent="0.25">
      <c r="A19" s="66"/>
      <c r="B1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9" s="69" t="s">
        <v>1720</v>
      </c>
      <c r="D19" s="69" t="s">
        <v>1721</v>
      </c>
      <c r="E19" s="69" t="s">
        <v>1280</v>
      </c>
      <c r="F19" s="1209" t="str">
        <f>VLOOKUP(TBL4_OptApp[[#This Row],[Option type
Defined List]],'Option Typs_Grps'!B$2:C$47, 2, FALSE)</f>
        <v>Customer Options</v>
      </c>
      <c r="G19" s="70" t="s">
        <v>1954</v>
      </c>
      <c r="H19" s="70" t="s">
        <v>1958</v>
      </c>
      <c r="I19" s="70" t="s">
        <v>1676</v>
      </c>
      <c r="J19" s="69" t="s">
        <v>1956</v>
      </c>
      <c r="K19" s="69" t="s">
        <v>1742</v>
      </c>
      <c r="L19" s="69" t="s">
        <v>1676</v>
      </c>
      <c r="M19" s="69" t="s">
        <v>1676</v>
      </c>
      <c r="N19" s="69" t="s">
        <v>1676</v>
      </c>
      <c r="O19" s="69" t="s">
        <v>1676</v>
      </c>
      <c r="P19" s="69" t="s">
        <v>1676</v>
      </c>
      <c r="Q19" s="69" t="s">
        <v>1676</v>
      </c>
      <c r="R19" s="1436"/>
      <c r="S19" s="69" t="s">
        <v>761</v>
      </c>
      <c r="T19" s="69" t="s">
        <v>761</v>
      </c>
      <c r="U19" s="69">
        <v>14.32278219037822</v>
      </c>
      <c r="V19" s="69">
        <v>0</v>
      </c>
      <c r="W19" s="69" t="s">
        <v>1956</v>
      </c>
      <c r="X19" s="69">
        <v>0</v>
      </c>
      <c r="Y19" s="69">
        <v>2.9517727363194437</v>
      </c>
      <c r="Z19" s="69">
        <v>2.9517727363194437</v>
      </c>
      <c r="AA19" s="69">
        <v>14.32278219037822</v>
      </c>
      <c r="AB19" s="69">
        <v>14.32278219037822</v>
      </c>
      <c r="AC19" s="69">
        <v>46123.109609999992</v>
      </c>
      <c r="AD19" s="69">
        <v>33.618556466046961</v>
      </c>
      <c r="AE19" s="69">
        <v>62.648852322142595</v>
      </c>
      <c r="AF19" s="69">
        <v>11.683886074923118</v>
      </c>
      <c r="AG19" s="69">
        <v>794.76825467479364</v>
      </c>
      <c r="AH19" s="69">
        <v>41.54901800289953</v>
      </c>
      <c r="AI19" s="1436"/>
      <c r="AJ19" s="1436"/>
      <c r="AK19" s="1436"/>
      <c r="AL19" s="1436"/>
      <c r="AM19" s="1436"/>
      <c r="AN19" s="1436"/>
      <c r="AO19" s="1436"/>
      <c r="AP19" s="1436"/>
      <c r="AQ19" s="1436"/>
      <c r="AR19" s="1436"/>
      <c r="AS19" s="1436"/>
      <c r="AT19" s="1436"/>
      <c r="AU19" s="1436"/>
      <c r="AV19" s="1436"/>
      <c r="AW19" s="1436"/>
      <c r="AX19" s="1435">
        <v>1.9937499999999999</v>
      </c>
      <c r="AY19" s="1435">
        <v>-9</v>
      </c>
      <c r="AZ19" s="1435">
        <v>6.34</v>
      </c>
      <c r="BA19" s="1435">
        <v>0</v>
      </c>
      <c r="BB19" s="1435">
        <v>10.85</v>
      </c>
      <c r="BC19" s="1435">
        <v>-2.91</v>
      </c>
    </row>
    <row r="20" spans="1:55" ht="96.6" x14ac:dyDescent="0.25">
      <c r="A20" s="66"/>
      <c r="B2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0" s="69" t="s">
        <v>1722</v>
      </c>
      <c r="D20" s="69" t="s">
        <v>1723</v>
      </c>
      <c r="E20" s="69" t="s">
        <v>1280</v>
      </c>
      <c r="F20" s="1209" t="str">
        <f>VLOOKUP(TBL4_OptApp[[#This Row],[Option type
Defined List]],'Option Typs_Grps'!B$2:C$47, 2, FALSE)</f>
        <v>Customer Options</v>
      </c>
      <c r="G20" s="70" t="s">
        <v>1954</v>
      </c>
      <c r="H20" s="70" t="s">
        <v>1958</v>
      </c>
      <c r="I20" s="70" t="s">
        <v>1676</v>
      </c>
      <c r="J20" s="69" t="s">
        <v>1956</v>
      </c>
      <c r="K20" s="69" t="s">
        <v>2025</v>
      </c>
      <c r="L20" s="69" t="s">
        <v>1676</v>
      </c>
      <c r="M20" s="69" t="s">
        <v>1676</v>
      </c>
      <c r="N20" s="69" t="s">
        <v>1676</v>
      </c>
      <c r="O20" s="69" t="s">
        <v>1676</v>
      </c>
      <c r="P20" s="69" t="s">
        <v>1676</v>
      </c>
      <c r="Q20" s="69" t="s">
        <v>1676</v>
      </c>
      <c r="R20" s="1436"/>
      <c r="S20" s="69" t="s">
        <v>761</v>
      </c>
      <c r="T20" s="69" t="s">
        <v>761</v>
      </c>
      <c r="U20" s="69">
        <v>5.4155713724738161</v>
      </c>
      <c r="V20" s="69">
        <v>0</v>
      </c>
      <c r="W20" s="69" t="s">
        <v>1956</v>
      </c>
      <c r="X20" s="69">
        <v>0</v>
      </c>
      <c r="Y20" s="69">
        <v>1.4128197504166666</v>
      </c>
      <c r="Z20" s="69">
        <v>1.4128197504166666</v>
      </c>
      <c r="AA20" s="69">
        <v>5.4155713724738161</v>
      </c>
      <c r="AB20" s="69">
        <v>5.4155713724738161</v>
      </c>
      <c r="AC20" s="69">
        <v>21495.159989999996</v>
      </c>
      <c r="AD20" s="69">
        <v>24.969640970860038</v>
      </c>
      <c r="AE20" s="69">
        <v>31.684623634419548</v>
      </c>
      <c r="AF20" s="69">
        <v>5.4603825173108218</v>
      </c>
      <c r="AG20" s="69">
        <v>1614.5809857849131</v>
      </c>
      <c r="AH20" s="69">
        <v>31.91515676282425</v>
      </c>
      <c r="AI20" s="1436"/>
      <c r="AJ20" s="1436"/>
      <c r="AK20" s="1436"/>
      <c r="AL20" s="1436"/>
      <c r="AM20" s="1436"/>
      <c r="AN20" s="1436"/>
      <c r="AO20" s="1436"/>
      <c r="AP20" s="1436"/>
      <c r="AQ20" s="1436"/>
      <c r="AR20" s="1436"/>
      <c r="AS20" s="1436"/>
      <c r="AT20" s="1436"/>
      <c r="AU20" s="1436"/>
      <c r="AV20" s="1436"/>
      <c r="AW20" s="1436"/>
      <c r="AX20" s="1435">
        <v>0</v>
      </c>
      <c r="AY20" s="1435">
        <v>-7.5</v>
      </c>
      <c r="AZ20" s="1435">
        <v>6.34</v>
      </c>
      <c r="BA20" s="1435">
        <v>0</v>
      </c>
      <c r="BB20" s="1435">
        <v>8.68</v>
      </c>
      <c r="BC20" s="1435">
        <v>-2.91</v>
      </c>
    </row>
    <row r="21" spans="1:55" ht="96.6" x14ac:dyDescent="0.25">
      <c r="A21" s="66"/>
      <c r="B2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1" s="69" t="s">
        <v>1724</v>
      </c>
      <c r="D21" s="69" t="s">
        <v>1725</v>
      </c>
      <c r="E21" s="69" t="s">
        <v>1280</v>
      </c>
      <c r="F21" s="1209" t="str">
        <f>VLOOKUP(TBL4_OptApp[[#This Row],[Option type
Defined List]],'Option Typs_Grps'!B$2:C$47, 2, FALSE)</f>
        <v>Customer Options</v>
      </c>
      <c r="G21" s="70" t="s">
        <v>1954</v>
      </c>
      <c r="H21" s="70" t="s">
        <v>1958</v>
      </c>
      <c r="I21" s="70" t="s">
        <v>1676</v>
      </c>
      <c r="J21" s="69" t="s">
        <v>1956</v>
      </c>
      <c r="K21" s="69" t="s">
        <v>2025</v>
      </c>
      <c r="L21" s="69" t="s">
        <v>1676</v>
      </c>
      <c r="M21" s="69" t="s">
        <v>1676</v>
      </c>
      <c r="N21" s="69" t="s">
        <v>1676</v>
      </c>
      <c r="O21" s="69" t="s">
        <v>1676</v>
      </c>
      <c r="P21" s="69" t="s">
        <v>1676</v>
      </c>
      <c r="Q21" s="69" t="s">
        <v>1676</v>
      </c>
      <c r="R21" s="1436"/>
      <c r="S21" s="69" t="s">
        <v>761</v>
      </c>
      <c r="T21" s="69" t="s">
        <v>761</v>
      </c>
      <c r="U21" s="69">
        <v>13.783292701038517</v>
      </c>
      <c r="V21" s="69">
        <v>0</v>
      </c>
      <c r="W21" s="69" t="s">
        <v>1956</v>
      </c>
      <c r="X21" s="69">
        <v>0</v>
      </c>
      <c r="Y21" s="69">
        <v>3.3475000297222222</v>
      </c>
      <c r="Z21" s="69">
        <v>3.3475000297222222</v>
      </c>
      <c r="AA21" s="69">
        <v>13.783292701038517</v>
      </c>
      <c r="AB21" s="69">
        <v>13.783292701038517</v>
      </c>
      <c r="AC21" s="69">
        <v>10057.42066</v>
      </c>
      <c r="AD21" s="69">
        <v>40.743102040069488</v>
      </c>
      <c r="AE21" s="69">
        <v>73.178270835720753</v>
      </c>
      <c r="AF21" s="69">
        <v>2.9122849705687881</v>
      </c>
      <c r="AG21" s="69">
        <v>1211.5109255974671</v>
      </c>
      <c r="AH21" s="69">
        <v>60.949925397758349</v>
      </c>
      <c r="AI21" s="1436"/>
      <c r="AJ21" s="1436"/>
      <c r="AK21" s="1436"/>
      <c r="AL21" s="1436"/>
      <c r="AM21" s="1436"/>
      <c r="AN21" s="1436"/>
      <c r="AO21" s="1436"/>
      <c r="AP21" s="1436"/>
      <c r="AQ21" s="1436"/>
      <c r="AR21" s="1436"/>
      <c r="AS21" s="1436"/>
      <c r="AT21" s="1436"/>
      <c r="AU21" s="1436"/>
      <c r="AV21" s="1436"/>
      <c r="AW21" s="1436"/>
      <c r="AX21" s="1435">
        <v>0</v>
      </c>
      <c r="AY21" s="1435">
        <v>-9</v>
      </c>
      <c r="AZ21" s="1435">
        <v>6.34</v>
      </c>
      <c r="BA21" s="1435">
        <v>0</v>
      </c>
      <c r="BB21" s="1435">
        <v>10.85</v>
      </c>
      <c r="BC21" s="1435">
        <v>-2.91</v>
      </c>
    </row>
    <row r="22" spans="1:55" ht="41.4" x14ac:dyDescent="0.25">
      <c r="B2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2" s="69" t="s">
        <v>1726</v>
      </c>
      <c r="D22" s="69" t="s">
        <v>1727</v>
      </c>
      <c r="E22" s="69" t="s">
        <v>1280</v>
      </c>
      <c r="F22" s="1209" t="str">
        <f>VLOOKUP(TBL4_OptApp[[#This Row],[Option type
Defined List]],'Option Typs_Grps'!B$2:C$47, 2, FALSE)</f>
        <v>Customer Options</v>
      </c>
      <c r="G22" s="70" t="s">
        <v>1954</v>
      </c>
      <c r="H22" s="70" t="s">
        <v>1958</v>
      </c>
      <c r="I22" s="70" t="s">
        <v>1676</v>
      </c>
      <c r="J22" s="69" t="s">
        <v>1956</v>
      </c>
      <c r="K22" s="69" t="s">
        <v>1742</v>
      </c>
      <c r="L22" s="69" t="s">
        <v>1676</v>
      </c>
      <c r="M22" s="69" t="s">
        <v>1676</v>
      </c>
      <c r="N22" s="69" t="s">
        <v>1676</v>
      </c>
      <c r="O22" s="69" t="s">
        <v>1676</v>
      </c>
      <c r="P22" s="69" t="s">
        <v>1676</v>
      </c>
      <c r="Q22" s="69" t="s">
        <v>1676</v>
      </c>
      <c r="R22" s="1436"/>
      <c r="S22" s="69" t="s">
        <v>761</v>
      </c>
      <c r="T22" s="69" t="s">
        <v>761</v>
      </c>
      <c r="U22" s="69">
        <v>5.3284828695926416</v>
      </c>
      <c r="V22" s="69">
        <v>0</v>
      </c>
      <c r="W22" s="69" t="s">
        <v>1956</v>
      </c>
      <c r="X22" s="69">
        <v>0</v>
      </c>
      <c r="Y22" s="69">
        <v>1.8510365953472223</v>
      </c>
      <c r="Z22" s="69">
        <v>1.8510365953472223</v>
      </c>
      <c r="AA22" s="69">
        <v>5.3284828695926416</v>
      </c>
      <c r="AB22" s="69">
        <v>5.3284828695926416</v>
      </c>
      <c r="AC22" s="69">
        <v>18351.521219999999</v>
      </c>
      <c r="AD22" s="69">
        <v>39.858689034567902</v>
      </c>
      <c r="AE22" s="69">
        <v>28.813158128465762</v>
      </c>
      <c r="AF22" s="69">
        <v>4.6726032924368521</v>
      </c>
      <c r="AG22" s="69">
        <v>2764.1377473402345</v>
      </c>
      <c r="AH22" s="69">
        <v>53.759611321023442</v>
      </c>
      <c r="AI22" s="1436"/>
      <c r="AJ22" s="1436"/>
      <c r="AK22" s="1436"/>
      <c r="AL22" s="1436"/>
      <c r="AM22" s="1436"/>
      <c r="AN22" s="1436"/>
      <c r="AO22" s="1436"/>
      <c r="AP22" s="1436"/>
      <c r="AQ22" s="1436"/>
      <c r="AR22" s="1436"/>
      <c r="AS22" s="1436"/>
      <c r="AT22" s="1436"/>
      <c r="AU22" s="1436"/>
      <c r="AV22" s="1436"/>
      <c r="AW22" s="1436"/>
      <c r="AX22" s="1435">
        <v>0</v>
      </c>
      <c r="AY22" s="1435">
        <v>-7.5</v>
      </c>
      <c r="AZ22" s="1435">
        <v>6.34</v>
      </c>
      <c r="BA22" s="1435">
        <v>0</v>
      </c>
      <c r="BB22" s="1435">
        <v>10.85</v>
      </c>
      <c r="BC22" s="1435">
        <v>-2.91</v>
      </c>
    </row>
    <row r="23" spans="1:55" ht="41.4" x14ac:dyDescent="0.25">
      <c r="B2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3" s="69" t="s">
        <v>1728</v>
      </c>
      <c r="D23" s="69" t="s">
        <v>1729</v>
      </c>
      <c r="E23" s="69" t="s">
        <v>1292</v>
      </c>
      <c r="F23" s="1209" t="str">
        <f>VLOOKUP(TBL4_OptApp[[#This Row],[Option type
Defined List]],'Option Typs_Grps'!B$2:C$47, 2, FALSE)</f>
        <v>Customer Options</v>
      </c>
      <c r="G23" s="70" t="s">
        <v>1954</v>
      </c>
      <c r="H23" s="70" t="s">
        <v>1959</v>
      </c>
      <c r="I23" s="70" t="s">
        <v>1676</v>
      </c>
      <c r="J23" s="1436"/>
      <c r="K23" s="1436"/>
      <c r="L23" s="1436"/>
      <c r="M23" s="1436"/>
      <c r="N23" s="1436"/>
      <c r="O23" s="1436"/>
      <c r="P23" s="1436"/>
      <c r="Q23" s="1436"/>
      <c r="R23" s="69" t="s">
        <v>2063</v>
      </c>
      <c r="S23" s="1436" t="s">
        <v>761</v>
      </c>
      <c r="T23" s="1436" t="s">
        <v>761</v>
      </c>
      <c r="U23" s="1436"/>
      <c r="V23" s="1436"/>
      <c r="W23" s="1436"/>
      <c r="X23" s="1436"/>
      <c r="Y23" s="1436"/>
      <c r="Z23" s="1436"/>
      <c r="AA23" s="1436"/>
      <c r="AB23" s="1436"/>
      <c r="AC23" s="1436"/>
      <c r="AD23" s="1436"/>
      <c r="AE23" s="1436"/>
      <c r="AF23" s="1436"/>
      <c r="AG23" s="1436"/>
      <c r="AH23" s="1442"/>
      <c r="AI23" s="1436"/>
      <c r="AJ23" s="1436"/>
      <c r="AK23" s="1436"/>
      <c r="AL23" s="1436"/>
      <c r="AM23" s="1436"/>
      <c r="AN23" s="1436"/>
      <c r="AO23" s="1436"/>
      <c r="AP23" s="1436"/>
      <c r="AQ23" s="1436"/>
      <c r="AR23" s="1436"/>
      <c r="AS23" s="1436"/>
      <c r="AT23" s="1436"/>
      <c r="AU23" s="1436"/>
      <c r="AV23" s="1436"/>
      <c r="AW23" s="1436"/>
      <c r="AX23" s="1434"/>
      <c r="AY23" s="1434"/>
      <c r="AZ23" s="1434"/>
      <c r="BA23" s="1434"/>
      <c r="BB23" s="1434"/>
      <c r="BC23" s="1434"/>
    </row>
    <row r="24" spans="1:55" ht="41.4" x14ac:dyDescent="0.25">
      <c r="B2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4" s="69" t="s">
        <v>1730</v>
      </c>
      <c r="D24" s="69" t="s">
        <v>1731</v>
      </c>
      <c r="E24" s="69" t="s">
        <v>1292</v>
      </c>
      <c r="F24" s="1209" t="str">
        <f>VLOOKUP(TBL4_OptApp[[#This Row],[Option type
Defined List]],'Option Typs_Grps'!B$2:C$47, 2, FALSE)</f>
        <v>Customer Options</v>
      </c>
      <c r="G24" s="70" t="s">
        <v>1954</v>
      </c>
      <c r="H24" s="70" t="s">
        <v>1959</v>
      </c>
      <c r="I24" s="70" t="s">
        <v>1676</v>
      </c>
      <c r="J24" s="1436"/>
      <c r="K24" s="1436"/>
      <c r="L24" s="1436"/>
      <c r="M24" s="1436"/>
      <c r="N24" s="1436"/>
      <c r="O24" s="1436"/>
      <c r="P24" s="1436"/>
      <c r="Q24" s="1436"/>
      <c r="R24" s="69" t="s">
        <v>2063</v>
      </c>
      <c r="S24" s="1436" t="s">
        <v>761</v>
      </c>
      <c r="T24" s="1436" t="s">
        <v>761</v>
      </c>
      <c r="U24" s="1436"/>
      <c r="V24" s="1436"/>
      <c r="W24" s="1436"/>
      <c r="X24" s="1436"/>
      <c r="Y24" s="1436"/>
      <c r="Z24" s="1436"/>
      <c r="AA24" s="1436"/>
      <c r="AB24" s="1436"/>
      <c r="AC24" s="1436"/>
      <c r="AD24" s="1436"/>
      <c r="AE24" s="1436"/>
      <c r="AF24" s="1436"/>
      <c r="AG24" s="1436"/>
      <c r="AH24" s="1442"/>
      <c r="AI24" s="1436"/>
      <c r="AJ24" s="1436"/>
      <c r="AK24" s="1436"/>
      <c r="AL24" s="1436"/>
      <c r="AM24" s="1436"/>
      <c r="AN24" s="1436"/>
      <c r="AO24" s="1436"/>
      <c r="AP24" s="1436"/>
      <c r="AQ24" s="1436"/>
      <c r="AR24" s="1436"/>
      <c r="AS24" s="1436"/>
      <c r="AT24" s="1436"/>
      <c r="AU24" s="1436"/>
      <c r="AV24" s="1436"/>
      <c r="AW24" s="1436"/>
      <c r="AX24" s="1434"/>
      <c r="AY24" s="1434"/>
      <c r="AZ24" s="1434"/>
      <c r="BA24" s="1434"/>
      <c r="BB24" s="1434"/>
      <c r="BC24" s="1434"/>
    </row>
    <row r="25" spans="1:55" ht="41.4" x14ac:dyDescent="0.25">
      <c r="B2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 s="69" t="s">
        <v>1732</v>
      </c>
      <c r="D25" s="69" t="s">
        <v>1733</v>
      </c>
      <c r="E25" s="69" t="s">
        <v>1292</v>
      </c>
      <c r="F25" s="1209" t="str">
        <f>VLOOKUP(TBL4_OptApp[[#This Row],[Option type
Defined List]],'Option Typs_Grps'!B$2:C$47, 2, FALSE)</f>
        <v>Customer Options</v>
      </c>
      <c r="G25" s="70" t="s">
        <v>1954</v>
      </c>
      <c r="H25" s="70" t="s">
        <v>1959</v>
      </c>
      <c r="I25" s="70" t="s">
        <v>1676</v>
      </c>
      <c r="J25" s="1436"/>
      <c r="K25" s="1436"/>
      <c r="L25" s="1436"/>
      <c r="M25" s="1436"/>
      <c r="N25" s="1436"/>
      <c r="O25" s="1436"/>
      <c r="P25" s="1436"/>
      <c r="Q25" s="1436"/>
      <c r="R25" s="69" t="s">
        <v>2063</v>
      </c>
      <c r="S25" s="1436" t="s">
        <v>761</v>
      </c>
      <c r="T25" s="1436" t="s">
        <v>761</v>
      </c>
      <c r="U25" s="1436"/>
      <c r="V25" s="1436"/>
      <c r="W25" s="1436"/>
      <c r="X25" s="1436"/>
      <c r="Y25" s="1436"/>
      <c r="Z25" s="1436"/>
      <c r="AA25" s="1436"/>
      <c r="AB25" s="1436"/>
      <c r="AC25" s="1436"/>
      <c r="AD25" s="1436"/>
      <c r="AE25" s="1436"/>
      <c r="AF25" s="1436"/>
      <c r="AG25" s="1436"/>
      <c r="AH25" s="1442"/>
      <c r="AI25" s="1436"/>
      <c r="AJ25" s="1436"/>
      <c r="AK25" s="1436"/>
      <c r="AL25" s="1436"/>
      <c r="AM25" s="1436"/>
      <c r="AN25" s="1436"/>
      <c r="AO25" s="1436"/>
      <c r="AP25" s="1436"/>
      <c r="AQ25" s="1436"/>
      <c r="AR25" s="1436"/>
      <c r="AS25" s="1436"/>
      <c r="AT25" s="1436"/>
      <c r="AU25" s="1436"/>
      <c r="AV25" s="1436"/>
      <c r="AW25" s="1436"/>
      <c r="AX25" s="1434"/>
      <c r="AY25" s="1434"/>
      <c r="AZ25" s="1434"/>
      <c r="BA25" s="1434"/>
      <c r="BB25" s="1434"/>
      <c r="BC25" s="1434"/>
    </row>
    <row r="26" spans="1:55" ht="41.4" x14ac:dyDescent="0.25">
      <c r="B2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 s="69" t="s">
        <v>1734</v>
      </c>
      <c r="D26" s="69" t="s">
        <v>1735</v>
      </c>
      <c r="E26" s="69" t="s">
        <v>1292</v>
      </c>
      <c r="F26" s="1209" t="str">
        <f>VLOOKUP(TBL4_OptApp[[#This Row],[Option type
Defined List]],'Option Typs_Grps'!B$2:C$47, 2, FALSE)</f>
        <v>Customer Options</v>
      </c>
      <c r="G26" s="70" t="s">
        <v>1954</v>
      </c>
      <c r="H26" s="70" t="s">
        <v>1959</v>
      </c>
      <c r="I26" s="70" t="s">
        <v>1676</v>
      </c>
      <c r="J26" s="1436"/>
      <c r="K26" s="1436"/>
      <c r="L26" s="1436"/>
      <c r="M26" s="1436"/>
      <c r="N26" s="1436"/>
      <c r="O26" s="1436"/>
      <c r="P26" s="1436"/>
      <c r="Q26" s="1436"/>
      <c r="R26" s="69" t="s">
        <v>2063</v>
      </c>
      <c r="S26" s="1436" t="s">
        <v>761</v>
      </c>
      <c r="T26" s="1436" t="s">
        <v>761</v>
      </c>
      <c r="U26" s="1436"/>
      <c r="V26" s="1436"/>
      <c r="W26" s="1436"/>
      <c r="X26" s="1436"/>
      <c r="Y26" s="1436"/>
      <c r="Z26" s="1436"/>
      <c r="AA26" s="1436"/>
      <c r="AB26" s="1436"/>
      <c r="AC26" s="1436"/>
      <c r="AD26" s="1436"/>
      <c r="AE26" s="1436"/>
      <c r="AF26" s="1436"/>
      <c r="AG26" s="1436"/>
      <c r="AH26" s="1442"/>
      <c r="AI26" s="1436"/>
      <c r="AJ26" s="1436"/>
      <c r="AK26" s="1436"/>
      <c r="AL26" s="1436"/>
      <c r="AM26" s="1436"/>
      <c r="AN26" s="1436"/>
      <c r="AO26" s="1436"/>
      <c r="AP26" s="1436"/>
      <c r="AQ26" s="1436"/>
      <c r="AR26" s="1436"/>
      <c r="AS26" s="1436"/>
      <c r="AT26" s="1436"/>
      <c r="AU26" s="1436"/>
      <c r="AV26" s="1436"/>
      <c r="AW26" s="1436"/>
      <c r="AX26" s="1434"/>
      <c r="AY26" s="1434"/>
      <c r="AZ26" s="1434"/>
      <c r="BA26" s="1434"/>
      <c r="BB26" s="1434"/>
      <c r="BC26" s="1434"/>
    </row>
    <row r="27" spans="1:55" ht="55.2" x14ac:dyDescent="0.25">
      <c r="B2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7" s="69" t="s">
        <v>1736</v>
      </c>
      <c r="D27" s="69" t="s">
        <v>1737</v>
      </c>
      <c r="E27" s="69" t="s">
        <v>775</v>
      </c>
      <c r="F27" s="1209" t="str">
        <f>VLOOKUP(TBL4_OptApp[[#This Row],[Option type
Defined List]],'Option Typs_Grps'!B$2:C$47, 2, FALSE)</f>
        <v>Customer Options</v>
      </c>
      <c r="G27" s="70" t="s">
        <v>1954</v>
      </c>
      <c r="H27" s="70" t="s">
        <v>1958</v>
      </c>
      <c r="I27" s="70" t="s">
        <v>1676</v>
      </c>
      <c r="J27" s="69" t="s">
        <v>1956</v>
      </c>
      <c r="K27" s="69">
        <v>0</v>
      </c>
      <c r="L27" s="69" t="s">
        <v>1676</v>
      </c>
      <c r="M27" s="69" t="s">
        <v>1676</v>
      </c>
      <c r="N27" s="69" t="s">
        <v>1676</v>
      </c>
      <c r="O27" s="69" t="s">
        <v>1676</v>
      </c>
      <c r="P27" s="69" t="s">
        <v>1676</v>
      </c>
      <c r="Q27" s="69" t="s">
        <v>1676</v>
      </c>
      <c r="R27" s="1436"/>
      <c r="S27" s="69" t="s">
        <v>761</v>
      </c>
      <c r="T27" s="69" t="s">
        <v>761</v>
      </c>
      <c r="U27" s="69">
        <v>0.85909182575904852</v>
      </c>
      <c r="V27" s="69">
        <v>0</v>
      </c>
      <c r="W27" s="69" t="s">
        <v>1956</v>
      </c>
      <c r="X27" s="69">
        <v>0</v>
      </c>
      <c r="Y27" s="69">
        <v>1.185294525</v>
      </c>
      <c r="Z27" s="69">
        <v>1.185294525</v>
      </c>
      <c r="AA27" s="69">
        <v>0.85909182575904852</v>
      </c>
      <c r="AB27" s="69">
        <v>0.85909182575904852</v>
      </c>
      <c r="AC27" s="69">
        <v>25349.527040000004</v>
      </c>
      <c r="AD27" s="69">
        <v>0</v>
      </c>
      <c r="AE27" s="69">
        <v>0</v>
      </c>
      <c r="AF27" s="69">
        <v>6.2106341247999994</v>
      </c>
      <c r="AG27" s="69">
        <v>17061.274649064821</v>
      </c>
      <c r="AH27" s="69">
        <v>53.498785796352088</v>
      </c>
      <c r="AI27" s="1436"/>
      <c r="AJ27" s="1436"/>
      <c r="AK27" s="1436"/>
      <c r="AL27" s="1436"/>
      <c r="AM27" s="1436"/>
      <c r="AN27" s="1436"/>
      <c r="AO27" s="1436"/>
      <c r="AP27" s="1436"/>
      <c r="AQ27" s="1436"/>
      <c r="AR27" s="1436"/>
      <c r="AS27" s="1436"/>
      <c r="AT27" s="1436"/>
      <c r="AU27" s="1436"/>
      <c r="AV27" s="1436"/>
      <c r="AW27" s="1436"/>
      <c r="AX27" s="1435">
        <v>0</v>
      </c>
      <c r="AY27" s="1435">
        <v>-3</v>
      </c>
      <c r="AZ27" s="1435">
        <v>6.34</v>
      </c>
      <c r="BA27" s="1435">
        <v>0</v>
      </c>
      <c r="BB27" s="1435">
        <v>2.17</v>
      </c>
      <c r="BC27" s="1435">
        <v>0</v>
      </c>
    </row>
    <row r="28" spans="1:55" ht="27.6" x14ac:dyDescent="0.25">
      <c r="B2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8" s="69" t="s">
        <v>1738</v>
      </c>
      <c r="D28" s="69" t="s">
        <v>1739</v>
      </c>
      <c r="E28" s="69" t="s">
        <v>778</v>
      </c>
      <c r="F28" s="1209" t="str">
        <f>VLOOKUP(TBL4_OptApp[[#This Row],[Option type
Defined List]],'Option Typs_Grps'!B$2:C$47, 2, FALSE)</f>
        <v>Customer Options</v>
      </c>
      <c r="G28" s="70" t="s">
        <v>1954</v>
      </c>
      <c r="H28" s="70" t="s">
        <v>1958</v>
      </c>
      <c r="I28" s="70" t="s">
        <v>1676</v>
      </c>
      <c r="J28" s="69" t="s">
        <v>1956</v>
      </c>
      <c r="K28" s="69">
        <v>0</v>
      </c>
      <c r="L28" s="69" t="s">
        <v>1676</v>
      </c>
      <c r="M28" s="69" t="s">
        <v>1676</v>
      </c>
      <c r="N28" s="69" t="s">
        <v>1676</v>
      </c>
      <c r="O28" s="69" t="s">
        <v>1676</v>
      </c>
      <c r="P28" s="69" t="s">
        <v>1676</v>
      </c>
      <c r="Q28" s="69" t="s">
        <v>1676</v>
      </c>
      <c r="R28" s="1436"/>
      <c r="S28" s="69" t="s">
        <v>761</v>
      </c>
      <c r="T28" s="69" t="s">
        <v>761</v>
      </c>
      <c r="U28" s="69">
        <v>0.10888025522044609</v>
      </c>
      <c r="V28" s="69">
        <v>0</v>
      </c>
      <c r="W28" s="69" t="s">
        <v>1956</v>
      </c>
      <c r="X28" s="69">
        <v>0</v>
      </c>
      <c r="Y28" s="69">
        <v>3.0109375000000001E-2</v>
      </c>
      <c r="Z28" s="69">
        <v>3.0109375000000001E-2</v>
      </c>
      <c r="AA28" s="69">
        <v>0.10888025522044609</v>
      </c>
      <c r="AB28" s="69">
        <v>0.10888025522044609</v>
      </c>
      <c r="AC28" s="69">
        <v>4753.9650000000011</v>
      </c>
      <c r="AD28" s="69">
        <v>0</v>
      </c>
      <c r="AE28" s="69">
        <v>0</v>
      </c>
      <c r="AF28" s="69">
        <v>1.1647214249999998</v>
      </c>
      <c r="AG28" s="69">
        <v>3881.2470849015731</v>
      </c>
      <c r="AH28" s="69">
        <v>1.5424577820985892</v>
      </c>
      <c r="AI28" s="1436"/>
      <c r="AJ28" s="1436"/>
      <c r="AK28" s="1436"/>
      <c r="AL28" s="1436"/>
      <c r="AM28" s="1436"/>
      <c r="AN28" s="1436"/>
      <c r="AO28" s="1436"/>
      <c r="AP28" s="1436"/>
      <c r="AQ28" s="1436"/>
      <c r="AR28" s="1436"/>
      <c r="AS28" s="1436"/>
      <c r="AT28" s="1436"/>
      <c r="AU28" s="1436"/>
      <c r="AV28" s="1436"/>
      <c r="AW28" s="1436"/>
      <c r="AX28" s="1435">
        <v>0</v>
      </c>
      <c r="AY28" s="1435">
        <v>0</v>
      </c>
      <c r="AZ28" s="1435">
        <v>6.34</v>
      </c>
      <c r="BA28" s="1435">
        <v>0</v>
      </c>
      <c r="BB28" s="1435">
        <v>0</v>
      </c>
      <c r="BC28" s="1435">
        <v>0</v>
      </c>
    </row>
    <row r="29" spans="1:55" ht="69" x14ac:dyDescent="0.25">
      <c r="B2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9" s="69" t="s">
        <v>1740</v>
      </c>
      <c r="D29" s="69" t="s">
        <v>1741</v>
      </c>
      <c r="E29" s="69" t="s">
        <v>775</v>
      </c>
      <c r="F29" s="1209" t="str">
        <f>VLOOKUP(TBL4_OptApp[[#This Row],[Option type
Defined List]],'Option Typs_Grps'!B$2:C$47, 2, FALSE)</f>
        <v>Customer Options</v>
      </c>
      <c r="G29" s="70" t="s">
        <v>1954</v>
      </c>
      <c r="H29" s="70" t="s">
        <v>1959</v>
      </c>
      <c r="I29" s="70" t="s">
        <v>1676</v>
      </c>
      <c r="J29" s="1436"/>
      <c r="K29" s="1436"/>
      <c r="L29" s="1436"/>
      <c r="M29" s="1436"/>
      <c r="N29" s="1436"/>
      <c r="O29" s="1436"/>
      <c r="P29" s="1436"/>
      <c r="Q29" s="1436"/>
      <c r="R29" s="69" t="s">
        <v>1964</v>
      </c>
      <c r="S29" s="1436" t="s">
        <v>761</v>
      </c>
      <c r="T29" s="1436" t="s">
        <v>761</v>
      </c>
      <c r="U29" s="1436"/>
      <c r="V29" s="1436"/>
      <c r="W29" s="1436"/>
      <c r="X29" s="1436"/>
      <c r="Y29" s="1436"/>
      <c r="Z29" s="1436"/>
      <c r="AA29" s="1436"/>
      <c r="AB29" s="1436"/>
      <c r="AC29" s="1436"/>
      <c r="AD29" s="1436"/>
      <c r="AE29" s="1436"/>
      <c r="AF29" s="1436"/>
      <c r="AG29" s="1436"/>
      <c r="AH29" s="1442"/>
      <c r="AI29" s="1436"/>
      <c r="AJ29" s="1436"/>
      <c r="AK29" s="1436"/>
      <c r="AL29" s="1436"/>
      <c r="AM29" s="1436"/>
      <c r="AN29" s="1436"/>
      <c r="AO29" s="1436"/>
      <c r="AP29" s="1436"/>
      <c r="AQ29" s="1436"/>
      <c r="AR29" s="1436"/>
      <c r="AS29" s="1436"/>
      <c r="AT29" s="1436"/>
      <c r="AU29" s="1436"/>
      <c r="AV29" s="1436"/>
      <c r="AW29" s="1436"/>
      <c r="AX29" s="1435"/>
      <c r="AY29" s="1434"/>
      <c r="AZ29" s="1434"/>
      <c r="BA29" s="1435"/>
      <c r="BB29" s="1434"/>
      <c r="BC29" s="1434"/>
    </row>
    <row r="30" spans="1:55" ht="55.2" x14ac:dyDescent="0.25">
      <c r="B3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0" s="69" t="s">
        <v>1742</v>
      </c>
      <c r="D30" s="69" t="s">
        <v>1743</v>
      </c>
      <c r="E30" s="69" t="s">
        <v>778</v>
      </c>
      <c r="F30" s="1127" t="str">
        <f>VLOOKUP(TBL4_OptApp[[#This Row],[Option type
Defined List]],'Option Typs_Grps'!B$2:C$47, 2, FALSE)</f>
        <v>Customer Options</v>
      </c>
      <c r="G30" s="70" t="s">
        <v>1954</v>
      </c>
      <c r="H30" s="70" t="s">
        <v>1958</v>
      </c>
      <c r="I30" s="70" t="s">
        <v>1676</v>
      </c>
      <c r="J30" s="69" t="s">
        <v>1956</v>
      </c>
      <c r="K30" s="69" t="s">
        <v>1965</v>
      </c>
      <c r="L30" s="69" t="s">
        <v>1676</v>
      </c>
      <c r="M30" s="69" t="s">
        <v>1676</v>
      </c>
      <c r="N30" s="69" t="s">
        <v>1676</v>
      </c>
      <c r="O30" s="69" t="s">
        <v>1676</v>
      </c>
      <c r="P30" s="69" t="s">
        <v>1676</v>
      </c>
      <c r="Q30" s="69" t="s">
        <v>1676</v>
      </c>
      <c r="R30" s="1436"/>
      <c r="S30" s="69" t="s">
        <v>761</v>
      </c>
      <c r="T30" s="69" t="s">
        <v>761</v>
      </c>
      <c r="U30" s="69">
        <v>3.4127999999999998</v>
      </c>
      <c r="V30" s="69">
        <v>0</v>
      </c>
      <c r="W30" s="69" t="s">
        <v>1956</v>
      </c>
      <c r="X30" s="69">
        <v>0</v>
      </c>
      <c r="Y30" s="69">
        <v>8.5416666666666669E-2</v>
      </c>
      <c r="Z30" s="69">
        <v>8.5416666666666669E-2</v>
      </c>
      <c r="AA30" s="69">
        <v>3.4127999999999998</v>
      </c>
      <c r="AB30" s="69">
        <v>3.4127999999999998</v>
      </c>
      <c r="AC30" s="69">
        <v>0</v>
      </c>
      <c r="AD30" s="69">
        <v>9.6340892349023868</v>
      </c>
      <c r="AE30" s="69">
        <v>4.1100249468098955</v>
      </c>
      <c r="AF30" s="69">
        <v>2.5173902799210609E-2</v>
      </c>
      <c r="AG30" s="69">
        <v>370.02732076857075</v>
      </c>
      <c r="AH30" s="69">
        <v>4.6093267271642704</v>
      </c>
      <c r="AI30" s="1436"/>
      <c r="AJ30" s="1436"/>
      <c r="AK30" s="1436"/>
      <c r="AL30" s="1436"/>
      <c r="AM30" s="1436"/>
      <c r="AN30" s="1436"/>
      <c r="AO30" s="1436"/>
      <c r="AP30" s="1436"/>
      <c r="AQ30" s="1436"/>
      <c r="AR30" s="1436"/>
      <c r="AS30" s="1436"/>
      <c r="AT30" s="1436"/>
      <c r="AU30" s="1436"/>
      <c r="AV30" s="1436"/>
      <c r="AW30" s="1436"/>
      <c r="AX30" s="1435">
        <v>0</v>
      </c>
      <c r="AY30" s="1435">
        <v>-4.5</v>
      </c>
      <c r="AZ30" s="1435">
        <v>6.34</v>
      </c>
      <c r="BA30" s="1435">
        <v>0</v>
      </c>
      <c r="BB30" s="1435">
        <v>4.34</v>
      </c>
      <c r="BC30" s="1435">
        <v>-2.91</v>
      </c>
    </row>
    <row r="31" spans="1:55" ht="55.2" x14ac:dyDescent="0.25">
      <c r="B3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1" s="69" t="s">
        <v>1744</v>
      </c>
      <c r="D31" s="69" t="s">
        <v>1745</v>
      </c>
      <c r="E31" s="69" t="s">
        <v>776</v>
      </c>
      <c r="F31" s="1127" t="str">
        <f>VLOOKUP(TBL4_OptApp[[#This Row],[Option type
Defined List]],'Option Typs_Grps'!B$2:C$47, 2, FALSE)</f>
        <v>Customer Options</v>
      </c>
      <c r="G31" s="70" t="s">
        <v>1954</v>
      </c>
      <c r="H31" s="70" t="s">
        <v>1958</v>
      </c>
      <c r="I31" s="70" t="s">
        <v>1676</v>
      </c>
      <c r="J31" s="69" t="s">
        <v>1956</v>
      </c>
      <c r="K31" s="69">
        <v>0</v>
      </c>
      <c r="L31" s="69" t="s">
        <v>1676</v>
      </c>
      <c r="M31" s="69" t="s">
        <v>1676</v>
      </c>
      <c r="N31" s="69" t="s">
        <v>1676</v>
      </c>
      <c r="O31" s="69" t="s">
        <v>1676</v>
      </c>
      <c r="P31" s="69" t="s">
        <v>1676</v>
      </c>
      <c r="Q31" s="69" t="s">
        <v>1676</v>
      </c>
      <c r="R31" s="1436"/>
      <c r="S31" s="69" t="s">
        <v>761</v>
      </c>
      <c r="T31" s="69" t="s">
        <v>761</v>
      </c>
      <c r="U31" s="69">
        <v>1.1752199249574469</v>
      </c>
      <c r="V31" s="69">
        <v>0</v>
      </c>
      <c r="W31" s="69" t="s">
        <v>1956</v>
      </c>
      <c r="X31" s="69">
        <v>0</v>
      </c>
      <c r="Y31" s="69">
        <v>6.2313222222222214E-2</v>
      </c>
      <c r="Z31" s="69">
        <v>6.2313222222222214E-2</v>
      </c>
      <c r="AA31" s="69">
        <v>1.1752199249574469</v>
      </c>
      <c r="AB31" s="69">
        <v>1.89623396182375</v>
      </c>
      <c r="AC31" s="69">
        <v>573.49999999999989</v>
      </c>
      <c r="AD31" s="69">
        <v>0</v>
      </c>
      <c r="AE31" s="69">
        <v>0</v>
      </c>
      <c r="AF31" s="69">
        <v>0.14050750000000001</v>
      </c>
      <c r="AG31" s="69">
        <v>694.59494280643014</v>
      </c>
      <c r="AH31" s="69">
        <v>2.9795016304469017</v>
      </c>
      <c r="AI31" s="1436"/>
      <c r="AJ31" s="1436"/>
      <c r="AK31" s="1436"/>
      <c r="AL31" s="1436"/>
      <c r="AM31" s="1436"/>
      <c r="AN31" s="1436"/>
      <c r="AO31" s="1436"/>
      <c r="AP31" s="1436"/>
      <c r="AQ31" s="1436"/>
      <c r="AR31" s="1436"/>
      <c r="AS31" s="1436"/>
      <c r="AT31" s="1436"/>
      <c r="AU31" s="1436"/>
      <c r="AV31" s="1436"/>
      <c r="AW31" s="1436"/>
      <c r="AX31" s="1435">
        <v>0</v>
      </c>
      <c r="AY31" s="1435">
        <v>-1.5</v>
      </c>
      <c r="AZ31" s="1435">
        <v>6.34</v>
      </c>
      <c r="BA31" s="1435">
        <v>0</v>
      </c>
      <c r="BB31" s="1435">
        <v>6.51</v>
      </c>
      <c r="BC31" s="1435">
        <v>0</v>
      </c>
    </row>
    <row r="32" spans="1:55" ht="55.2" x14ac:dyDescent="0.25">
      <c r="B3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2" s="69" t="s">
        <v>1746</v>
      </c>
      <c r="D32" s="69" t="s">
        <v>1747</v>
      </c>
      <c r="E32" s="69" t="s">
        <v>776</v>
      </c>
      <c r="F32" s="1127" t="str">
        <f>VLOOKUP(TBL4_OptApp[[#This Row],[Option type
Defined List]],'Option Typs_Grps'!B$2:C$47, 2, FALSE)</f>
        <v>Customer Options</v>
      </c>
      <c r="G32" s="70" t="s">
        <v>1954</v>
      </c>
      <c r="H32" s="70" t="s">
        <v>1958</v>
      </c>
      <c r="I32" s="70" t="s">
        <v>1676</v>
      </c>
      <c r="J32" s="69" t="s">
        <v>1956</v>
      </c>
      <c r="K32" s="69">
        <v>0</v>
      </c>
      <c r="L32" s="69" t="s">
        <v>1676</v>
      </c>
      <c r="M32" s="69" t="s">
        <v>1676</v>
      </c>
      <c r="N32" s="69" t="s">
        <v>1676</v>
      </c>
      <c r="O32" s="69" t="s">
        <v>1676</v>
      </c>
      <c r="P32" s="69" t="s">
        <v>1676</v>
      </c>
      <c r="Q32" s="69" t="s">
        <v>1676</v>
      </c>
      <c r="R32" s="1436"/>
      <c r="S32" s="69" t="s">
        <v>761</v>
      </c>
      <c r="T32" s="69" t="s">
        <v>761</v>
      </c>
      <c r="U32" s="69">
        <v>4.2673049086240322</v>
      </c>
      <c r="V32" s="69">
        <v>0</v>
      </c>
      <c r="W32" s="69" t="s">
        <v>1956</v>
      </c>
      <c r="X32" s="69">
        <v>0</v>
      </c>
      <c r="Y32" s="69">
        <v>0.22609449566666664</v>
      </c>
      <c r="Z32" s="69">
        <v>0.22609449566666664</v>
      </c>
      <c r="AA32" s="69">
        <v>4.2673049086240322</v>
      </c>
      <c r="AB32" s="69">
        <v>4.2673049086240322</v>
      </c>
      <c r="AC32" s="69">
        <v>2280.8714999999997</v>
      </c>
      <c r="AD32" s="69">
        <v>0</v>
      </c>
      <c r="AE32" s="69">
        <v>0</v>
      </c>
      <c r="AF32" s="69">
        <v>0.55881351750000008</v>
      </c>
      <c r="AG32" s="69">
        <v>684.57958083935603</v>
      </c>
      <c r="AH32" s="69">
        <v>10.662780790657418</v>
      </c>
      <c r="AI32" s="1436"/>
      <c r="AJ32" s="1436"/>
      <c r="AK32" s="1436"/>
      <c r="AL32" s="1436"/>
      <c r="AM32" s="1436"/>
      <c r="AN32" s="1436"/>
      <c r="AO32" s="1436"/>
      <c r="AP32" s="1436"/>
      <c r="AQ32" s="1436"/>
      <c r="AR32" s="1436"/>
      <c r="AS32" s="1436"/>
      <c r="AT32" s="1436"/>
      <c r="AU32" s="1436"/>
      <c r="AV32" s="1436"/>
      <c r="AW32" s="1436"/>
      <c r="AX32" s="1435">
        <v>0</v>
      </c>
      <c r="AY32" s="1435">
        <v>-1.5</v>
      </c>
      <c r="AZ32" s="1435">
        <v>6.34</v>
      </c>
      <c r="BA32" s="1435">
        <v>0</v>
      </c>
      <c r="BB32" s="1435">
        <v>6.51</v>
      </c>
      <c r="BC32" s="1435">
        <v>0</v>
      </c>
    </row>
    <row r="33" spans="2:55" ht="27.6" x14ac:dyDescent="0.25">
      <c r="B3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3" s="69" t="s">
        <v>1748</v>
      </c>
      <c r="D33" s="69" t="s">
        <v>1749</v>
      </c>
      <c r="E33" s="69" t="s">
        <v>778</v>
      </c>
      <c r="F33" s="1127" t="str">
        <f>VLOOKUP(TBL4_OptApp[[#This Row],[Option type
Defined List]],'Option Typs_Grps'!B$2:C$47, 2, FALSE)</f>
        <v>Customer Options</v>
      </c>
      <c r="G33" s="70" t="s">
        <v>1954</v>
      </c>
      <c r="H33" s="70" t="s">
        <v>1958</v>
      </c>
      <c r="I33" s="70" t="s">
        <v>1676</v>
      </c>
      <c r="J33" s="69" t="s">
        <v>1956</v>
      </c>
      <c r="K33" s="69">
        <v>0</v>
      </c>
      <c r="L33" s="69" t="s">
        <v>1676</v>
      </c>
      <c r="M33" s="69" t="s">
        <v>1676</v>
      </c>
      <c r="N33" s="69" t="s">
        <v>1676</v>
      </c>
      <c r="O33" s="69" t="s">
        <v>1676</v>
      </c>
      <c r="P33" s="69" t="s">
        <v>1676</v>
      </c>
      <c r="Q33" s="69" t="s">
        <v>1676</v>
      </c>
      <c r="R33" s="1436"/>
      <c r="S33" s="69" t="s">
        <v>761</v>
      </c>
      <c r="T33" s="69" t="s">
        <v>761</v>
      </c>
      <c r="U33" s="69">
        <v>5.8828669214713294</v>
      </c>
      <c r="V33" s="69">
        <v>0</v>
      </c>
      <c r="W33" s="69" t="s">
        <v>1956</v>
      </c>
      <c r="X33" s="69">
        <v>0</v>
      </c>
      <c r="Y33" s="69">
        <v>9.3749999999999997E-4</v>
      </c>
      <c r="Z33" s="69">
        <v>9.3749999999999997E-4</v>
      </c>
      <c r="AA33" s="69">
        <v>5.8828669214713294</v>
      </c>
      <c r="AB33" s="69">
        <v>5.8828669214713294</v>
      </c>
      <c r="AC33" s="69">
        <v>0</v>
      </c>
      <c r="AD33" s="69">
        <v>0</v>
      </c>
      <c r="AE33" s="69">
        <v>0</v>
      </c>
      <c r="AF33" s="69">
        <v>0</v>
      </c>
      <c r="AG33" s="69">
        <v>2.897310798428224</v>
      </c>
      <c r="AH33" s="69">
        <v>6.2212402579127066E-2</v>
      </c>
      <c r="AI33" s="1436"/>
      <c r="AJ33" s="1436"/>
      <c r="AK33" s="1436"/>
      <c r="AL33" s="1436"/>
      <c r="AM33" s="1436"/>
      <c r="AN33" s="1436"/>
      <c r="AO33" s="1436"/>
      <c r="AP33" s="1436"/>
      <c r="AQ33" s="1436"/>
      <c r="AR33" s="1436"/>
      <c r="AS33" s="1436"/>
      <c r="AT33" s="1436"/>
      <c r="AU33" s="1436"/>
      <c r="AV33" s="1436"/>
      <c r="AW33" s="1436"/>
      <c r="AX33" s="1435">
        <v>0</v>
      </c>
      <c r="AY33" s="1435">
        <v>-3</v>
      </c>
      <c r="AZ33" s="1435">
        <v>6.34</v>
      </c>
      <c r="BA33" s="1435">
        <v>0</v>
      </c>
      <c r="BB33" s="1435">
        <v>8.68</v>
      </c>
      <c r="BC33" s="1435">
        <v>0</v>
      </c>
    </row>
    <row r="34" spans="2:55" ht="41.4" x14ac:dyDescent="0.25">
      <c r="B3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4" s="69" t="s">
        <v>1750</v>
      </c>
      <c r="D34" s="69" t="s">
        <v>1751</v>
      </c>
      <c r="E34" s="69" t="s">
        <v>1280</v>
      </c>
      <c r="F34" s="1127" t="str">
        <f>VLOOKUP(TBL4_OptApp[[#This Row],[Option type
Defined List]],'Option Typs_Grps'!B$2:C$47, 2, FALSE)</f>
        <v>Customer Options</v>
      </c>
      <c r="G34" s="70" t="s">
        <v>1954</v>
      </c>
      <c r="H34" s="70" t="s">
        <v>1958</v>
      </c>
      <c r="I34" s="70" t="s">
        <v>1676</v>
      </c>
      <c r="J34" s="69" t="s">
        <v>1956</v>
      </c>
      <c r="K34" s="69">
        <v>0</v>
      </c>
      <c r="L34" s="69" t="s">
        <v>1676</v>
      </c>
      <c r="M34" s="69" t="s">
        <v>1676</v>
      </c>
      <c r="N34" s="69" t="s">
        <v>1676</v>
      </c>
      <c r="O34" s="69" t="s">
        <v>1676</v>
      </c>
      <c r="P34" s="69" t="s">
        <v>1676</v>
      </c>
      <c r="Q34" s="69" t="s">
        <v>1676</v>
      </c>
      <c r="R34" s="1436"/>
      <c r="S34" s="69" t="s">
        <v>761</v>
      </c>
      <c r="T34" s="69" t="s">
        <v>761</v>
      </c>
      <c r="U34" s="69">
        <v>1.0117794232190531</v>
      </c>
      <c r="V34" s="69">
        <v>0</v>
      </c>
      <c r="W34" s="69" t="s">
        <v>1956</v>
      </c>
      <c r="X34" s="69">
        <v>0</v>
      </c>
      <c r="Y34" s="69">
        <v>1.5173865128472228</v>
      </c>
      <c r="Z34" s="69">
        <v>1.5173865128472228</v>
      </c>
      <c r="AA34" s="69">
        <v>1.0117794232190531</v>
      </c>
      <c r="AB34" s="69">
        <v>1.0117794232190531</v>
      </c>
      <c r="AC34" s="69">
        <v>23384.392800000005</v>
      </c>
      <c r="AD34" s="69">
        <v>51.656588748519255</v>
      </c>
      <c r="AE34" s="69">
        <v>37.344689462743986</v>
      </c>
      <c r="AF34" s="69">
        <v>5.9579124589592993</v>
      </c>
      <c r="AG34" s="69">
        <v>9843.3045671137606</v>
      </c>
      <c r="AH34" s="69">
        <v>36.351273513815983</v>
      </c>
      <c r="AI34" s="1436"/>
      <c r="AJ34" s="1436"/>
      <c r="AK34" s="1436"/>
      <c r="AL34" s="1436"/>
      <c r="AM34" s="1436"/>
      <c r="AN34" s="1436"/>
      <c r="AO34" s="1436"/>
      <c r="AP34" s="1436"/>
      <c r="AQ34" s="1436"/>
      <c r="AR34" s="1436"/>
      <c r="AS34" s="1436"/>
      <c r="AT34" s="1436"/>
      <c r="AU34" s="1436"/>
      <c r="AV34" s="1436"/>
      <c r="AW34" s="1436"/>
      <c r="AX34" s="1435">
        <v>0</v>
      </c>
      <c r="AY34" s="1435">
        <v>-6</v>
      </c>
      <c r="AZ34" s="1435">
        <v>6.34</v>
      </c>
      <c r="BA34" s="1435">
        <v>0</v>
      </c>
      <c r="BB34" s="1435">
        <v>6.51</v>
      </c>
      <c r="BC34" s="1435">
        <v>-5.82</v>
      </c>
    </row>
    <row r="35" spans="2:55" ht="41.4" x14ac:dyDescent="0.25">
      <c r="B3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5" s="69" t="s">
        <v>1752</v>
      </c>
      <c r="D35" s="69" t="s">
        <v>1753</v>
      </c>
      <c r="E35" s="69" t="s">
        <v>1280</v>
      </c>
      <c r="F35" s="1127" t="str">
        <f>VLOOKUP(TBL4_OptApp[[#This Row],[Option type
Defined List]],'Option Typs_Grps'!B$2:C$47, 2, FALSE)</f>
        <v>Customer Options</v>
      </c>
      <c r="G35" s="70" t="s">
        <v>1954</v>
      </c>
      <c r="H35" s="70" t="s">
        <v>1958</v>
      </c>
      <c r="I35" s="70" t="s">
        <v>1676</v>
      </c>
      <c r="J35" s="69" t="s">
        <v>1956</v>
      </c>
      <c r="K35" s="69">
        <v>0</v>
      </c>
      <c r="L35" s="69" t="s">
        <v>1676</v>
      </c>
      <c r="M35" s="69" t="s">
        <v>1676</v>
      </c>
      <c r="N35" s="69" t="s">
        <v>1676</v>
      </c>
      <c r="O35" s="69" t="s">
        <v>1676</v>
      </c>
      <c r="P35" s="69" t="s">
        <v>1676</v>
      </c>
      <c r="Q35" s="69" t="s">
        <v>1676</v>
      </c>
      <c r="R35" s="1436"/>
      <c r="S35" s="69" t="s">
        <v>761</v>
      </c>
      <c r="T35" s="69" t="s">
        <v>761</v>
      </c>
      <c r="U35" s="69">
        <v>7.6153138858871046</v>
      </c>
      <c r="V35" s="69">
        <v>0</v>
      </c>
      <c r="W35" s="69" t="s">
        <v>1956</v>
      </c>
      <c r="X35" s="69">
        <v>0</v>
      </c>
      <c r="Y35" s="69">
        <v>2.0566019329166658</v>
      </c>
      <c r="Z35" s="69">
        <v>2.0566019329166658</v>
      </c>
      <c r="AA35" s="69">
        <v>7.6153138858871046</v>
      </c>
      <c r="AB35" s="69">
        <v>7.6153138858871046</v>
      </c>
      <c r="AC35" s="69">
        <v>31886.838719999996</v>
      </c>
      <c r="AD35" s="69">
        <v>70.443923263661247</v>
      </c>
      <c r="AE35" s="69">
        <v>50.921709667847473</v>
      </c>
      <c r="AF35" s="69">
        <v>8.1241709581155561</v>
      </c>
      <c r="AG35" s="69">
        <v>1772.143452263683</v>
      </c>
      <c r="AH35" s="69">
        <v>49.258314535297515</v>
      </c>
      <c r="AI35" s="1436"/>
      <c r="AJ35" s="1436"/>
      <c r="AK35" s="1436"/>
      <c r="AL35" s="1436"/>
      <c r="AM35" s="1436"/>
      <c r="AN35" s="1436"/>
      <c r="AO35" s="1436"/>
      <c r="AP35" s="1436"/>
      <c r="AQ35" s="1436"/>
      <c r="AR35" s="1436"/>
      <c r="AS35" s="1436"/>
      <c r="AT35" s="1436"/>
      <c r="AU35" s="1436"/>
      <c r="AV35" s="1436"/>
      <c r="AW35" s="1436"/>
      <c r="AX35" s="1435">
        <v>1.9937499999999999</v>
      </c>
      <c r="AY35" s="1435">
        <v>-9</v>
      </c>
      <c r="AZ35" s="1435">
        <v>6.34</v>
      </c>
      <c r="BA35" s="1435">
        <v>0</v>
      </c>
      <c r="BB35" s="1435">
        <v>10.85</v>
      </c>
      <c r="BC35" s="1435">
        <v>-2.91</v>
      </c>
    </row>
    <row r="36" spans="2:55" ht="69" x14ac:dyDescent="0.25">
      <c r="B3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6" s="69" t="s">
        <v>1754</v>
      </c>
      <c r="D36" s="69" t="s">
        <v>1755</v>
      </c>
      <c r="E36" s="69" t="s">
        <v>778</v>
      </c>
      <c r="F36" s="1127" t="str">
        <f>VLOOKUP(TBL4_OptApp[[#This Row],[Option type
Defined List]],'Option Typs_Grps'!B$2:C$47, 2, FALSE)</f>
        <v>Customer Options</v>
      </c>
      <c r="G36" s="70" t="s">
        <v>1954</v>
      </c>
      <c r="H36" s="70" t="s">
        <v>1959</v>
      </c>
      <c r="I36" s="70" t="s">
        <v>1676</v>
      </c>
      <c r="J36" s="1436"/>
      <c r="K36" s="1436"/>
      <c r="L36" s="1436"/>
      <c r="M36" s="1436"/>
      <c r="N36" s="1436"/>
      <c r="O36" s="1436"/>
      <c r="P36" s="1436"/>
      <c r="Q36" s="1436"/>
      <c r="R36" s="69" t="s">
        <v>1966</v>
      </c>
      <c r="S36" s="1436" t="s">
        <v>761</v>
      </c>
      <c r="T36" s="1436" t="s">
        <v>761</v>
      </c>
      <c r="U36" s="1436"/>
      <c r="V36" s="1436"/>
      <c r="W36" s="1436"/>
      <c r="X36" s="1436"/>
      <c r="Y36" s="1436"/>
      <c r="Z36" s="1436"/>
      <c r="AA36" s="1436"/>
      <c r="AB36" s="1436"/>
      <c r="AC36" s="1436"/>
      <c r="AD36" s="1436"/>
      <c r="AE36" s="1436"/>
      <c r="AF36" s="1436"/>
      <c r="AG36" s="1436"/>
      <c r="AH36" s="1442"/>
      <c r="AI36" s="1436"/>
      <c r="AJ36" s="1436"/>
      <c r="AK36" s="1436"/>
      <c r="AL36" s="1436"/>
      <c r="AM36" s="1436"/>
      <c r="AN36" s="1436"/>
      <c r="AO36" s="1436"/>
      <c r="AP36" s="1436"/>
      <c r="AQ36" s="1436"/>
      <c r="AR36" s="1436"/>
      <c r="AS36" s="1436"/>
      <c r="AT36" s="1436"/>
      <c r="AU36" s="1436"/>
      <c r="AV36" s="1436"/>
      <c r="AW36" s="1436"/>
      <c r="AX36" s="1435"/>
      <c r="AY36" s="1434"/>
      <c r="AZ36" s="1434"/>
      <c r="BA36" s="1435"/>
      <c r="BB36" s="1434"/>
      <c r="BC36" s="1434"/>
    </row>
    <row r="37" spans="2:55" ht="55.2" x14ac:dyDescent="0.25">
      <c r="B3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 s="69" t="s">
        <v>1756</v>
      </c>
      <c r="D37" s="69" t="s">
        <v>1757</v>
      </c>
      <c r="E37" s="69" t="s">
        <v>776</v>
      </c>
      <c r="F37" s="1127" t="str">
        <f>VLOOKUP(TBL4_OptApp[[#This Row],[Option type
Defined List]],'Option Typs_Grps'!B$2:C$47, 2, FALSE)</f>
        <v>Customer Options</v>
      </c>
      <c r="G37" s="70" t="s">
        <v>1954</v>
      </c>
      <c r="H37" s="70" t="s">
        <v>1958</v>
      </c>
      <c r="I37" s="70" t="s">
        <v>1676</v>
      </c>
      <c r="J37" s="69" t="s">
        <v>1956</v>
      </c>
      <c r="K37" s="69">
        <v>0</v>
      </c>
      <c r="L37" s="69" t="s">
        <v>1676</v>
      </c>
      <c r="M37" s="69" t="s">
        <v>1676</v>
      </c>
      <c r="N37" s="69" t="s">
        <v>1676</v>
      </c>
      <c r="O37" s="69" t="s">
        <v>1676</v>
      </c>
      <c r="P37" s="69" t="s">
        <v>1676</v>
      </c>
      <c r="Q37" s="69" t="s">
        <v>1676</v>
      </c>
      <c r="R37" s="1436"/>
      <c r="S37" s="69" t="s">
        <v>761</v>
      </c>
      <c r="T37" s="69" t="s">
        <v>761</v>
      </c>
      <c r="U37" s="69">
        <v>5.7202166347615449E-2</v>
      </c>
      <c r="V37" s="69">
        <v>0</v>
      </c>
      <c r="W37" s="69" t="s">
        <v>1956</v>
      </c>
      <c r="X37" s="69">
        <v>0</v>
      </c>
      <c r="Y37" s="69">
        <v>1.5277777777777781E-2</v>
      </c>
      <c r="Z37" s="69">
        <v>1.5277777777777781E-2</v>
      </c>
      <c r="AA37" s="69">
        <v>5.7202166347615449E-2</v>
      </c>
      <c r="AB37" s="69">
        <v>5.8338494582878514E-2</v>
      </c>
      <c r="AC37" s="69">
        <v>0</v>
      </c>
      <c r="AD37" s="69">
        <v>1.11574210176</v>
      </c>
      <c r="AE37" s="69">
        <v>0.46177872998400032</v>
      </c>
      <c r="AF37" s="69">
        <v>2.8283947211520011E-3</v>
      </c>
      <c r="AG37" s="69">
        <v>3994.3148512688977</v>
      </c>
      <c r="AH37" s="69">
        <v>0.83396463836967527</v>
      </c>
      <c r="AI37" s="1436"/>
      <c r="AJ37" s="1436"/>
      <c r="AK37" s="1436"/>
      <c r="AL37" s="1436"/>
      <c r="AM37" s="1436"/>
      <c r="AN37" s="1436"/>
      <c r="AO37" s="1436"/>
      <c r="AP37" s="1436"/>
      <c r="AQ37" s="1436"/>
      <c r="AR37" s="1436"/>
      <c r="AS37" s="1436"/>
      <c r="AT37" s="1436"/>
      <c r="AU37" s="1436"/>
      <c r="AV37" s="1436"/>
      <c r="AW37" s="1436"/>
      <c r="AX37" s="1435">
        <v>0</v>
      </c>
      <c r="AY37" s="1435">
        <v>0</v>
      </c>
      <c r="AZ37" s="1435">
        <v>6.34</v>
      </c>
      <c r="BA37" s="1435">
        <v>0</v>
      </c>
      <c r="BB37" s="1435">
        <v>0</v>
      </c>
      <c r="BC37" s="1435">
        <v>0</v>
      </c>
    </row>
    <row r="38" spans="2:55" ht="69" x14ac:dyDescent="0.25">
      <c r="B3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8" s="69" t="s">
        <v>1758</v>
      </c>
      <c r="D38" s="69" t="s">
        <v>1759</v>
      </c>
      <c r="E38" s="69" t="s">
        <v>778</v>
      </c>
      <c r="F38" s="1127" t="str">
        <f>VLOOKUP(TBL4_OptApp[[#This Row],[Option type
Defined List]],'Option Typs_Grps'!B$2:C$47, 2, FALSE)</f>
        <v>Customer Options</v>
      </c>
      <c r="G38" s="70" t="s">
        <v>1954</v>
      </c>
      <c r="H38" s="70" t="s">
        <v>1959</v>
      </c>
      <c r="I38" s="70" t="s">
        <v>1676</v>
      </c>
      <c r="J38" s="1436"/>
      <c r="K38" s="1436"/>
      <c r="L38" s="1436"/>
      <c r="M38" s="1436"/>
      <c r="N38" s="1436"/>
      <c r="O38" s="1436"/>
      <c r="P38" s="1436"/>
      <c r="Q38" s="1436"/>
      <c r="R38" s="69" t="s">
        <v>1967</v>
      </c>
      <c r="S38" s="1436" t="s">
        <v>761</v>
      </c>
      <c r="T38" s="1436" t="s">
        <v>761</v>
      </c>
      <c r="U38" s="1436"/>
      <c r="V38" s="1436"/>
      <c r="W38" s="1436"/>
      <c r="X38" s="1436"/>
      <c r="Y38" s="1436"/>
      <c r="Z38" s="1436"/>
      <c r="AA38" s="1436"/>
      <c r="AB38" s="1436"/>
      <c r="AC38" s="1436"/>
      <c r="AD38" s="1436"/>
      <c r="AE38" s="1436"/>
      <c r="AF38" s="1436"/>
      <c r="AG38" s="1436"/>
      <c r="AH38" s="1442"/>
      <c r="AI38" s="1436"/>
      <c r="AJ38" s="1436"/>
      <c r="AK38" s="1436"/>
      <c r="AL38" s="1436"/>
      <c r="AM38" s="1436"/>
      <c r="AN38" s="1436"/>
      <c r="AO38" s="1436"/>
      <c r="AP38" s="1436"/>
      <c r="AQ38" s="1436"/>
      <c r="AR38" s="1436"/>
      <c r="AS38" s="1436"/>
      <c r="AT38" s="1436"/>
      <c r="AU38" s="1436"/>
      <c r="AV38" s="1436"/>
      <c r="AW38" s="1436"/>
      <c r="AX38" s="1435"/>
      <c r="AY38" s="1434"/>
      <c r="AZ38" s="1434"/>
      <c r="BA38" s="1435"/>
      <c r="BB38" s="1434"/>
      <c r="BC38" s="1434"/>
    </row>
    <row r="39" spans="2:55" ht="55.2" x14ac:dyDescent="0.25">
      <c r="B3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9" s="69" t="s">
        <v>1760</v>
      </c>
      <c r="D39" s="69" t="s">
        <v>1761</v>
      </c>
      <c r="E39" s="69" t="s">
        <v>776</v>
      </c>
      <c r="F39" s="1127" t="str">
        <f>VLOOKUP(TBL4_OptApp[[#This Row],[Option type
Defined List]],'Option Typs_Grps'!B$2:C$47, 2, FALSE)</f>
        <v>Customer Options</v>
      </c>
      <c r="G39" s="70" t="s">
        <v>1954</v>
      </c>
      <c r="H39" s="70" t="s">
        <v>1955</v>
      </c>
      <c r="I39" s="70" t="s">
        <v>1676</v>
      </c>
      <c r="J39" s="69" t="s">
        <v>1956</v>
      </c>
      <c r="K39" s="69">
        <v>0</v>
      </c>
      <c r="L39" s="69" t="s">
        <v>1957</v>
      </c>
      <c r="M39" s="69" t="s">
        <v>1957</v>
      </c>
      <c r="N39" s="69" t="s">
        <v>1957</v>
      </c>
      <c r="O39" s="69" t="s">
        <v>1676</v>
      </c>
      <c r="P39" s="69" t="s">
        <v>1676</v>
      </c>
      <c r="Q39" s="69" t="s">
        <v>1676</v>
      </c>
      <c r="R39" s="1436"/>
      <c r="S39" s="69" t="s">
        <v>761</v>
      </c>
      <c r="T39" s="69" t="s">
        <v>761</v>
      </c>
      <c r="U39" s="69">
        <v>2.3713279801746441</v>
      </c>
      <c r="V39" s="69">
        <v>0</v>
      </c>
      <c r="W39" s="69">
        <v>2030</v>
      </c>
      <c r="X39" s="69">
        <v>0</v>
      </c>
      <c r="Y39" s="69">
        <v>0.31406250000000002</v>
      </c>
      <c r="Z39" s="69">
        <v>0.31406250000000002</v>
      </c>
      <c r="AA39" s="69">
        <v>2.3713279801746441</v>
      </c>
      <c r="AB39" s="69">
        <v>4.7340067805829094</v>
      </c>
      <c r="AC39" s="69">
        <v>0</v>
      </c>
      <c r="AD39" s="69">
        <v>0</v>
      </c>
      <c r="AE39" s="69">
        <v>0</v>
      </c>
      <c r="AF39" s="69">
        <v>0</v>
      </c>
      <c r="AG39" s="69">
        <v>1728.6523138131006</v>
      </c>
      <c r="AH39" s="69">
        <v>14.962085839046056</v>
      </c>
      <c r="AI39" s="1436"/>
      <c r="AJ39" s="1436"/>
      <c r="AK39" s="1436"/>
      <c r="AL39" s="1436"/>
      <c r="AM39" s="1436"/>
      <c r="AN39" s="1436"/>
      <c r="AO39" s="1436"/>
      <c r="AP39" s="1436"/>
      <c r="AQ39" s="1436"/>
      <c r="AR39" s="1436"/>
      <c r="AS39" s="1436"/>
      <c r="AT39" s="1436"/>
      <c r="AU39" s="1436"/>
      <c r="AV39" s="1436"/>
      <c r="AW39" s="1436"/>
      <c r="AX39" s="1435">
        <v>0</v>
      </c>
      <c r="AY39" s="1435">
        <v>0</v>
      </c>
      <c r="AZ39" s="1435">
        <v>6.34</v>
      </c>
      <c r="BA39" s="1435">
        <v>0</v>
      </c>
      <c r="BB39" s="1435">
        <v>8.68</v>
      </c>
      <c r="BC39" s="1435">
        <v>0</v>
      </c>
    </row>
    <row r="40" spans="2:55" ht="55.2" x14ac:dyDescent="0.25">
      <c r="B4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0" s="69" t="s">
        <v>1762</v>
      </c>
      <c r="D40" s="69" t="s">
        <v>1763</v>
      </c>
      <c r="E40" s="69" t="s">
        <v>776</v>
      </c>
      <c r="F40" s="1127" t="str">
        <f>VLOOKUP(TBL4_OptApp[[#This Row],[Option type
Defined List]],'Option Typs_Grps'!B$2:C$47, 2, FALSE)</f>
        <v>Customer Options</v>
      </c>
      <c r="G40" s="70" t="s">
        <v>1954</v>
      </c>
      <c r="H40" s="70" t="s">
        <v>1958</v>
      </c>
      <c r="I40" s="70" t="s">
        <v>1676</v>
      </c>
      <c r="J40" s="69" t="s">
        <v>1956</v>
      </c>
      <c r="K40" s="69">
        <v>0</v>
      </c>
      <c r="L40" s="69" t="s">
        <v>1676</v>
      </c>
      <c r="M40" s="69" t="s">
        <v>1676</v>
      </c>
      <c r="N40" s="69" t="s">
        <v>1676</v>
      </c>
      <c r="O40" s="69">
        <v>0</v>
      </c>
      <c r="P40" s="69">
        <v>0</v>
      </c>
      <c r="Q40" s="69">
        <v>0</v>
      </c>
      <c r="R40" s="1436"/>
      <c r="S40" s="69" t="s">
        <v>761</v>
      </c>
      <c r="T40" s="69" t="s">
        <v>761</v>
      </c>
      <c r="U40" s="69">
        <v>0.38427919946368011</v>
      </c>
      <c r="V40" s="69">
        <v>0</v>
      </c>
      <c r="W40" s="69" t="s">
        <v>1956</v>
      </c>
      <c r="X40" s="69">
        <v>0</v>
      </c>
      <c r="Y40" s="69">
        <v>2.1342681448000005</v>
      </c>
      <c r="Z40" s="69">
        <v>2.1342681448000005</v>
      </c>
      <c r="AA40" s="69">
        <v>0.38427919946368011</v>
      </c>
      <c r="AB40" s="69">
        <v>0.74406131911409834</v>
      </c>
      <c r="AC40" s="69">
        <v>203.59559999999999</v>
      </c>
      <c r="AD40" s="69">
        <v>0.2455233064834359</v>
      </c>
      <c r="AE40" s="69">
        <v>0.15971104768029487</v>
      </c>
      <c r="AF40" s="69">
        <v>5.0859152167041816E-2</v>
      </c>
      <c r="AG40" s="69">
        <f>(((TBL4_OptApp[[#This Row],[Total NPC (£m)]]*1000000)/((TBL4_OptApp[[#This Row],[Gains in WAFU / Savings in Demand on full implementation (Ml/d)]]*365)*1000)))*100</f>
        <v>7912.1504913198096</v>
      </c>
      <c r="AH40" s="69">
        <v>11.09773322746797</v>
      </c>
      <c r="AI40" s="1436"/>
      <c r="AJ40" s="1436"/>
      <c r="AK40" s="1436"/>
      <c r="AL40" s="1436"/>
      <c r="AM40" s="1436"/>
      <c r="AN40" s="1436"/>
      <c r="AO40" s="1436"/>
      <c r="AP40" s="1436"/>
      <c r="AQ40" s="1436"/>
      <c r="AR40" s="1436"/>
      <c r="AS40" s="1436"/>
      <c r="AT40" s="1436"/>
      <c r="AU40" s="1436"/>
      <c r="AV40" s="1436"/>
      <c r="AW40" s="1436"/>
      <c r="AX40" s="1435"/>
      <c r="AY40" s="1434"/>
      <c r="AZ40" s="1434"/>
      <c r="BA40" s="1435"/>
      <c r="BB40" s="1434"/>
      <c r="BC40" s="1434"/>
    </row>
    <row r="41" spans="2:55" ht="55.2" x14ac:dyDescent="0.25">
      <c r="B4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1" s="69" t="s">
        <v>1764</v>
      </c>
      <c r="D41" s="69" t="s">
        <v>1765</v>
      </c>
      <c r="E41" s="69" t="s">
        <v>776</v>
      </c>
      <c r="F41" s="1127" t="str">
        <f>VLOOKUP(TBL4_OptApp[[#This Row],[Option type
Defined List]],'Option Typs_Grps'!B$2:C$47, 2, FALSE)</f>
        <v>Customer Options</v>
      </c>
      <c r="G41" s="70" t="s">
        <v>1954</v>
      </c>
      <c r="H41" s="70" t="s">
        <v>1958</v>
      </c>
      <c r="I41" s="70" t="s">
        <v>1676</v>
      </c>
      <c r="J41" s="69" t="s">
        <v>1956</v>
      </c>
      <c r="K41" s="69">
        <v>0</v>
      </c>
      <c r="L41" s="69" t="s">
        <v>1676</v>
      </c>
      <c r="M41" s="69" t="s">
        <v>1676</v>
      </c>
      <c r="N41" s="69" t="s">
        <v>1676</v>
      </c>
      <c r="O41" s="69">
        <v>0</v>
      </c>
      <c r="P41" s="69">
        <v>0</v>
      </c>
      <c r="Q41" s="69">
        <v>0</v>
      </c>
      <c r="R41" s="1436"/>
      <c r="S41" s="69" t="s">
        <v>761</v>
      </c>
      <c r="T41" s="69" t="s">
        <v>761</v>
      </c>
      <c r="U41" s="69">
        <v>0.38473371651890609</v>
      </c>
      <c r="V41" s="69">
        <v>0</v>
      </c>
      <c r="W41" s="69" t="s">
        <v>1956</v>
      </c>
      <c r="X41" s="69">
        <v>0</v>
      </c>
      <c r="Y41" s="69">
        <v>1.5249015127999999</v>
      </c>
      <c r="Z41" s="69">
        <v>1.5249015127999999</v>
      </c>
      <c r="AA41" s="69">
        <v>0.38473371651890609</v>
      </c>
      <c r="AB41" s="69">
        <v>0.74496324370127021</v>
      </c>
      <c r="AC41" s="69">
        <v>203.85599999999997</v>
      </c>
      <c r="AD41" s="69">
        <v>10.453336722029594</v>
      </c>
      <c r="AE41" s="69">
        <v>6.4153802974662906</v>
      </c>
      <c r="AF41" s="69">
        <v>8.9238924321981022E-2</v>
      </c>
      <c r="AG41" s="69">
        <f>(((TBL4_OptApp[[#This Row],[Total NPC (£m)]]*1000000)/((TBL4_OptApp[[#This Row],[Gains in WAFU / Savings in Demand on full implementation (Ml/d)]]*365)*1000)))*100</f>
        <v>6217.3823758268572</v>
      </c>
      <c r="AH41" s="69">
        <v>8.7309336939191962</v>
      </c>
      <c r="AI41" s="1436"/>
      <c r="AJ41" s="1436"/>
      <c r="AK41" s="1436"/>
      <c r="AL41" s="1436"/>
      <c r="AM41" s="1436"/>
      <c r="AN41" s="1436"/>
      <c r="AO41" s="1436"/>
      <c r="AP41" s="1436"/>
      <c r="AQ41" s="1436"/>
      <c r="AR41" s="1436"/>
      <c r="AS41" s="1436"/>
      <c r="AT41" s="1436"/>
      <c r="AU41" s="1436"/>
      <c r="AV41" s="1436"/>
      <c r="AW41" s="1436"/>
      <c r="AX41" s="1435"/>
      <c r="AY41" s="1434"/>
      <c r="AZ41" s="1434"/>
      <c r="BA41" s="1435"/>
      <c r="BB41" s="1434"/>
      <c r="BC41" s="1434"/>
    </row>
    <row r="42" spans="2:55" ht="55.2" x14ac:dyDescent="0.25">
      <c r="B4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2" s="69" t="s">
        <v>1766</v>
      </c>
      <c r="D42" s="69" t="s">
        <v>1767</v>
      </c>
      <c r="E42" s="69" t="s">
        <v>776</v>
      </c>
      <c r="F42" s="1127" t="str">
        <f>VLOOKUP(TBL4_OptApp[[#This Row],[Option type
Defined List]],'Option Typs_Grps'!B$2:C$47, 2, FALSE)</f>
        <v>Customer Options</v>
      </c>
      <c r="G42" s="70" t="s">
        <v>1954</v>
      </c>
      <c r="H42" s="70" t="s">
        <v>1959</v>
      </c>
      <c r="I42" s="70" t="s">
        <v>1676</v>
      </c>
      <c r="J42" s="1436"/>
      <c r="K42" s="1436"/>
      <c r="L42" s="1436"/>
      <c r="M42" s="1436"/>
      <c r="N42" s="1436"/>
      <c r="O42" s="1436"/>
      <c r="P42" s="1436"/>
      <c r="Q42" s="1436"/>
      <c r="R42" s="69" t="s">
        <v>1968</v>
      </c>
      <c r="S42" s="1436" t="s">
        <v>761</v>
      </c>
      <c r="T42" s="1436" t="s">
        <v>761</v>
      </c>
      <c r="U42" s="1436"/>
      <c r="V42" s="1436"/>
      <c r="W42" s="1436"/>
      <c r="X42" s="1436"/>
      <c r="Y42" s="1436"/>
      <c r="Z42" s="1436"/>
      <c r="AA42" s="1436"/>
      <c r="AB42" s="1436"/>
      <c r="AC42" s="1436"/>
      <c r="AD42" s="1436"/>
      <c r="AE42" s="1436"/>
      <c r="AF42" s="1436"/>
      <c r="AG42" s="1436"/>
      <c r="AH42" s="1442"/>
      <c r="AI42" s="1436"/>
      <c r="AJ42" s="1436"/>
      <c r="AK42" s="1436"/>
      <c r="AL42" s="1436"/>
      <c r="AM42" s="1436"/>
      <c r="AN42" s="1436"/>
      <c r="AO42" s="1436"/>
      <c r="AP42" s="1436"/>
      <c r="AQ42" s="1436"/>
      <c r="AR42" s="1436"/>
      <c r="AS42" s="1436"/>
      <c r="AT42" s="1436"/>
      <c r="AU42" s="1436"/>
      <c r="AV42" s="1436"/>
      <c r="AW42" s="1436"/>
      <c r="AX42" s="1435"/>
      <c r="AY42" s="1434"/>
      <c r="AZ42" s="1434"/>
      <c r="BA42" s="1435"/>
      <c r="BB42" s="1434"/>
      <c r="BC42" s="1434"/>
    </row>
    <row r="43" spans="2:55" ht="41.4" x14ac:dyDescent="0.25">
      <c r="B4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3" s="69" t="s">
        <v>1768</v>
      </c>
      <c r="D43" s="69" t="s">
        <v>1769</v>
      </c>
      <c r="E43" s="69" t="s">
        <v>778</v>
      </c>
      <c r="F43" s="1127" t="str">
        <f>VLOOKUP(TBL4_OptApp[[#This Row],[Option type
Defined List]],'Option Typs_Grps'!B$2:C$47, 2, FALSE)</f>
        <v>Customer Options</v>
      </c>
      <c r="G43" s="70" t="s">
        <v>1954</v>
      </c>
      <c r="H43" s="70" t="s">
        <v>1958</v>
      </c>
      <c r="I43" s="70" t="s">
        <v>1676</v>
      </c>
      <c r="J43" s="69" t="s">
        <v>1956</v>
      </c>
      <c r="K43" s="69">
        <v>0</v>
      </c>
      <c r="L43" s="69" t="s">
        <v>1676</v>
      </c>
      <c r="M43" s="69" t="s">
        <v>1676</v>
      </c>
      <c r="N43" s="69" t="s">
        <v>1676</v>
      </c>
      <c r="O43" s="69" t="s">
        <v>1676</v>
      </c>
      <c r="P43" s="69" t="s">
        <v>1676</v>
      </c>
      <c r="Q43" s="69" t="s">
        <v>1676</v>
      </c>
      <c r="R43" s="1436"/>
      <c r="S43" s="69" t="s">
        <v>761</v>
      </c>
      <c r="T43" s="69" t="s">
        <v>761</v>
      </c>
      <c r="U43" s="69">
        <v>6.1692985913201861</v>
      </c>
      <c r="V43" s="69">
        <v>0</v>
      </c>
      <c r="W43" s="69" t="s">
        <v>1956</v>
      </c>
      <c r="X43" s="69">
        <v>0</v>
      </c>
      <c r="Y43" s="69">
        <v>7.9180925192059923E-2</v>
      </c>
      <c r="Z43" s="69">
        <v>7.9180925192059923E-2</v>
      </c>
      <c r="AA43" s="69">
        <v>6.1692985913201861</v>
      </c>
      <c r="AB43" s="69">
        <v>6.1692985913201861</v>
      </c>
      <c r="AC43" s="69">
        <v>0</v>
      </c>
      <c r="AD43" s="69">
        <v>0</v>
      </c>
      <c r="AE43" s="69">
        <v>0</v>
      </c>
      <c r="AF43" s="69">
        <v>0</v>
      </c>
      <c r="AG43" s="69">
        <v>57.293102955156186</v>
      </c>
      <c r="AH43" s="69">
        <v>1.290122646640667</v>
      </c>
      <c r="AI43" s="1436"/>
      <c r="AJ43" s="1436"/>
      <c r="AK43" s="1436"/>
      <c r="AL43" s="1436"/>
      <c r="AM43" s="1436"/>
      <c r="AN43" s="1436"/>
      <c r="AO43" s="1436"/>
      <c r="AP43" s="1436"/>
      <c r="AQ43" s="1436"/>
      <c r="AR43" s="1436"/>
      <c r="AS43" s="1436"/>
      <c r="AT43" s="1436"/>
      <c r="AU43" s="1436"/>
      <c r="AV43" s="1436"/>
      <c r="AW43" s="1436"/>
      <c r="AX43" s="1435">
        <v>0</v>
      </c>
      <c r="AY43" s="1435">
        <v>-3</v>
      </c>
      <c r="AZ43" s="1435">
        <v>6.34</v>
      </c>
      <c r="BA43" s="1435">
        <v>0</v>
      </c>
      <c r="BB43" s="1435">
        <v>10.85</v>
      </c>
      <c r="BC43" s="1435">
        <v>-2.91</v>
      </c>
    </row>
    <row r="44" spans="2:55" ht="69" x14ac:dyDescent="0.25">
      <c r="B4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44" s="69" t="s">
        <v>1770</v>
      </c>
      <c r="D44" s="69" t="s">
        <v>1771</v>
      </c>
      <c r="E44" s="69" t="s">
        <v>778</v>
      </c>
      <c r="F44" s="1127" t="str">
        <f>VLOOKUP(TBL4_OptApp[[#This Row],[Option type
Defined List]],'Option Typs_Grps'!B$2:C$47, 2, FALSE)</f>
        <v>Customer Options</v>
      </c>
      <c r="G44" s="70" t="s">
        <v>1954</v>
      </c>
      <c r="H44" s="70" t="s">
        <v>1959</v>
      </c>
      <c r="I44" s="70" t="s">
        <v>1676</v>
      </c>
      <c r="J44" s="1436"/>
      <c r="K44" s="1436"/>
      <c r="L44" s="1436"/>
      <c r="M44" s="1436"/>
      <c r="N44" s="1436"/>
      <c r="O44" s="1436"/>
      <c r="P44" s="1436"/>
      <c r="Q44" s="1436"/>
      <c r="R44" s="69" t="s">
        <v>1969</v>
      </c>
      <c r="S44" s="1436" t="s">
        <v>761</v>
      </c>
      <c r="T44" s="1436" t="s">
        <v>761</v>
      </c>
      <c r="U44" s="1436"/>
      <c r="V44" s="1436"/>
      <c r="W44" s="1436"/>
      <c r="X44" s="1436"/>
      <c r="Y44" s="1436"/>
      <c r="Z44" s="1436"/>
      <c r="AA44" s="1436"/>
      <c r="AB44" s="1436"/>
      <c r="AC44" s="1436"/>
      <c r="AD44" s="1436"/>
      <c r="AE44" s="1436"/>
      <c r="AF44" s="1436"/>
      <c r="AG44" s="1436"/>
      <c r="AH44" s="1442"/>
      <c r="AI44" s="1436"/>
      <c r="AJ44" s="1436"/>
      <c r="AK44" s="1436"/>
      <c r="AL44" s="1436"/>
      <c r="AM44" s="1436"/>
      <c r="AN44" s="1436"/>
      <c r="AO44" s="1436"/>
      <c r="AP44" s="1436"/>
      <c r="AQ44" s="1436"/>
      <c r="AR44" s="1436"/>
      <c r="AS44" s="1436"/>
      <c r="AT44" s="1436"/>
      <c r="AU44" s="1436"/>
      <c r="AV44" s="1436"/>
      <c r="AW44" s="1436"/>
      <c r="AX44" s="1435"/>
      <c r="AY44" s="1434"/>
      <c r="AZ44" s="1434"/>
      <c r="BA44" s="1435"/>
      <c r="BB44" s="1434"/>
      <c r="BC44" s="1434"/>
    </row>
    <row r="45" spans="2:55" ht="27.6" x14ac:dyDescent="0.25">
      <c r="B4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5" s="69" t="s">
        <v>1772</v>
      </c>
      <c r="D45" s="69" t="s">
        <v>1773</v>
      </c>
      <c r="E45" s="69" t="s">
        <v>778</v>
      </c>
      <c r="F45" s="1127" t="str">
        <f>VLOOKUP(TBL4_OptApp[[#This Row],[Option type
Defined List]],'Option Typs_Grps'!B$2:C$47, 2, FALSE)</f>
        <v>Customer Options</v>
      </c>
      <c r="G45" s="70" t="s">
        <v>1954</v>
      </c>
      <c r="H45" s="70" t="s">
        <v>1958</v>
      </c>
      <c r="I45" s="70" t="s">
        <v>1676</v>
      </c>
      <c r="J45" s="69" t="s">
        <v>1956</v>
      </c>
      <c r="K45" s="69">
        <v>0</v>
      </c>
      <c r="L45" s="69" t="s">
        <v>1676</v>
      </c>
      <c r="M45" s="69" t="s">
        <v>1676</v>
      </c>
      <c r="N45" s="69" t="s">
        <v>1676</v>
      </c>
      <c r="O45" s="69" t="s">
        <v>1676</v>
      </c>
      <c r="P45" s="69" t="s">
        <v>1676</v>
      </c>
      <c r="Q45" s="69" t="s">
        <v>1676</v>
      </c>
      <c r="R45" s="1436"/>
      <c r="S45" s="69" t="s">
        <v>761</v>
      </c>
      <c r="T45" s="69" t="s">
        <v>761</v>
      </c>
      <c r="U45" s="69">
        <v>6.5855510201537168E-2</v>
      </c>
      <c r="V45" s="69">
        <v>0</v>
      </c>
      <c r="W45" s="69" t="s">
        <v>1956</v>
      </c>
      <c r="X45" s="69">
        <v>0</v>
      </c>
      <c r="Y45" s="69">
        <v>3.2812500000000001E-2</v>
      </c>
      <c r="Z45" s="69">
        <v>3.2812500000000001E-2</v>
      </c>
      <c r="AA45" s="69">
        <v>6.5855510201537168E-2</v>
      </c>
      <c r="AB45" s="69">
        <v>6.5855510201537168E-2</v>
      </c>
      <c r="AC45" s="69">
        <v>0</v>
      </c>
      <c r="AD45" s="69">
        <v>0</v>
      </c>
      <c r="AE45" s="69">
        <v>0</v>
      </c>
      <c r="AF45" s="69">
        <v>0</v>
      </c>
      <c r="AG45" s="69">
        <v>7442.6444300711082</v>
      </c>
      <c r="AH45" s="69">
        <v>1.7890078835970102</v>
      </c>
      <c r="AI45" s="1436"/>
      <c r="AJ45" s="1436"/>
      <c r="AK45" s="1436"/>
      <c r="AL45" s="1436"/>
      <c r="AM45" s="1436"/>
      <c r="AN45" s="1436"/>
      <c r="AO45" s="1436"/>
      <c r="AP45" s="1436"/>
      <c r="AQ45" s="1436"/>
      <c r="AR45" s="1436"/>
      <c r="AS45" s="1436"/>
      <c r="AT45" s="1436"/>
      <c r="AU45" s="1436"/>
      <c r="AV45" s="1436"/>
      <c r="AW45" s="1436"/>
      <c r="AX45" s="1435">
        <v>0</v>
      </c>
      <c r="AY45" s="1435">
        <v>0</v>
      </c>
      <c r="AZ45" s="1435">
        <v>6.34</v>
      </c>
      <c r="BA45" s="1435">
        <v>0</v>
      </c>
      <c r="BB45" s="1435">
        <v>0</v>
      </c>
      <c r="BC45" s="1435">
        <v>0</v>
      </c>
    </row>
    <row r="46" spans="2:55" ht="27.6" x14ac:dyDescent="0.25">
      <c r="B4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6" s="69" t="s">
        <v>1774</v>
      </c>
      <c r="D46" s="69" t="s">
        <v>1775</v>
      </c>
      <c r="E46" s="69" t="s">
        <v>1292</v>
      </c>
      <c r="F46" s="1127" t="str">
        <f>VLOOKUP(TBL4_OptApp[[#This Row],[Option type
Defined List]],'Option Typs_Grps'!B$2:C$47, 2, FALSE)</f>
        <v>Customer Options</v>
      </c>
      <c r="G46" s="70" t="s">
        <v>1954</v>
      </c>
      <c r="H46" s="70" t="s">
        <v>1958</v>
      </c>
      <c r="I46" s="70" t="s">
        <v>1676</v>
      </c>
      <c r="J46" s="69" t="s">
        <v>1956</v>
      </c>
      <c r="K46" s="69" t="s">
        <v>2064</v>
      </c>
      <c r="L46" s="69" t="s">
        <v>1676</v>
      </c>
      <c r="M46" s="69" t="s">
        <v>1676</v>
      </c>
      <c r="N46" s="69" t="s">
        <v>1676</v>
      </c>
      <c r="O46" s="69">
        <v>0</v>
      </c>
      <c r="P46" s="69">
        <v>0</v>
      </c>
      <c r="Q46" s="69">
        <v>0</v>
      </c>
      <c r="R46" s="1436"/>
      <c r="S46" s="69" t="s">
        <v>761</v>
      </c>
      <c r="T46" s="69" t="s">
        <v>761</v>
      </c>
      <c r="U46" s="69">
        <v>5.5559831741174852</v>
      </c>
      <c r="V46" s="69">
        <v>0</v>
      </c>
      <c r="W46" s="69" t="s">
        <v>1956</v>
      </c>
      <c r="X46" s="69">
        <v>0</v>
      </c>
      <c r="Y46" s="69">
        <v>103.06317695679998</v>
      </c>
      <c r="Z46" s="69">
        <v>103.06317695679998</v>
      </c>
      <c r="AA46" s="69">
        <v>5.5559831741174852</v>
      </c>
      <c r="AB46" s="69">
        <v>11.253110107628062</v>
      </c>
      <c r="AC46" s="69">
        <v>10581.539999999997</v>
      </c>
      <c r="AD46" s="69">
        <v>12.811862715421473</v>
      </c>
      <c r="AE46" s="69">
        <v>7.8510760096995433</v>
      </c>
      <c r="AF46" s="69">
        <v>2.6405651405594095</v>
      </c>
      <c r="AG46" s="69">
        <f>(((TBL4_OptApp[[#This Row],[Total NPC (£m)]]*1000000)/((TBL4_OptApp[[#This Row],[Gains in WAFU / Savings in Demand on full implementation (Ml/d)]]*365)*1000)))*100</f>
        <v>21744.933786138747</v>
      </c>
      <c r="AH46" s="69">
        <v>440.97287476901289</v>
      </c>
      <c r="AI46" s="1436"/>
      <c r="AJ46" s="1436"/>
      <c r="AK46" s="1436"/>
      <c r="AL46" s="1436"/>
      <c r="AM46" s="1436"/>
      <c r="AN46" s="1436"/>
      <c r="AO46" s="1436"/>
      <c r="AP46" s="1436"/>
      <c r="AQ46" s="1436"/>
      <c r="AR46" s="1436"/>
      <c r="AS46" s="1436"/>
      <c r="AT46" s="1436"/>
      <c r="AU46" s="1436"/>
      <c r="AV46" s="1436"/>
      <c r="AW46" s="1436"/>
      <c r="AX46" s="1435"/>
      <c r="AY46" s="1434"/>
      <c r="AZ46" s="1434"/>
      <c r="BA46" s="1435"/>
      <c r="BB46" s="1434"/>
      <c r="BC46" s="1434"/>
    </row>
    <row r="47" spans="2:55" ht="27.6" x14ac:dyDescent="0.25">
      <c r="B4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7" s="69" t="s">
        <v>1776</v>
      </c>
      <c r="D47" s="69" t="s">
        <v>1777</v>
      </c>
      <c r="E47" s="69" t="s">
        <v>1292</v>
      </c>
      <c r="F47" s="1127" t="str">
        <f>VLOOKUP(TBL4_OptApp[[#This Row],[Option type
Defined List]],'Option Typs_Grps'!B$2:C$47, 2, FALSE)</f>
        <v>Customer Options</v>
      </c>
      <c r="G47" s="70" t="s">
        <v>1954</v>
      </c>
      <c r="H47" s="70" t="s">
        <v>1958</v>
      </c>
      <c r="I47" s="70" t="s">
        <v>1676</v>
      </c>
      <c r="J47" s="69" t="s">
        <v>1956</v>
      </c>
      <c r="K47" s="69">
        <v>0</v>
      </c>
      <c r="L47" s="69" t="s">
        <v>1676</v>
      </c>
      <c r="M47" s="69" t="s">
        <v>1676</v>
      </c>
      <c r="N47" s="69" t="s">
        <v>1676</v>
      </c>
      <c r="O47" s="69">
        <v>0</v>
      </c>
      <c r="P47" s="69">
        <v>0</v>
      </c>
      <c r="Q47" s="69">
        <v>0</v>
      </c>
      <c r="R47" s="1436"/>
      <c r="S47" s="69" t="s">
        <v>761</v>
      </c>
      <c r="T47" s="69" t="s">
        <v>761</v>
      </c>
      <c r="U47" s="69">
        <v>5.280955221159136</v>
      </c>
      <c r="V47" s="69">
        <v>0</v>
      </c>
      <c r="W47" s="69" t="s">
        <v>1956</v>
      </c>
      <c r="X47" s="69">
        <v>0</v>
      </c>
      <c r="Y47" s="69">
        <v>71.142197956800004</v>
      </c>
      <c r="Z47" s="69">
        <v>71.142197956800004</v>
      </c>
      <c r="AA47" s="69">
        <v>5.280955221159136</v>
      </c>
      <c r="AB47" s="69">
        <v>10.66215928793687</v>
      </c>
      <c r="AC47" s="69">
        <v>10581.539999999997</v>
      </c>
      <c r="AD47" s="69">
        <v>2.3019674212381474E-2</v>
      </c>
      <c r="AE47" s="69">
        <v>1.4106396234045335E-2</v>
      </c>
      <c r="AF47" s="69">
        <v>2.5925637016769332</v>
      </c>
      <c r="AG47" s="69">
        <f>(((TBL4_OptApp[[#This Row],[Total NPC (£m)]]*1000000)/((TBL4_OptApp[[#This Row],[Gains in WAFU / Savings in Demand on full implementation (Ml/d)]]*365)*1000)))*100</f>
        <v>8253.240136022996</v>
      </c>
      <c r="AH47" s="69">
        <v>159.08521929550938</v>
      </c>
      <c r="AI47" s="1436"/>
      <c r="AJ47" s="1436"/>
      <c r="AK47" s="1436"/>
      <c r="AL47" s="1436"/>
      <c r="AM47" s="1436"/>
      <c r="AN47" s="1436"/>
      <c r="AO47" s="1436"/>
      <c r="AP47" s="1436"/>
      <c r="AQ47" s="1436"/>
      <c r="AR47" s="1436"/>
      <c r="AS47" s="1436"/>
      <c r="AT47" s="1436"/>
      <c r="AU47" s="1436"/>
      <c r="AV47" s="1436"/>
      <c r="AW47" s="1436"/>
      <c r="AX47" s="1435"/>
      <c r="AY47" s="1434"/>
      <c r="AZ47" s="1434"/>
      <c r="BA47" s="1435"/>
      <c r="BB47" s="1434"/>
      <c r="BC47" s="1434"/>
    </row>
    <row r="48" spans="2:55" ht="27.6" x14ac:dyDescent="0.25">
      <c r="B4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8" s="69" t="s">
        <v>1778</v>
      </c>
      <c r="D48" s="69" t="s">
        <v>1779</v>
      </c>
      <c r="E48" s="69" t="s">
        <v>1296</v>
      </c>
      <c r="F48" s="1127" t="str">
        <f>VLOOKUP(TBL4_OptApp[[#This Row],[Option type
Defined List]],'Option Typs_Grps'!B$2:C$47, 2, FALSE)</f>
        <v>Customer Options</v>
      </c>
      <c r="G48" s="70" t="s">
        <v>1954</v>
      </c>
      <c r="H48" s="70" t="s">
        <v>1958</v>
      </c>
      <c r="I48" s="70" t="s">
        <v>1676</v>
      </c>
      <c r="J48" s="69" t="s">
        <v>1956</v>
      </c>
      <c r="K48" s="69">
        <v>0</v>
      </c>
      <c r="L48" s="69" t="s">
        <v>1676</v>
      </c>
      <c r="M48" s="69" t="s">
        <v>1676</v>
      </c>
      <c r="N48" s="69" t="s">
        <v>1676</v>
      </c>
      <c r="O48" s="69">
        <v>0</v>
      </c>
      <c r="P48" s="69">
        <v>0</v>
      </c>
      <c r="Q48" s="69">
        <v>0</v>
      </c>
      <c r="R48" s="1436"/>
      <c r="S48" s="69" t="s">
        <v>761</v>
      </c>
      <c r="T48" s="69" t="s">
        <v>761</v>
      </c>
      <c r="U48" s="69">
        <v>3.4808078463119694</v>
      </c>
      <c r="V48" s="69">
        <v>0</v>
      </c>
      <c r="W48" s="69" t="s">
        <v>1956</v>
      </c>
      <c r="X48" s="69">
        <v>0</v>
      </c>
      <c r="Y48" s="69">
        <v>72.162959304000012</v>
      </c>
      <c r="Z48" s="69">
        <v>72.162959304000012</v>
      </c>
      <c r="AA48" s="69">
        <v>3.4808078463119694</v>
      </c>
      <c r="AB48" s="69">
        <v>7.0317570718115636</v>
      </c>
      <c r="AC48" s="69">
        <v>7407.4499999999962</v>
      </c>
      <c r="AD48" s="69">
        <v>8.967461535903956</v>
      </c>
      <c r="AE48" s="69">
        <v>5.4952370077845396</v>
      </c>
      <c r="AF48" s="69">
        <v>1.8484835766726802</v>
      </c>
      <c r="AG48" s="69">
        <f>(((TBL4_OptApp[[#This Row],[Total NPC (£m)]]*1000000)/((TBL4_OptApp[[#This Row],[Gains in WAFU / Savings in Demand on full implementation (Ml/d)]]*365)*1000)))*100</f>
        <v>24326.990918499869</v>
      </c>
      <c r="AH48" s="69">
        <v>309.07317016190149</v>
      </c>
      <c r="AI48" s="1436"/>
      <c r="AJ48" s="1436"/>
      <c r="AK48" s="1436"/>
      <c r="AL48" s="1436"/>
      <c r="AM48" s="1436"/>
      <c r="AN48" s="1436"/>
      <c r="AO48" s="1436"/>
      <c r="AP48" s="1436"/>
      <c r="AQ48" s="1436"/>
      <c r="AR48" s="1436"/>
      <c r="AS48" s="1436"/>
      <c r="AT48" s="1436"/>
      <c r="AU48" s="1436"/>
      <c r="AV48" s="1436"/>
      <c r="AW48" s="1436"/>
      <c r="AX48" s="1435"/>
      <c r="AY48" s="1434"/>
      <c r="AZ48" s="1434"/>
      <c r="BA48" s="1435"/>
      <c r="BB48" s="1434"/>
      <c r="BC48" s="1434"/>
    </row>
    <row r="49" spans="2:55" ht="27.6" x14ac:dyDescent="0.25">
      <c r="B4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9" s="69" t="s">
        <v>1780</v>
      </c>
      <c r="D49" s="69" t="s">
        <v>1781</v>
      </c>
      <c r="E49" s="69" t="s">
        <v>1296</v>
      </c>
      <c r="F49" s="1127" t="str">
        <f>VLOOKUP(TBL4_OptApp[[#This Row],[Option type
Defined List]],'Option Typs_Grps'!B$2:C$47, 2, FALSE)</f>
        <v>Customer Options</v>
      </c>
      <c r="G49" s="70" t="s">
        <v>1954</v>
      </c>
      <c r="H49" s="70" t="s">
        <v>1958</v>
      </c>
      <c r="I49" s="70" t="s">
        <v>1676</v>
      </c>
      <c r="J49" s="69" t="s">
        <v>1956</v>
      </c>
      <c r="K49" s="69">
        <v>0</v>
      </c>
      <c r="L49" s="69" t="s">
        <v>1676</v>
      </c>
      <c r="M49" s="69" t="s">
        <v>1676</v>
      </c>
      <c r="N49" s="69" t="s">
        <v>1676</v>
      </c>
      <c r="O49" s="69">
        <v>0</v>
      </c>
      <c r="P49" s="69">
        <v>0</v>
      </c>
      <c r="Q49" s="69">
        <v>0</v>
      </c>
      <c r="R49" s="1436"/>
      <c r="S49" s="69" t="s">
        <v>761</v>
      </c>
      <c r="T49" s="69" t="s">
        <v>761</v>
      </c>
      <c r="U49" s="69">
        <v>3.3006656979506803</v>
      </c>
      <c r="V49" s="69">
        <v>0</v>
      </c>
      <c r="W49" s="69" t="s">
        <v>1956</v>
      </c>
      <c r="X49" s="69">
        <v>0</v>
      </c>
      <c r="Y49" s="69">
        <v>25.429498500000001</v>
      </c>
      <c r="Z49" s="69">
        <v>25.429498500000001</v>
      </c>
      <c r="AA49" s="69">
        <v>3.3006656979506803</v>
      </c>
      <c r="AB49" s="69">
        <v>6.671443388956587</v>
      </c>
      <c r="AC49" s="69">
        <v>7407.4499999999962</v>
      </c>
      <c r="AD49" s="69">
        <v>19.175273032863956</v>
      </c>
      <c r="AE49" s="69">
        <v>11.750557232130339</v>
      </c>
      <c r="AF49" s="69">
        <v>1.8867974130467984</v>
      </c>
      <c r="AG49" s="69">
        <f>(((TBL4_OptApp[[#This Row],[Total NPC (£m)]]*1000000)/((TBL4_OptApp[[#This Row],[Gains in WAFU / Savings in Demand on full implementation (Ml/d)]]*365)*1000)))*100</f>
        <v>9275.1651837072222</v>
      </c>
      <c r="AH49" s="69">
        <v>111.7419014111143</v>
      </c>
      <c r="AI49" s="1436"/>
      <c r="AJ49" s="1436"/>
      <c r="AK49" s="1436"/>
      <c r="AL49" s="1436"/>
      <c r="AM49" s="1436"/>
      <c r="AN49" s="1436"/>
      <c r="AO49" s="1436"/>
      <c r="AP49" s="1436"/>
      <c r="AQ49" s="1436"/>
      <c r="AR49" s="1436"/>
      <c r="AS49" s="1436"/>
      <c r="AT49" s="1436"/>
      <c r="AU49" s="1436"/>
      <c r="AV49" s="1436"/>
      <c r="AW49" s="1436"/>
      <c r="AX49" s="1435"/>
      <c r="AY49" s="1434"/>
      <c r="AZ49" s="1434"/>
      <c r="BA49" s="1435"/>
      <c r="BB49" s="1434"/>
      <c r="BC49" s="1434"/>
    </row>
    <row r="50" spans="2:55" ht="82.8" x14ac:dyDescent="0.25">
      <c r="B5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0" s="69" t="s">
        <v>1782</v>
      </c>
      <c r="D50" s="69" t="s">
        <v>1783</v>
      </c>
      <c r="E50" s="69" t="s">
        <v>1292</v>
      </c>
      <c r="F50" s="1127" t="str">
        <f>VLOOKUP(TBL4_OptApp[[#This Row],[Option type
Defined List]],'Option Typs_Grps'!B$2:C$47, 2, FALSE)</f>
        <v>Customer Options</v>
      </c>
      <c r="G50" s="70" t="s">
        <v>1954</v>
      </c>
      <c r="H50" s="70" t="s">
        <v>1959</v>
      </c>
      <c r="I50" s="70" t="s">
        <v>1676</v>
      </c>
      <c r="J50" s="1436"/>
      <c r="K50" s="1436"/>
      <c r="L50" s="1436"/>
      <c r="M50" s="1436"/>
      <c r="N50" s="1436"/>
      <c r="O50" s="1436"/>
      <c r="P50" s="1436"/>
      <c r="Q50" s="1436"/>
      <c r="R50" s="69" t="s">
        <v>1970</v>
      </c>
      <c r="S50" s="1436" t="s">
        <v>761</v>
      </c>
      <c r="T50" s="1436" t="s">
        <v>761</v>
      </c>
      <c r="U50" s="1436"/>
      <c r="V50" s="1436"/>
      <c r="W50" s="1436"/>
      <c r="X50" s="1436"/>
      <c r="Y50" s="1436"/>
      <c r="Z50" s="1436"/>
      <c r="AA50" s="1436"/>
      <c r="AB50" s="1436"/>
      <c r="AC50" s="1436"/>
      <c r="AD50" s="1436"/>
      <c r="AE50" s="1436"/>
      <c r="AF50" s="1436"/>
      <c r="AG50" s="1436"/>
      <c r="AH50" s="1442"/>
      <c r="AI50" s="1436"/>
      <c r="AJ50" s="1436"/>
      <c r="AK50" s="1436"/>
      <c r="AL50" s="1436"/>
      <c r="AM50" s="1436"/>
      <c r="AN50" s="1436"/>
      <c r="AO50" s="1436"/>
      <c r="AP50" s="1436"/>
      <c r="AQ50" s="1436"/>
      <c r="AR50" s="1436"/>
      <c r="AS50" s="1436"/>
      <c r="AT50" s="1436"/>
      <c r="AU50" s="1436"/>
      <c r="AV50" s="1436"/>
      <c r="AW50" s="1436"/>
      <c r="AX50" s="1435"/>
      <c r="AY50" s="1434"/>
      <c r="AZ50" s="1434"/>
      <c r="BA50" s="1435"/>
      <c r="BB50" s="1434"/>
      <c r="BC50" s="1434"/>
    </row>
    <row r="51" spans="2:55" ht="27.6" x14ac:dyDescent="0.25">
      <c r="B5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1" s="69" t="s">
        <v>1784</v>
      </c>
      <c r="D51" s="69" t="s">
        <v>1785</v>
      </c>
      <c r="E51" s="69" t="s">
        <v>1292</v>
      </c>
      <c r="F51" s="1127" t="str">
        <f>VLOOKUP(TBL4_OptApp[[#This Row],[Option type
Defined List]],'Option Typs_Grps'!B$2:C$47, 2, FALSE)</f>
        <v>Customer Options</v>
      </c>
      <c r="G51" s="70" t="s">
        <v>1954</v>
      </c>
      <c r="H51" s="70" t="s">
        <v>1958</v>
      </c>
      <c r="I51" s="70" t="s">
        <v>1676</v>
      </c>
      <c r="J51" s="69" t="s">
        <v>1956</v>
      </c>
      <c r="K51" s="69">
        <v>0</v>
      </c>
      <c r="L51" s="69" t="s">
        <v>1676</v>
      </c>
      <c r="M51" s="69" t="s">
        <v>1676</v>
      </c>
      <c r="N51" s="69" t="s">
        <v>1676</v>
      </c>
      <c r="O51" s="69">
        <v>0</v>
      </c>
      <c r="P51" s="69">
        <v>0</v>
      </c>
      <c r="Q51" s="69">
        <v>0</v>
      </c>
      <c r="R51" s="1436"/>
      <c r="S51" s="69" t="s">
        <v>761</v>
      </c>
      <c r="T51" s="69" t="s">
        <v>761</v>
      </c>
      <c r="U51" s="69">
        <v>3.7886606748664962</v>
      </c>
      <c r="V51" s="69">
        <v>0</v>
      </c>
      <c r="W51" s="69" t="s">
        <v>1956</v>
      </c>
      <c r="X51" s="69">
        <v>0</v>
      </c>
      <c r="Y51" s="69">
        <v>92.845519924000001</v>
      </c>
      <c r="Z51" s="69">
        <v>92.845519924000001</v>
      </c>
      <c r="AA51" s="69">
        <v>3.7886606748664962</v>
      </c>
      <c r="AB51" s="69">
        <v>7.6773267611219946</v>
      </c>
      <c r="AC51" s="69">
        <v>9627.8249999999989</v>
      </c>
      <c r="AD51" s="69">
        <v>7.0356533368105101</v>
      </c>
      <c r="AE51" s="69">
        <v>4.311429988920108</v>
      </c>
      <c r="AF51" s="69">
        <v>2.3852246336821357</v>
      </c>
      <c r="AG51" s="69">
        <f>(((TBL4_OptApp[[#This Row],[Total NPC (£m)]]*1000000)/((TBL4_OptApp[[#This Row],[Gains in WAFU / Savings in Demand on full implementation (Ml/d)]]*365)*1000)))*100</f>
        <v>26863.861548403962</v>
      </c>
      <c r="AH51" s="69">
        <v>371.48990375576142</v>
      </c>
      <c r="AI51" s="1436"/>
      <c r="AJ51" s="1436"/>
      <c r="AK51" s="1436"/>
      <c r="AL51" s="1436"/>
      <c r="AM51" s="1436"/>
      <c r="AN51" s="1436"/>
      <c r="AO51" s="1436"/>
      <c r="AP51" s="1436"/>
      <c r="AQ51" s="1436"/>
      <c r="AR51" s="1436"/>
      <c r="AS51" s="1436"/>
      <c r="AT51" s="1436"/>
      <c r="AU51" s="1436"/>
      <c r="AV51" s="1436"/>
      <c r="AW51" s="1436"/>
      <c r="AX51" s="1435"/>
      <c r="AY51" s="1434"/>
      <c r="AZ51" s="1434"/>
      <c r="BA51" s="1435"/>
      <c r="BB51" s="1434"/>
      <c r="BC51" s="1434"/>
    </row>
    <row r="52" spans="2:55" ht="27.6" x14ac:dyDescent="0.25">
      <c r="B5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2" s="69" t="s">
        <v>1786</v>
      </c>
      <c r="D52" s="69" t="s">
        <v>1787</v>
      </c>
      <c r="E52" s="69" t="s">
        <v>1292</v>
      </c>
      <c r="F52" s="1127" t="str">
        <f>VLOOKUP(TBL4_OptApp[[#This Row],[Option type
Defined List]],'Option Typs_Grps'!B$2:C$47, 2, FALSE)</f>
        <v>Customer Options</v>
      </c>
      <c r="G52" s="70" t="s">
        <v>1954</v>
      </c>
      <c r="H52" s="70" t="s">
        <v>1958</v>
      </c>
      <c r="I52" s="70" t="s">
        <v>1676</v>
      </c>
      <c r="J52" s="69" t="s">
        <v>1956</v>
      </c>
      <c r="K52" s="69">
        <v>0</v>
      </c>
      <c r="L52" s="69" t="s">
        <v>1676</v>
      </c>
      <c r="M52" s="69" t="s">
        <v>1676</v>
      </c>
      <c r="N52" s="69" t="s">
        <v>1676</v>
      </c>
      <c r="O52" s="69">
        <v>0</v>
      </c>
      <c r="P52" s="69">
        <v>0</v>
      </c>
      <c r="Q52" s="69">
        <v>0</v>
      </c>
      <c r="R52" s="1436"/>
      <c r="S52" s="69" t="s">
        <v>761</v>
      </c>
      <c r="T52" s="69" t="s">
        <v>761</v>
      </c>
      <c r="U52" s="69">
        <v>3.7886606748664962</v>
      </c>
      <c r="V52" s="69">
        <v>0</v>
      </c>
      <c r="W52" s="69" t="s">
        <v>1956</v>
      </c>
      <c r="X52" s="69">
        <v>0</v>
      </c>
      <c r="Y52" s="69">
        <v>32.103755583333331</v>
      </c>
      <c r="Z52" s="69">
        <v>32.103755583333331</v>
      </c>
      <c r="AA52" s="69">
        <v>3.7886606748664962</v>
      </c>
      <c r="AB52" s="69">
        <v>7.6773267611219946</v>
      </c>
      <c r="AC52" s="69">
        <v>9627.8249999999989</v>
      </c>
      <c r="AD52" s="69">
        <v>17.24346483377051</v>
      </c>
      <c r="AE52" s="69">
        <v>10.566750213265909</v>
      </c>
      <c r="AF52" s="69">
        <v>2.4235384700562537</v>
      </c>
      <c r="AG52" s="69">
        <f>(((TBL4_OptApp[[#This Row],[Total NPC (£m)]]*1000000)/((TBL4_OptApp[[#This Row],[Gains in WAFU / Savings in Demand on full implementation (Ml/d)]]*365)*1000)))*100</f>
        <v>21672.609625817153</v>
      </c>
      <c r="AH52" s="69">
        <v>299.70209791039287</v>
      </c>
      <c r="AI52" s="1436"/>
      <c r="AJ52" s="1436"/>
      <c r="AK52" s="1436"/>
      <c r="AL52" s="1436"/>
      <c r="AM52" s="1436"/>
      <c r="AN52" s="1436"/>
      <c r="AO52" s="1436"/>
      <c r="AP52" s="1436"/>
      <c r="AQ52" s="1436"/>
      <c r="AR52" s="1436"/>
      <c r="AS52" s="1436"/>
      <c r="AT52" s="1436"/>
      <c r="AU52" s="1436"/>
      <c r="AV52" s="1436"/>
      <c r="AW52" s="1436"/>
      <c r="AX52" s="1435"/>
      <c r="AY52" s="1434"/>
      <c r="AZ52" s="1434"/>
      <c r="BA52" s="1435"/>
      <c r="BB52" s="1434"/>
      <c r="BC52" s="1434"/>
    </row>
    <row r="53" spans="2:55" ht="41.4" x14ac:dyDescent="0.25">
      <c r="B5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3" s="69" t="s">
        <v>1788</v>
      </c>
      <c r="D53" s="69" t="s">
        <v>1789</v>
      </c>
      <c r="E53" s="69" t="s">
        <v>778</v>
      </c>
      <c r="F53" s="1127" t="str">
        <f>VLOOKUP(TBL4_OptApp[[#This Row],[Option type
Defined List]],'Option Typs_Grps'!B$2:C$47, 2, FALSE)</f>
        <v>Customer Options</v>
      </c>
      <c r="G53" s="70" t="s">
        <v>1954</v>
      </c>
      <c r="H53" s="70" t="s">
        <v>1958</v>
      </c>
      <c r="I53" s="70" t="s">
        <v>1676</v>
      </c>
      <c r="J53" s="69" t="s">
        <v>1956</v>
      </c>
      <c r="K53" s="69">
        <v>0</v>
      </c>
      <c r="L53" s="69" t="s">
        <v>1676</v>
      </c>
      <c r="M53" s="69" t="s">
        <v>1676</v>
      </c>
      <c r="N53" s="69" t="s">
        <v>1676</v>
      </c>
      <c r="O53" s="69">
        <v>0</v>
      </c>
      <c r="P53" s="69">
        <v>0</v>
      </c>
      <c r="Q53" s="69">
        <v>0</v>
      </c>
      <c r="R53" s="1436"/>
      <c r="S53" s="69" t="s">
        <v>761</v>
      </c>
      <c r="T53" s="69" t="s">
        <v>761</v>
      </c>
      <c r="U53" s="69">
        <v>2.6521539638500369</v>
      </c>
      <c r="V53" s="69">
        <v>0</v>
      </c>
      <c r="W53" s="69" t="s">
        <v>1956</v>
      </c>
      <c r="X53" s="69">
        <v>0</v>
      </c>
      <c r="Y53" s="69">
        <v>65.009104843199992</v>
      </c>
      <c r="Z53" s="69">
        <v>65.009104843199992</v>
      </c>
      <c r="AA53" s="69">
        <v>2.6521539638500369</v>
      </c>
      <c r="AB53" s="69">
        <v>5.3743141306786875</v>
      </c>
      <c r="AC53" s="69">
        <v>6739.7099999999973</v>
      </c>
      <c r="AD53" s="69">
        <v>4.9224265957804363</v>
      </c>
      <c r="AE53" s="69">
        <v>3.0164501613899324</v>
      </c>
      <c r="AF53" s="69">
        <v>1.6697047072385141</v>
      </c>
      <c r="AG53" s="69">
        <f>(((TBL4_OptApp[[#This Row],[Total NPC (£m)]]*1000000)/((TBL4_OptApp[[#This Row],[Gains in WAFU / Savings in Demand on full implementation (Ml/d)]]*365)*1000)))*100</f>
        <v>26902.596651005693</v>
      </c>
      <c r="AH53" s="69">
        <v>260.42687346225568</v>
      </c>
      <c r="AI53" s="1436"/>
      <c r="AJ53" s="1436"/>
      <c r="AK53" s="1436"/>
      <c r="AL53" s="1436"/>
      <c r="AM53" s="1436"/>
      <c r="AN53" s="1436"/>
      <c r="AO53" s="1436"/>
      <c r="AP53" s="1436"/>
      <c r="AQ53" s="1436"/>
      <c r="AR53" s="1436"/>
      <c r="AS53" s="1436"/>
      <c r="AT53" s="1436"/>
      <c r="AU53" s="1436"/>
      <c r="AV53" s="1436"/>
      <c r="AW53" s="1436"/>
      <c r="AX53" s="1435"/>
      <c r="AY53" s="1434"/>
      <c r="AZ53" s="1434"/>
      <c r="BA53" s="1435"/>
      <c r="BB53" s="1434"/>
      <c r="BC53" s="1434"/>
    </row>
    <row r="54" spans="2:55" ht="27.6" x14ac:dyDescent="0.25">
      <c r="B5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4" s="69" t="s">
        <v>1790</v>
      </c>
      <c r="D54" s="69" t="s">
        <v>1791</v>
      </c>
      <c r="E54" s="69" t="s">
        <v>778</v>
      </c>
      <c r="F54" s="1127" t="str">
        <f>VLOOKUP(TBL4_OptApp[[#This Row],[Option type
Defined List]],'Option Typs_Grps'!B$2:C$47, 2, FALSE)</f>
        <v>Customer Options</v>
      </c>
      <c r="G54" s="70" t="s">
        <v>1954</v>
      </c>
      <c r="H54" s="70" t="s">
        <v>1958</v>
      </c>
      <c r="I54" s="70" t="s">
        <v>1676</v>
      </c>
      <c r="J54" s="69" t="s">
        <v>1956</v>
      </c>
      <c r="K54" s="69">
        <v>0</v>
      </c>
      <c r="L54" s="69" t="s">
        <v>1676</v>
      </c>
      <c r="M54" s="69" t="s">
        <v>1676</v>
      </c>
      <c r="N54" s="69" t="s">
        <v>1676</v>
      </c>
      <c r="O54" s="69">
        <v>0</v>
      </c>
      <c r="P54" s="69">
        <v>0</v>
      </c>
      <c r="Q54" s="69">
        <v>0</v>
      </c>
      <c r="R54" s="1436"/>
      <c r="S54" s="69" t="s">
        <v>761</v>
      </c>
      <c r="T54" s="69" t="s">
        <v>761</v>
      </c>
      <c r="U54" s="69">
        <v>2.6521539638500369</v>
      </c>
      <c r="V54" s="69">
        <v>0</v>
      </c>
      <c r="W54" s="69" t="s">
        <v>1956</v>
      </c>
      <c r="X54" s="69">
        <v>0</v>
      </c>
      <c r="Y54" s="69">
        <v>22.486402966666677</v>
      </c>
      <c r="Z54" s="69">
        <v>22.486402966666677</v>
      </c>
      <c r="AA54" s="69">
        <v>2.6521539638500369</v>
      </c>
      <c r="AB54" s="69">
        <v>5.3743141306786875</v>
      </c>
      <c r="AC54" s="69">
        <v>6739.7099999999973</v>
      </c>
      <c r="AD54" s="69">
        <v>15.130238092740436</v>
      </c>
      <c r="AE54" s="69">
        <v>9.2717703857357421</v>
      </c>
      <c r="AF54" s="69">
        <v>1.7080185436126323</v>
      </c>
      <c r="AG54" s="69">
        <f>(((TBL4_OptApp[[#This Row],[Total NPC (£m)]]*1000000)/((TBL4_OptApp[[#This Row],[Gains in WAFU / Savings in Demand on full implementation (Ml/d)]]*365)*1000)))*100</f>
        <v>21711.344728418884</v>
      </c>
      <c r="AH54" s="69">
        <v>210.17367578426624</v>
      </c>
      <c r="AI54" s="1436"/>
      <c r="AJ54" s="1436"/>
      <c r="AK54" s="1436"/>
      <c r="AL54" s="1436"/>
      <c r="AM54" s="1436"/>
      <c r="AN54" s="1436"/>
      <c r="AO54" s="1436"/>
      <c r="AP54" s="1436"/>
      <c r="AQ54" s="1436"/>
      <c r="AR54" s="1436"/>
      <c r="AS54" s="1436"/>
      <c r="AT54" s="1436"/>
      <c r="AU54" s="1436"/>
      <c r="AV54" s="1436"/>
      <c r="AW54" s="1436"/>
      <c r="AX54" s="1435"/>
      <c r="AY54" s="1434"/>
      <c r="AZ54" s="1434"/>
      <c r="BA54" s="1435"/>
      <c r="BB54" s="1434"/>
      <c r="BC54" s="1434"/>
    </row>
    <row r="55" spans="2:55" ht="27.6" x14ac:dyDescent="0.25">
      <c r="B5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5" s="69" t="s">
        <v>1792</v>
      </c>
      <c r="D55" s="69" t="s">
        <v>1793</v>
      </c>
      <c r="E55" s="69" t="s">
        <v>778</v>
      </c>
      <c r="F55" s="1127" t="str">
        <f>VLOOKUP(TBL4_OptApp[[#This Row],[Option type
Defined List]],'Option Typs_Grps'!B$2:C$47, 2, FALSE)</f>
        <v>Customer Options</v>
      </c>
      <c r="G55" s="70" t="s">
        <v>1954</v>
      </c>
      <c r="H55" s="70" t="s">
        <v>1958</v>
      </c>
      <c r="I55" s="70" t="s">
        <v>1676</v>
      </c>
      <c r="J55" s="69" t="s">
        <v>1956</v>
      </c>
      <c r="K55" s="69">
        <v>0</v>
      </c>
      <c r="L55" s="69" t="s">
        <v>1676</v>
      </c>
      <c r="M55" s="69" t="s">
        <v>1676</v>
      </c>
      <c r="N55" s="69" t="s">
        <v>1676</v>
      </c>
      <c r="O55" s="69">
        <v>0</v>
      </c>
      <c r="P55" s="69">
        <v>0</v>
      </c>
      <c r="Q55" s="69">
        <v>0</v>
      </c>
      <c r="R55" s="1436"/>
      <c r="S55" s="69" t="s">
        <v>761</v>
      </c>
      <c r="T55" s="69" t="s">
        <v>761</v>
      </c>
      <c r="U55" s="69">
        <v>1.2249666088567703</v>
      </c>
      <c r="V55" s="69">
        <v>0</v>
      </c>
      <c r="W55" s="69" t="s">
        <v>1956</v>
      </c>
      <c r="X55" s="69">
        <v>0</v>
      </c>
      <c r="Y55" s="69">
        <v>7.2038544607999997</v>
      </c>
      <c r="Z55" s="69">
        <v>7.2038544607999997</v>
      </c>
      <c r="AA55" s="69">
        <v>1.2249666088567703</v>
      </c>
      <c r="AB55" s="69">
        <v>2.4501330434138091</v>
      </c>
      <c r="AC55" s="69">
        <v>667.74000000000035</v>
      </c>
      <c r="AD55" s="69">
        <v>4.0450349401235215</v>
      </c>
      <c r="AE55" s="69">
        <v>2.4787868463946054</v>
      </c>
      <c r="AF55" s="69">
        <v>0.17877886943416701</v>
      </c>
      <c r="AG55" s="69">
        <f>(((TBL4_OptApp[[#This Row],[Total NPC (£m)]]*1000000)/((TBL4_OptApp[[#This Row],[Gains in WAFU / Savings in Demand on full implementation (Ml/d)]]*365)*1000)))*100</f>
        <v>8664.4267783549058</v>
      </c>
      <c r="AH55" s="69">
        <v>38.739762232547584</v>
      </c>
      <c r="AI55" s="1436"/>
      <c r="AJ55" s="1436"/>
      <c r="AK55" s="1436"/>
      <c r="AL55" s="1436"/>
      <c r="AM55" s="1436"/>
      <c r="AN55" s="1436"/>
      <c r="AO55" s="1436"/>
      <c r="AP55" s="1436"/>
      <c r="AQ55" s="1436"/>
      <c r="AR55" s="1436"/>
      <c r="AS55" s="1436"/>
      <c r="AT55" s="1436"/>
      <c r="AU55" s="1436"/>
      <c r="AV55" s="1436"/>
      <c r="AW55" s="1436"/>
      <c r="AX55" s="1435"/>
      <c r="AY55" s="1434"/>
      <c r="AZ55" s="1434"/>
      <c r="BA55" s="1435"/>
      <c r="BB55" s="1434"/>
      <c r="BC55" s="1434"/>
    </row>
    <row r="56" spans="2:55" ht="27.6" x14ac:dyDescent="0.25">
      <c r="B5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6" s="69" t="s">
        <v>1794</v>
      </c>
      <c r="D56" s="69" t="s">
        <v>1795</v>
      </c>
      <c r="E56" s="69" t="s">
        <v>778</v>
      </c>
      <c r="F56" s="1127" t="str">
        <f>VLOOKUP(TBL4_OptApp[[#This Row],[Option type
Defined List]],'Option Typs_Grps'!B$2:C$47, 2, FALSE)</f>
        <v>Customer Options</v>
      </c>
      <c r="G56" s="70" t="s">
        <v>1954</v>
      </c>
      <c r="H56" s="70" t="s">
        <v>1958</v>
      </c>
      <c r="I56" s="70" t="s">
        <v>1676</v>
      </c>
      <c r="J56" s="69" t="s">
        <v>1956</v>
      </c>
      <c r="K56" s="69">
        <v>0</v>
      </c>
      <c r="L56" s="69" t="s">
        <v>1676</v>
      </c>
      <c r="M56" s="69" t="s">
        <v>1676</v>
      </c>
      <c r="N56" s="69" t="s">
        <v>1676</v>
      </c>
      <c r="O56" s="69">
        <v>0</v>
      </c>
      <c r="P56" s="69">
        <v>0</v>
      </c>
      <c r="Q56" s="69">
        <v>0</v>
      </c>
      <c r="R56" s="1436"/>
      <c r="S56" s="69" t="s">
        <v>761</v>
      </c>
      <c r="T56" s="69" t="s">
        <v>761</v>
      </c>
      <c r="U56" s="69">
        <v>1.0448244604954808</v>
      </c>
      <c r="V56" s="69">
        <v>0</v>
      </c>
      <c r="W56" s="69" t="s">
        <v>1956</v>
      </c>
      <c r="X56" s="69">
        <v>0</v>
      </c>
      <c r="Y56" s="69">
        <v>2.9910955333333336</v>
      </c>
      <c r="Z56" s="69">
        <v>2.9910955333333336</v>
      </c>
      <c r="AA56" s="69">
        <v>1.0448244604954808</v>
      </c>
      <c r="AB56" s="69">
        <v>2.0898193605588373</v>
      </c>
      <c r="AC56" s="69">
        <v>667.74000000000035</v>
      </c>
      <c r="AD56" s="69">
        <v>14.252846437083521</v>
      </c>
      <c r="AE56" s="69">
        <v>8.7341070707404089</v>
      </c>
      <c r="AF56" s="69">
        <v>0.21709270580828502</v>
      </c>
      <c r="AG56" s="69">
        <f>(((TBL4_OptApp[[#This Row],[Total NPC (£m)]]*1000000)/((TBL4_OptApp[[#This Row],[Gains in WAFU / Savings in Demand on full implementation (Ml/d)]]*365)*1000)))*100</f>
        <v>5493.8656490913163</v>
      </c>
      <c r="AH56" s="69">
        <v>20.951457026889685</v>
      </c>
      <c r="AI56" s="1436"/>
      <c r="AJ56" s="1436"/>
      <c r="AK56" s="1436"/>
      <c r="AL56" s="1436"/>
      <c r="AM56" s="1436"/>
      <c r="AN56" s="1436"/>
      <c r="AO56" s="1436"/>
      <c r="AP56" s="1436"/>
      <c r="AQ56" s="1436"/>
      <c r="AR56" s="1436"/>
      <c r="AS56" s="1436"/>
      <c r="AT56" s="1436"/>
      <c r="AU56" s="1436"/>
      <c r="AV56" s="1436"/>
      <c r="AW56" s="1436"/>
      <c r="AX56" s="1435"/>
      <c r="AY56" s="1434"/>
      <c r="AZ56" s="1434"/>
      <c r="BA56" s="1435"/>
      <c r="BB56" s="1434"/>
      <c r="BC56" s="1434"/>
    </row>
    <row r="57" spans="2:55" ht="27.6" x14ac:dyDescent="0.25">
      <c r="B5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7" s="69" t="s">
        <v>1796</v>
      </c>
      <c r="D57" s="69" t="s">
        <v>1797</v>
      </c>
      <c r="E57" s="69" t="s">
        <v>778</v>
      </c>
      <c r="F57" s="1127" t="str">
        <f>VLOOKUP(TBL4_OptApp[[#This Row],[Option type
Defined List]],'Option Typs_Grps'!B$2:C$47, 2, FALSE)</f>
        <v>Customer Options</v>
      </c>
      <c r="G57" s="70" t="s">
        <v>1954</v>
      </c>
      <c r="H57" s="70" t="s">
        <v>1958</v>
      </c>
      <c r="I57" s="70" t="s">
        <v>1676</v>
      </c>
      <c r="J57" s="69" t="s">
        <v>1956</v>
      </c>
      <c r="K57" s="69">
        <v>0</v>
      </c>
      <c r="L57" s="69" t="s">
        <v>1676</v>
      </c>
      <c r="M57" s="69" t="s">
        <v>1676</v>
      </c>
      <c r="N57" s="69" t="s">
        <v>1676</v>
      </c>
      <c r="O57" s="69">
        <v>0</v>
      </c>
      <c r="P57" s="69">
        <v>0</v>
      </c>
      <c r="Q57" s="69">
        <v>0</v>
      </c>
      <c r="R57" s="1436"/>
      <c r="S57" s="69" t="s">
        <v>761</v>
      </c>
      <c r="T57" s="69" t="s">
        <v>761</v>
      </c>
      <c r="U57" s="69">
        <v>0.15440038732804698</v>
      </c>
      <c r="V57" s="69">
        <v>0</v>
      </c>
      <c r="W57" s="69" t="s">
        <v>1956</v>
      </c>
      <c r="X57" s="69">
        <v>0</v>
      </c>
      <c r="Y57" s="69">
        <v>0.95170449679999991</v>
      </c>
      <c r="Z57" s="69">
        <v>0.95170449679999991</v>
      </c>
      <c r="AA57" s="69">
        <v>0.15440038732804698</v>
      </c>
      <c r="AB57" s="69">
        <v>0.30882596160020898</v>
      </c>
      <c r="AC57" s="69">
        <v>84.165000000000006</v>
      </c>
      <c r="AD57" s="69">
        <v>0.51477885359999997</v>
      </c>
      <c r="AE57" s="69">
        <v>0.31545513697511057</v>
      </c>
      <c r="AF57" s="69">
        <v>2.2552587713972536E-2</v>
      </c>
      <c r="AG57" s="69">
        <f>(((TBL4_OptApp[[#This Row],[Total NPC (£m)]]*1000000)/((TBL4_OptApp[[#This Row],[Gains in WAFU / Savings in Demand on full implementation (Ml/d)]]*365)*1000)))*100</f>
        <v>10602.89215771692</v>
      </c>
      <c r="AH57" s="69">
        <v>5.9753808942138651</v>
      </c>
      <c r="AI57" s="1436"/>
      <c r="AJ57" s="1436"/>
      <c r="AK57" s="1436"/>
      <c r="AL57" s="1436"/>
      <c r="AM57" s="1436"/>
      <c r="AN57" s="1436"/>
      <c r="AO57" s="1436"/>
      <c r="AP57" s="1436"/>
      <c r="AQ57" s="1436"/>
      <c r="AR57" s="1436"/>
      <c r="AS57" s="1436"/>
      <c r="AT57" s="1436"/>
      <c r="AU57" s="1436"/>
      <c r="AV57" s="1436"/>
      <c r="AW57" s="1436"/>
      <c r="AX57" s="1435"/>
      <c r="AY57" s="1434"/>
      <c r="AZ57" s="1434"/>
      <c r="BA57" s="1435"/>
      <c r="BB57" s="1434"/>
      <c r="BC57" s="1434"/>
    </row>
    <row r="58" spans="2:55" ht="27.6" x14ac:dyDescent="0.25">
      <c r="B5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8" s="69" t="s">
        <v>1798</v>
      </c>
      <c r="D58" s="69" t="s">
        <v>1799</v>
      </c>
      <c r="E58" s="69" t="s">
        <v>778</v>
      </c>
      <c r="F58" s="1127" t="str">
        <f>VLOOKUP(TBL4_OptApp[[#This Row],[Option type
Defined List]],'Option Typs_Grps'!B$2:C$47, 2, FALSE)</f>
        <v>Customer Options</v>
      </c>
      <c r="G58" s="70" t="s">
        <v>1954</v>
      </c>
      <c r="H58" s="70" t="s">
        <v>1958</v>
      </c>
      <c r="I58" s="70" t="s">
        <v>1676</v>
      </c>
      <c r="J58" s="69" t="s">
        <v>1956</v>
      </c>
      <c r="K58" s="69">
        <v>0</v>
      </c>
      <c r="L58" s="69" t="s">
        <v>1676</v>
      </c>
      <c r="M58" s="69" t="s">
        <v>1676</v>
      </c>
      <c r="N58" s="69" t="s">
        <v>1676</v>
      </c>
      <c r="O58" s="69">
        <v>0</v>
      </c>
      <c r="P58" s="69">
        <v>0</v>
      </c>
      <c r="Q58" s="69">
        <v>0</v>
      </c>
      <c r="R58" s="1436"/>
      <c r="S58" s="69" t="s">
        <v>761</v>
      </c>
      <c r="T58" s="69" t="s">
        <v>761</v>
      </c>
      <c r="U58" s="69">
        <v>0.13169444801509891</v>
      </c>
      <c r="V58" s="69">
        <v>0</v>
      </c>
      <c r="W58" s="69" t="s">
        <v>1956</v>
      </c>
      <c r="X58" s="69">
        <v>0</v>
      </c>
      <c r="Y58" s="69">
        <v>0.42070911666666672</v>
      </c>
      <c r="Z58" s="69">
        <v>0.42070911666666672</v>
      </c>
      <c r="AA58" s="69">
        <v>0.13169444801509891</v>
      </c>
      <c r="AB58" s="69">
        <v>0.26341037901194286</v>
      </c>
      <c r="AC58" s="69">
        <v>84.165000000000006</v>
      </c>
      <c r="AD58" s="69">
        <v>10.722937614654677</v>
      </c>
      <c r="AE58" s="69">
        <v>6.5709881638511369</v>
      </c>
      <c r="AF58" s="69">
        <v>6.0867727503588209E-2</v>
      </c>
      <c r="AG58" s="69">
        <f>(((TBL4_OptApp[[#This Row],[Total NPC (£m)]]*1000000)/((TBL4_OptApp[[#This Row],[Gains in WAFU / Savings in Demand on full implementation (Ml/d)]]*365)*1000)))*100</f>
        <v>7766.549197308851</v>
      </c>
      <c r="AH58" s="69">
        <v>3.7332616447542</v>
      </c>
      <c r="AI58" s="1436"/>
      <c r="AJ58" s="1436"/>
      <c r="AK58" s="1436"/>
      <c r="AL58" s="1436"/>
      <c r="AM58" s="1436"/>
      <c r="AN58" s="1436"/>
      <c r="AO58" s="1436"/>
      <c r="AP58" s="1436"/>
      <c r="AQ58" s="1436"/>
      <c r="AR58" s="1436"/>
      <c r="AS58" s="1436"/>
      <c r="AT58" s="1436"/>
      <c r="AU58" s="1436"/>
      <c r="AV58" s="1436"/>
      <c r="AW58" s="1436"/>
      <c r="AX58" s="1435"/>
      <c r="AY58" s="1434"/>
      <c r="AZ58" s="1434"/>
      <c r="BA58" s="1435"/>
      <c r="BB58" s="1434"/>
      <c r="BC58" s="1434"/>
    </row>
    <row r="59" spans="2:55" ht="55.2" x14ac:dyDescent="0.25">
      <c r="B5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9" s="69" t="s">
        <v>1800</v>
      </c>
      <c r="D59" s="69" t="s">
        <v>1801</v>
      </c>
      <c r="E59" s="69" t="s">
        <v>1292</v>
      </c>
      <c r="F59" s="1127" t="str">
        <f>VLOOKUP(TBL4_OptApp[[#This Row],[Option type
Defined List]],'Option Typs_Grps'!B$2:C$47, 2, FALSE)</f>
        <v>Customer Options</v>
      </c>
      <c r="G59" s="70" t="s">
        <v>1954</v>
      </c>
      <c r="H59" s="70" t="s">
        <v>1959</v>
      </c>
      <c r="I59" s="70" t="s">
        <v>1676</v>
      </c>
      <c r="J59" s="1436"/>
      <c r="K59" s="1436"/>
      <c r="L59" s="1436"/>
      <c r="M59" s="1436"/>
      <c r="N59" s="1436"/>
      <c r="O59" s="1436"/>
      <c r="P59" s="1436"/>
      <c r="Q59" s="1436"/>
      <c r="R59" s="69" t="s">
        <v>1971</v>
      </c>
      <c r="S59" s="1436" t="s">
        <v>761</v>
      </c>
      <c r="T59" s="1436" t="s">
        <v>761</v>
      </c>
      <c r="U59" s="1436"/>
      <c r="V59" s="1436"/>
      <c r="W59" s="1436"/>
      <c r="X59" s="1436"/>
      <c r="Y59" s="1436"/>
      <c r="Z59" s="1436"/>
      <c r="AA59" s="1436"/>
      <c r="AB59" s="1436"/>
      <c r="AC59" s="1436"/>
      <c r="AD59" s="1436"/>
      <c r="AE59" s="1436"/>
      <c r="AF59" s="1436"/>
      <c r="AG59" s="1436"/>
      <c r="AH59" s="1442"/>
      <c r="AI59" s="1436"/>
      <c r="AJ59" s="1436"/>
      <c r="AK59" s="1436"/>
      <c r="AL59" s="1436"/>
      <c r="AM59" s="1436"/>
      <c r="AN59" s="1436"/>
      <c r="AO59" s="1436"/>
      <c r="AP59" s="1436"/>
      <c r="AQ59" s="1436"/>
      <c r="AR59" s="1436"/>
      <c r="AS59" s="1436"/>
      <c r="AT59" s="1436"/>
      <c r="AU59" s="1436"/>
      <c r="AV59" s="1436"/>
      <c r="AW59" s="1436"/>
      <c r="AX59" s="1435"/>
      <c r="AY59" s="1434"/>
      <c r="AZ59" s="1434"/>
      <c r="BA59" s="1435"/>
      <c r="BB59" s="1434"/>
      <c r="BC59" s="1434"/>
    </row>
    <row r="60" spans="2:55" ht="55.2" x14ac:dyDescent="0.25">
      <c r="B60" s="112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60" s="69" t="s">
        <v>2021</v>
      </c>
      <c r="D60" s="1435" t="s">
        <v>2019</v>
      </c>
      <c r="E60" s="69" t="s">
        <v>776</v>
      </c>
      <c r="F60" s="1127" t="str">
        <f>VLOOKUP(TBL4_OptApp[[#This Row],[Option type
Defined List]],'Option Typs_Grps'!B$2:C$47, 2, FALSE)</f>
        <v>Customer Options</v>
      </c>
      <c r="G60" s="70" t="s">
        <v>1954</v>
      </c>
      <c r="H60" s="70" t="s">
        <v>1955</v>
      </c>
      <c r="I60" s="70" t="s">
        <v>1676</v>
      </c>
      <c r="J60" s="69" t="s">
        <v>1956</v>
      </c>
      <c r="K60" s="69" t="s">
        <v>2024</v>
      </c>
      <c r="L60" s="69" t="s">
        <v>1957</v>
      </c>
      <c r="M60" s="1434" t="s">
        <v>1957</v>
      </c>
      <c r="N60" s="69" t="s">
        <v>1957</v>
      </c>
      <c r="O60" s="69" t="s">
        <v>1676</v>
      </c>
      <c r="P60" s="69" t="s">
        <v>1676</v>
      </c>
      <c r="Q60" s="69" t="s">
        <v>1676</v>
      </c>
      <c r="R60" s="1436"/>
      <c r="S60" s="69" t="s">
        <v>761</v>
      </c>
      <c r="T60" s="69" t="s">
        <v>761</v>
      </c>
      <c r="U60" s="69">
        <v>4.0137684696662665</v>
      </c>
      <c r="V60" s="69">
        <v>0</v>
      </c>
      <c r="W60" s="69">
        <v>2025</v>
      </c>
      <c r="X60" s="69">
        <v>0</v>
      </c>
      <c r="Y60" s="69">
        <v>1.0086555622635738</v>
      </c>
      <c r="Z60" s="69">
        <v>1.0086555622635738</v>
      </c>
      <c r="AA60" s="69">
        <v>4.0137684696662665</v>
      </c>
      <c r="AB60" s="69">
        <v>4.0137684696662665</v>
      </c>
      <c r="AC60" s="69">
        <v>4966.0760406699437</v>
      </c>
      <c r="AD60" s="69">
        <v>3.0209480060415936</v>
      </c>
      <c r="AE60" s="69">
        <v>1.4206322374535647</v>
      </c>
      <c r="AF60" s="69">
        <v>1.2253900024185405</v>
      </c>
      <c r="AG60" s="69">
        <v>966.32691973889825</v>
      </c>
      <c r="AH60" s="69">
        <v>14.15693570470766</v>
      </c>
      <c r="AI60" s="1436"/>
      <c r="AJ60" s="1436"/>
      <c r="AK60" s="1436"/>
      <c r="AL60" s="1436"/>
      <c r="AM60" s="1436"/>
      <c r="AN60" s="1436"/>
      <c r="AO60" s="1436"/>
      <c r="AP60" s="1436"/>
      <c r="AQ60" s="1436"/>
      <c r="AR60" s="1436"/>
      <c r="AS60" s="1436"/>
      <c r="AT60" s="1436"/>
      <c r="AU60" s="1436"/>
      <c r="AV60" s="1436"/>
      <c r="AW60" s="1436"/>
      <c r="AX60" s="1435">
        <v>1.9937499999999999</v>
      </c>
      <c r="AY60" s="1435">
        <v>-7.5</v>
      </c>
      <c r="AZ60" s="1435">
        <v>6.34</v>
      </c>
      <c r="BA60" s="1435">
        <v>0</v>
      </c>
      <c r="BB60" s="1435">
        <v>8.68</v>
      </c>
      <c r="BC60" s="1435">
        <v>-2.91</v>
      </c>
    </row>
    <row r="61" spans="2:55" ht="55.2" x14ac:dyDescent="0.25">
      <c r="B6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61" s="69" t="s">
        <v>2022</v>
      </c>
      <c r="D61" s="69" t="s">
        <v>2020</v>
      </c>
      <c r="E61" s="69" t="s">
        <v>776</v>
      </c>
      <c r="F61" s="1127" t="str">
        <f>VLOOKUP(TBL4_OptApp[[#This Row],[Option type
Defined List]],'Option Typs_Grps'!B$2:C$47, 2, FALSE)</f>
        <v>Customer Options</v>
      </c>
      <c r="G61" s="70" t="s">
        <v>1954</v>
      </c>
      <c r="H61" s="70" t="s">
        <v>1955</v>
      </c>
      <c r="I61" s="70" t="s">
        <v>1676</v>
      </c>
      <c r="J61" s="69" t="s">
        <v>1956</v>
      </c>
      <c r="K61" s="69" t="s">
        <v>2024</v>
      </c>
      <c r="L61" s="69" t="s">
        <v>1957</v>
      </c>
      <c r="M61" s="69" t="s">
        <v>1957</v>
      </c>
      <c r="N61" s="69" t="s">
        <v>1957</v>
      </c>
      <c r="O61" s="69" t="s">
        <v>1676</v>
      </c>
      <c r="P61" s="69" t="s">
        <v>1676</v>
      </c>
      <c r="Q61" s="69" t="s">
        <v>1676</v>
      </c>
      <c r="R61" s="1436"/>
      <c r="S61" s="69" t="s">
        <v>761</v>
      </c>
      <c r="T61" s="69" t="s">
        <v>761</v>
      </c>
      <c r="U61" s="69">
        <v>13.843564861391975</v>
      </c>
      <c r="V61" s="69">
        <v>0</v>
      </c>
      <c r="W61" s="69">
        <v>2025</v>
      </c>
      <c r="X61" s="69">
        <v>0</v>
      </c>
      <c r="Y61" s="69">
        <v>3.8532092993787206</v>
      </c>
      <c r="Z61" s="69">
        <v>3.8532092993787206</v>
      </c>
      <c r="AA61" s="69">
        <v>13.843564861391975</v>
      </c>
      <c r="AB61" s="69">
        <v>13.952880576638915</v>
      </c>
      <c r="AC61" s="69">
        <v>14661.267310893943</v>
      </c>
      <c r="AD61" s="69">
        <v>28.087902705102522</v>
      </c>
      <c r="AE61" s="69">
        <v>8.8945148562568477</v>
      </c>
      <c r="AF61" s="69">
        <v>3.6464893946635946</v>
      </c>
      <c r="AG61" s="69">
        <v>1467.9833518513308</v>
      </c>
      <c r="AH61" s="69">
        <v>74.175748025810847</v>
      </c>
      <c r="AI61" s="1436"/>
      <c r="AJ61" s="1436"/>
      <c r="AK61" s="1436"/>
      <c r="AL61" s="1436"/>
      <c r="AM61" s="1436"/>
      <c r="AN61" s="1436"/>
      <c r="AO61" s="1436"/>
      <c r="AP61" s="1436"/>
      <c r="AQ61" s="1436"/>
      <c r="AR61" s="1436"/>
      <c r="AS61" s="1436"/>
      <c r="AT61" s="1436"/>
      <c r="AU61" s="1436"/>
      <c r="AV61" s="1436"/>
      <c r="AW61" s="1436"/>
      <c r="AX61" s="1435">
        <v>1.9937499999999999</v>
      </c>
      <c r="AY61" s="1435">
        <v>-7.5</v>
      </c>
      <c r="AZ61" s="1435">
        <v>6.34</v>
      </c>
      <c r="BA61" s="1435">
        <v>0</v>
      </c>
      <c r="BB61" s="1435">
        <v>8.68</v>
      </c>
      <c r="BC61" s="1435">
        <v>-2.91</v>
      </c>
    </row>
    <row r="62" spans="2:55" ht="55.2" x14ac:dyDescent="0.25">
      <c r="B6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2" s="69" t="s">
        <v>1802</v>
      </c>
      <c r="D62" s="69" t="s">
        <v>1803</v>
      </c>
      <c r="E62" s="69" t="s">
        <v>776</v>
      </c>
      <c r="F62" s="1127" t="str">
        <f>VLOOKUP(TBL4_OptApp[[#This Row],[Option type
Defined List]],'Option Typs_Grps'!B$2:C$47, 2, FALSE)</f>
        <v>Customer Options</v>
      </c>
      <c r="G62" s="70" t="s">
        <v>1954</v>
      </c>
      <c r="H62" s="70" t="s">
        <v>1958</v>
      </c>
      <c r="I62" s="70" t="s">
        <v>1676</v>
      </c>
      <c r="J62" s="69" t="s">
        <v>1956</v>
      </c>
      <c r="K62" s="69">
        <v>0</v>
      </c>
      <c r="L62" s="69" t="s">
        <v>1957</v>
      </c>
      <c r="M62" s="69" t="s">
        <v>1957</v>
      </c>
      <c r="N62" s="69" t="s">
        <v>1957</v>
      </c>
      <c r="O62" s="69">
        <v>0</v>
      </c>
      <c r="P62" s="69">
        <v>0</v>
      </c>
      <c r="Q62" s="69">
        <v>0</v>
      </c>
      <c r="R62" s="1436"/>
      <c r="S62" s="69" t="s">
        <v>761</v>
      </c>
      <c r="T62" s="69" t="s">
        <v>761</v>
      </c>
      <c r="U62" s="69">
        <v>6.4383389152668693</v>
      </c>
      <c r="V62" s="69">
        <v>0</v>
      </c>
      <c r="W62" s="69" t="s">
        <v>1956</v>
      </c>
      <c r="X62" s="69">
        <v>0</v>
      </c>
      <c r="Y62" s="69">
        <v>36.334025666666662</v>
      </c>
      <c r="Z62" s="69">
        <v>36.334025666666662</v>
      </c>
      <c r="AA62" s="69">
        <v>6.4383389152668693</v>
      </c>
      <c r="AB62" s="69">
        <v>11.975978431640426</v>
      </c>
      <c r="AC62" s="69">
        <v>10581.539999999997</v>
      </c>
      <c r="AD62" s="69">
        <v>23.019674212381471</v>
      </c>
      <c r="AE62" s="69">
        <v>14.106396234045349</v>
      </c>
      <c r="AF62" s="69">
        <v>2.6788789769335275</v>
      </c>
      <c r="AG62" s="69">
        <f>(((TBL4_OptApp[[#This Row],[Total NPC (£m)]]*1000000)/((TBL4_OptApp[[#This Row],[Gains in WAFU / Savings in Demand on full implementation (Ml/d)]]*365)*1000)))*100</f>
        <v>16031.341043311437</v>
      </c>
      <c r="AH62" s="69">
        <v>376.73550519619448</v>
      </c>
      <c r="AI62" s="1436"/>
      <c r="AJ62" s="1436"/>
      <c r="AK62" s="1436"/>
      <c r="AL62" s="1436"/>
      <c r="AM62" s="1436"/>
      <c r="AN62" s="1436"/>
      <c r="AO62" s="1436"/>
      <c r="AP62" s="1436"/>
      <c r="AQ62" s="1436"/>
      <c r="AR62" s="1436"/>
      <c r="AS62" s="1436"/>
      <c r="AT62" s="1436"/>
      <c r="AU62" s="1436"/>
      <c r="AV62" s="1436"/>
      <c r="AW62" s="1436"/>
      <c r="AX62" s="1435"/>
      <c r="AY62" s="1434"/>
      <c r="AZ62" s="1434"/>
      <c r="BA62" s="1435"/>
      <c r="BB62" s="1434"/>
      <c r="BC62" s="1434"/>
    </row>
    <row r="63" spans="2:55" ht="27.6" x14ac:dyDescent="0.25">
      <c r="B6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3" s="69" t="s">
        <v>1804</v>
      </c>
      <c r="D63" s="69" t="s">
        <v>1805</v>
      </c>
      <c r="E63" s="69" t="s">
        <v>1311</v>
      </c>
      <c r="F63" s="1127" t="str">
        <f>VLOOKUP(TBL4_OptApp[[#This Row],[Option type
Defined List]],'Option Typs_Grps'!B$2:C$47, 2, FALSE)</f>
        <v>Customer Options</v>
      </c>
      <c r="G63" s="70" t="s">
        <v>1954</v>
      </c>
      <c r="H63" s="70" t="s">
        <v>1958</v>
      </c>
      <c r="I63" s="70" t="s">
        <v>1676</v>
      </c>
      <c r="J63" s="69" t="s">
        <v>1956</v>
      </c>
      <c r="K63" s="69">
        <v>0</v>
      </c>
      <c r="L63" s="69" t="s">
        <v>1676</v>
      </c>
      <c r="M63" s="69" t="s">
        <v>1676</v>
      </c>
      <c r="N63" s="69" t="s">
        <v>1676</v>
      </c>
      <c r="O63" s="69" t="s">
        <v>1676</v>
      </c>
      <c r="P63" s="69" t="s">
        <v>1676</v>
      </c>
      <c r="Q63" s="69" t="s">
        <v>1676</v>
      </c>
      <c r="R63" s="1436"/>
      <c r="S63" s="69" t="s">
        <v>761</v>
      </c>
      <c r="T63" s="69" t="s">
        <v>761</v>
      </c>
      <c r="U63" s="69">
        <v>0.56100000000000028</v>
      </c>
      <c r="V63" s="69">
        <v>0</v>
      </c>
      <c r="W63" s="69" t="s">
        <v>1956</v>
      </c>
      <c r="X63" s="69">
        <v>0</v>
      </c>
      <c r="Y63" s="69">
        <v>1.5625E-2</v>
      </c>
      <c r="Z63" s="69">
        <v>1.5625E-2</v>
      </c>
      <c r="AA63" s="69">
        <v>0.56100000000000028</v>
      </c>
      <c r="AB63" s="69">
        <v>0.56100000000000028</v>
      </c>
      <c r="AC63" s="69">
        <v>8719.8100000000013</v>
      </c>
      <c r="AD63" s="69">
        <v>0</v>
      </c>
      <c r="AE63" s="69">
        <v>0</v>
      </c>
      <c r="AF63" s="69">
        <v>2.1363534500000001</v>
      </c>
      <c r="AG63" s="69">
        <v>416.53523802935268</v>
      </c>
      <c r="AH63" s="69">
        <v>0.85291838015080434</v>
      </c>
      <c r="AI63" s="1436"/>
      <c r="AJ63" s="1436"/>
      <c r="AK63" s="1436"/>
      <c r="AL63" s="1436"/>
      <c r="AM63" s="1436"/>
      <c r="AN63" s="1436"/>
      <c r="AO63" s="1436"/>
      <c r="AP63" s="1436"/>
      <c r="AQ63" s="1436"/>
      <c r="AR63" s="1436"/>
      <c r="AS63" s="1436"/>
      <c r="AT63" s="1436"/>
      <c r="AU63" s="1436"/>
      <c r="AV63" s="1436"/>
      <c r="AW63" s="1436"/>
      <c r="AX63" s="1435">
        <v>1.9937499999999999</v>
      </c>
      <c r="AY63" s="1435">
        <v>-3</v>
      </c>
      <c r="AZ63" s="1435">
        <v>9.51</v>
      </c>
      <c r="BA63" s="1435">
        <v>0</v>
      </c>
      <c r="BB63" s="1435">
        <v>2.17</v>
      </c>
      <c r="BC63" s="1435">
        <v>-2.91</v>
      </c>
    </row>
    <row r="64" spans="2:55" ht="41.4" x14ac:dyDescent="0.25">
      <c r="B6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4" s="69" t="s">
        <v>1806</v>
      </c>
      <c r="D64" s="69" t="s">
        <v>1807</v>
      </c>
      <c r="E64" s="69" t="s">
        <v>1311</v>
      </c>
      <c r="F64" s="1127" t="str">
        <f>VLOOKUP(TBL4_OptApp[[#This Row],[Option type
Defined List]],'Option Typs_Grps'!B$2:C$47, 2, FALSE)</f>
        <v>Customer Options</v>
      </c>
      <c r="G64" s="70" t="s">
        <v>1954</v>
      </c>
      <c r="H64" s="70" t="s">
        <v>1958</v>
      </c>
      <c r="I64" s="70" t="s">
        <v>1676</v>
      </c>
      <c r="J64" s="69" t="s">
        <v>1956</v>
      </c>
      <c r="K64" s="69">
        <v>0</v>
      </c>
      <c r="L64" s="69" t="s">
        <v>1676</v>
      </c>
      <c r="M64" s="69" t="s">
        <v>1676</v>
      </c>
      <c r="N64" s="69" t="s">
        <v>1676</v>
      </c>
      <c r="O64" s="69" t="s">
        <v>1676</v>
      </c>
      <c r="P64" s="69" t="s">
        <v>1676</v>
      </c>
      <c r="Q64" s="69" t="s">
        <v>1676</v>
      </c>
      <c r="R64" s="1436"/>
      <c r="S64" s="69" t="s">
        <v>761</v>
      </c>
      <c r="T64" s="69" t="s">
        <v>761</v>
      </c>
      <c r="U64" s="69">
        <v>0.37500000000000022</v>
      </c>
      <c r="V64" s="69">
        <v>0</v>
      </c>
      <c r="W64" s="69" t="s">
        <v>1956</v>
      </c>
      <c r="X64" s="69">
        <v>0</v>
      </c>
      <c r="Y64" s="69">
        <v>0.14936484375</v>
      </c>
      <c r="Z64" s="69">
        <v>0.14936484375</v>
      </c>
      <c r="AA64" s="69">
        <v>0.37500000000000022</v>
      </c>
      <c r="AB64" s="69">
        <v>0.37500000000000022</v>
      </c>
      <c r="AC64" s="69">
        <v>102920.47500000005</v>
      </c>
      <c r="AD64" s="69">
        <v>0</v>
      </c>
      <c r="AE64" s="69">
        <v>0</v>
      </c>
      <c r="AF64" s="69">
        <v>25.215516375000007</v>
      </c>
      <c r="AG64" s="69">
        <v>3856.4865939127631</v>
      </c>
      <c r="AH64" s="69">
        <v>5.2785660254180975</v>
      </c>
      <c r="AI64" s="1436"/>
      <c r="AJ64" s="1436"/>
      <c r="AK64" s="1436"/>
      <c r="AL64" s="1436"/>
      <c r="AM64" s="1436"/>
      <c r="AN64" s="1436"/>
      <c r="AO64" s="1436"/>
      <c r="AP64" s="1436"/>
      <c r="AQ64" s="1436"/>
      <c r="AR64" s="1436"/>
      <c r="AS64" s="1436"/>
      <c r="AT64" s="1436"/>
      <c r="AU64" s="1436"/>
      <c r="AV64" s="1436"/>
      <c r="AW64" s="1436"/>
      <c r="AX64" s="1435">
        <v>0</v>
      </c>
      <c r="AY64" s="1435">
        <v>-3</v>
      </c>
      <c r="AZ64" s="1435">
        <v>9.51</v>
      </c>
      <c r="BA64" s="1435">
        <v>0</v>
      </c>
      <c r="BB64" s="1435">
        <v>0</v>
      </c>
      <c r="BC64" s="1435">
        <v>-2.91</v>
      </c>
    </row>
    <row r="65" spans="2:55" ht="27.6" x14ac:dyDescent="0.25">
      <c r="B6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5" s="69" t="s">
        <v>1808</v>
      </c>
      <c r="D65" s="69" t="s">
        <v>1809</v>
      </c>
      <c r="E65" s="69" t="s">
        <v>1284</v>
      </c>
      <c r="F65" s="1127" t="str">
        <f>VLOOKUP(TBL4_OptApp[[#This Row],[Option type
Defined List]],'Option Typs_Grps'!B$2:C$47, 2, FALSE)</f>
        <v>Customer Options</v>
      </c>
      <c r="G65" s="70" t="s">
        <v>1954</v>
      </c>
      <c r="H65" s="70" t="s">
        <v>1958</v>
      </c>
      <c r="I65" s="70" t="s">
        <v>1676</v>
      </c>
      <c r="J65" s="69" t="s">
        <v>1956</v>
      </c>
      <c r="K65" s="69">
        <v>0</v>
      </c>
      <c r="L65" s="69" t="s">
        <v>1676</v>
      </c>
      <c r="M65" s="69" t="s">
        <v>1676</v>
      </c>
      <c r="N65" s="69" t="s">
        <v>1676</v>
      </c>
      <c r="O65" s="69" t="s">
        <v>1676</v>
      </c>
      <c r="P65" s="69" t="s">
        <v>1676</v>
      </c>
      <c r="Q65" s="69" t="s">
        <v>1676</v>
      </c>
      <c r="R65" s="1436"/>
      <c r="S65" s="69" t="s">
        <v>761</v>
      </c>
      <c r="T65" s="69" t="s">
        <v>761</v>
      </c>
      <c r="U65" s="69">
        <v>1.153996607266921</v>
      </c>
      <c r="V65" s="69">
        <v>0</v>
      </c>
      <c r="W65" s="69" t="s">
        <v>1956</v>
      </c>
      <c r="X65" s="69">
        <v>0</v>
      </c>
      <c r="Y65" s="69">
        <v>0.47437499999999999</v>
      </c>
      <c r="Z65" s="69">
        <v>0.47437499999999999</v>
      </c>
      <c r="AA65" s="69">
        <v>1.153996607266921</v>
      </c>
      <c r="AB65" s="69">
        <v>1.153996607266921</v>
      </c>
      <c r="AC65" s="69">
        <v>8806.1650000000045</v>
      </c>
      <c r="AD65" s="69">
        <v>0</v>
      </c>
      <c r="AE65" s="69">
        <v>0</v>
      </c>
      <c r="AF65" s="69">
        <v>2.157510424999999</v>
      </c>
      <c r="AG65" s="69">
        <v>3978.6424198959667</v>
      </c>
      <c r="AH65" s="69">
        <v>16.758390467421922</v>
      </c>
      <c r="AI65" s="1436"/>
      <c r="AJ65" s="1436"/>
      <c r="AK65" s="1436"/>
      <c r="AL65" s="1436"/>
      <c r="AM65" s="1436"/>
      <c r="AN65" s="1436"/>
      <c r="AO65" s="1436"/>
      <c r="AP65" s="1436"/>
      <c r="AQ65" s="1436"/>
      <c r="AR65" s="1436"/>
      <c r="AS65" s="1436"/>
      <c r="AT65" s="1436"/>
      <c r="AU65" s="1436"/>
      <c r="AV65" s="1436"/>
      <c r="AW65" s="1436"/>
      <c r="AX65" s="1435">
        <v>0</v>
      </c>
      <c r="AY65" s="1435">
        <v>-7.5</v>
      </c>
      <c r="AZ65" s="1435">
        <v>9.51</v>
      </c>
      <c r="BA65" s="1435">
        <v>0</v>
      </c>
      <c r="BB65" s="1435">
        <v>6.51</v>
      </c>
      <c r="BC65" s="1435">
        <v>-2.91</v>
      </c>
    </row>
    <row r="66" spans="2:55" ht="55.2" x14ac:dyDescent="0.25">
      <c r="B6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66" s="69" t="s">
        <v>1810</v>
      </c>
      <c r="D66" s="69" t="s">
        <v>1811</v>
      </c>
      <c r="E66" s="69" t="s">
        <v>775</v>
      </c>
      <c r="F66" s="1127" t="str">
        <f>VLOOKUP(TBL4_OptApp[[#This Row],[Option type
Defined List]],'Option Typs_Grps'!B$2:C$47, 2, FALSE)</f>
        <v>Customer Options</v>
      </c>
      <c r="G66" s="70" t="s">
        <v>1954</v>
      </c>
      <c r="H66" s="70" t="s">
        <v>1955</v>
      </c>
      <c r="I66" s="70" t="s">
        <v>1676</v>
      </c>
      <c r="J66" s="69" t="s">
        <v>1956</v>
      </c>
      <c r="K66" s="69">
        <v>0</v>
      </c>
      <c r="L66" s="69" t="s">
        <v>1957</v>
      </c>
      <c r="M66" s="69" t="s">
        <v>1957</v>
      </c>
      <c r="N66" s="69" t="s">
        <v>1957</v>
      </c>
      <c r="O66" s="69" t="s">
        <v>1676</v>
      </c>
      <c r="P66" s="69" t="s">
        <v>1676</v>
      </c>
      <c r="Q66" s="69" t="s">
        <v>1676</v>
      </c>
      <c r="R66" s="1436"/>
      <c r="S66" s="69" t="s">
        <v>761</v>
      </c>
      <c r="T66" s="69" t="s">
        <v>761</v>
      </c>
      <c r="U66" s="69">
        <v>4.7737440000000007</v>
      </c>
      <c r="V66" s="69">
        <v>0</v>
      </c>
      <c r="W66" s="69">
        <v>2030</v>
      </c>
      <c r="X66" s="69">
        <v>0</v>
      </c>
      <c r="Y66" s="69">
        <v>9.3749999999999997E-4</v>
      </c>
      <c r="Z66" s="69">
        <v>9.3749999999999997E-4</v>
      </c>
      <c r="AA66" s="69">
        <v>4.7737440000000007</v>
      </c>
      <c r="AB66" s="69">
        <v>4.7737440000000007</v>
      </c>
      <c r="AC66" s="69">
        <v>0</v>
      </c>
      <c r="AD66" s="69">
        <v>0</v>
      </c>
      <c r="AE66" s="69">
        <v>0</v>
      </c>
      <c r="AF66" s="69">
        <v>0</v>
      </c>
      <c r="AG66" s="69">
        <v>3.57046667297096</v>
      </c>
      <c r="AH66" s="69">
        <v>6.2212402579127066E-2</v>
      </c>
      <c r="AI66" s="1436"/>
      <c r="AJ66" s="1436"/>
      <c r="AK66" s="1436"/>
      <c r="AL66" s="1436"/>
      <c r="AM66" s="1436"/>
      <c r="AN66" s="1436"/>
      <c r="AO66" s="1436"/>
      <c r="AP66" s="1436"/>
      <c r="AQ66" s="1436"/>
      <c r="AR66" s="1436"/>
      <c r="AS66" s="1436"/>
      <c r="AT66" s="1436"/>
      <c r="AU66" s="1436"/>
      <c r="AV66" s="1436"/>
      <c r="AW66" s="1436"/>
      <c r="AX66" s="1435">
        <v>1.9937499999999999</v>
      </c>
      <c r="AY66" s="1435">
        <v>0</v>
      </c>
      <c r="AZ66" s="1435">
        <v>6.34</v>
      </c>
      <c r="BA66" s="1435">
        <v>0</v>
      </c>
      <c r="BB66" s="1435">
        <v>4.34</v>
      </c>
      <c r="BC66" s="1435">
        <v>0</v>
      </c>
    </row>
    <row r="67" spans="2:55" ht="55.2" x14ac:dyDescent="0.25">
      <c r="B6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67" s="69" t="s">
        <v>1812</v>
      </c>
      <c r="D67" s="69" t="s">
        <v>1813</v>
      </c>
      <c r="E67" s="69" t="s">
        <v>776</v>
      </c>
      <c r="F67" s="1127" t="str">
        <f>VLOOKUP(TBL4_OptApp[[#This Row],[Option type
Defined List]],'Option Typs_Grps'!B$2:C$47, 2, FALSE)</f>
        <v>Customer Options</v>
      </c>
      <c r="G67" s="70" t="s">
        <v>1954</v>
      </c>
      <c r="H67" s="70" t="s">
        <v>1955</v>
      </c>
      <c r="I67" s="70" t="s">
        <v>1676</v>
      </c>
      <c r="J67" s="69" t="s">
        <v>1956</v>
      </c>
      <c r="K67" s="69">
        <v>0</v>
      </c>
      <c r="L67" s="69" t="s">
        <v>1957</v>
      </c>
      <c r="M67" s="69" t="s">
        <v>1957</v>
      </c>
      <c r="N67" s="69" t="s">
        <v>1957</v>
      </c>
      <c r="O67" s="69" t="s">
        <v>1676</v>
      </c>
      <c r="P67" s="69" t="s">
        <v>1676</v>
      </c>
      <c r="Q67" s="69" t="s">
        <v>1676</v>
      </c>
      <c r="R67" s="1436"/>
      <c r="S67" s="69" t="s">
        <v>761</v>
      </c>
      <c r="T67" s="69" t="s">
        <v>761</v>
      </c>
      <c r="U67" s="69">
        <v>51.926242799999983</v>
      </c>
      <c r="V67" s="69">
        <v>0</v>
      </c>
      <c r="W67" s="69">
        <v>2026</v>
      </c>
      <c r="X67" s="69">
        <v>0</v>
      </c>
      <c r="Y67" s="69">
        <v>1.2812500000000001E-3</v>
      </c>
      <c r="Z67" s="69">
        <v>1.2812500000000001E-3</v>
      </c>
      <c r="AA67" s="69">
        <v>51.926242799999983</v>
      </c>
      <c r="AB67" s="69">
        <v>51.926242799999983</v>
      </c>
      <c r="AC67" s="69">
        <v>0</v>
      </c>
      <c r="AD67" s="69">
        <v>0</v>
      </c>
      <c r="AE67" s="69">
        <v>0</v>
      </c>
      <c r="AF67" s="69">
        <v>0</v>
      </c>
      <c r="AG67" s="69">
        <v>0.27548243544202339</v>
      </c>
      <c r="AH67" s="69">
        <v>5.2212402579127071E-2</v>
      </c>
      <c r="AI67" s="1436"/>
      <c r="AJ67" s="1436"/>
      <c r="AK67" s="1436"/>
      <c r="AL67" s="1436"/>
      <c r="AM67" s="1436"/>
      <c r="AN67" s="1436"/>
      <c r="AO67" s="1436"/>
      <c r="AP67" s="1436"/>
      <c r="AQ67" s="1436"/>
      <c r="AR67" s="1436"/>
      <c r="AS67" s="1436"/>
      <c r="AT67" s="1436"/>
      <c r="AU67" s="1436"/>
      <c r="AV67" s="1436"/>
      <c r="AW67" s="1436"/>
      <c r="AX67" s="1435">
        <v>1.9937499999999999</v>
      </c>
      <c r="AY67" s="1435">
        <v>0</v>
      </c>
      <c r="AZ67" s="1435">
        <v>19.02</v>
      </c>
      <c r="BA67" s="1435">
        <v>0</v>
      </c>
      <c r="BB67" s="1435">
        <v>13.02</v>
      </c>
      <c r="BC67" s="1435">
        <v>0</v>
      </c>
    </row>
    <row r="68" spans="2:55" ht="55.2" x14ac:dyDescent="0.25">
      <c r="B6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8" s="69" t="s">
        <v>1814</v>
      </c>
      <c r="D68" s="69" t="s">
        <v>1815</v>
      </c>
      <c r="E68" s="69" t="s">
        <v>776</v>
      </c>
      <c r="F68" s="1127" t="str">
        <f>VLOOKUP(TBL4_OptApp[[#This Row],[Option type
Defined List]],'Option Typs_Grps'!B$2:C$47, 2, FALSE)</f>
        <v>Customer Options</v>
      </c>
      <c r="G68" s="70" t="s">
        <v>1954</v>
      </c>
      <c r="H68" s="70" t="s">
        <v>1958</v>
      </c>
      <c r="I68" s="70" t="s">
        <v>1676</v>
      </c>
      <c r="J68" s="69" t="s">
        <v>1956</v>
      </c>
      <c r="K68" s="69">
        <v>0</v>
      </c>
      <c r="L68" s="69" t="s">
        <v>1676</v>
      </c>
      <c r="M68" s="69" t="s">
        <v>1676</v>
      </c>
      <c r="N68" s="69" t="s">
        <v>1676</v>
      </c>
      <c r="O68" s="69" t="s">
        <v>1676</v>
      </c>
      <c r="P68" s="69" t="s">
        <v>1676</v>
      </c>
      <c r="Q68" s="69" t="s">
        <v>1676</v>
      </c>
      <c r="R68" s="1436"/>
      <c r="S68" s="69" t="s">
        <v>761</v>
      </c>
      <c r="T68" s="69" t="s">
        <v>761</v>
      </c>
      <c r="U68" s="69">
        <v>21.498126000000006</v>
      </c>
      <c r="V68" s="69">
        <v>0</v>
      </c>
      <c r="W68" s="69" t="s">
        <v>1956</v>
      </c>
      <c r="X68" s="69">
        <v>0</v>
      </c>
      <c r="Y68" s="69">
        <v>1.2812500000000001E-3</v>
      </c>
      <c r="Z68" s="69">
        <v>1.2812500000000001E-3</v>
      </c>
      <c r="AA68" s="69">
        <v>21.498126000000006</v>
      </c>
      <c r="AB68" s="69">
        <v>21.498126000000006</v>
      </c>
      <c r="AC68" s="69">
        <v>0</v>
      </c>
      <c r="AD68" s="69">
        <v>0</v>
      </c>
      <c r="AE68" s="69">
        <v>0</v>
      </c>
      <c r="AF68" s="69">
        <v>0</v>
      </c>
      <c r="AG68" s="69">
        <v>0.66539603637534839</v>
      </c>
      <c r="AH68" s="69">
        <v>5.2212402579127071E-2</v>
      </c>
      <c r="AI68" s="1436"/>
      <c r="AJ68" s="1436"/>
      <c r="AK68" s="1436"/>
      <c r="AL68" s="1436"/>
      <c r="AM68" s="1436"/>
      <c r="AN68" s="1436"/>
      <c r="AO68" s="1436"/>
      <c r="AP68" s="1436"/>
      <c r="AQ68" s="1436"/>
      <c r="AR68" s="1436"/>
      <c r="AS68" s="1436"/>
      <c r="AT68" s="1436"/>
      <c r="AU68" s="1436"/>
      <c r="AV68" s="1436"/>
      <c r="AW68" s="1436"/>
      <c r="AX68" s="1435">
        <v>0</v>
      </c>
      <c r="AY68" s="1435">
        <v>0</v>
      </c>
      <c r="AZ68" s="1435">
        <v>6.34</v>
      </c>
      <c r="BA68" s="1435">
        <v>0</v>
      </c>
      <c r="BB68" s="1435">
        <v>8.68</v>
      </c>
      <c r="BC68" s="1435">
        <v>0</v>
      </c>
    </row>
    <row r="69" spans="2:55" ht="27.6" x14ac:dyDescent="0.25">
      <c r="B6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9" s="69" t="s">
        <v>1816</v>
      </c>
      <c r="D69" s="69" t="s">
        <v>1817</v>
      </c>
      <c r="E69" s="69" t="s">
        <v>778</v>
      </c>
      <c r="F69" s="1127" t="str">
        <f>VLOOKUP(TBL4_OptApp[[#This Row],[Option type
Defined List]],'Option Typs_Grps'!B$2:C$47, 2, FALSE)</f>
        <v>Customer Options</v>
      </c>
      <c r="G69" s="70" t="s">
        <v>1954</v>
      </c>
      <c r="H69" s="70" t="s">
        <v>1958</v>
      </c>
      <c r="I69" s="70" t="s">
        <v>1676</v>
      </c>
      <c r="J69" s="69" t="s">
        <v>1956</v>
      </c>
      <c r="K69" s="69">
        <v>0</v>
      </c>
      <c r="L69" s="69" t="s">
        <v>1676</v>
      </c>
      <c r="M69" s="69" t="s">
        <v>1676</v>
      </c>
      <c r="N69" s="69" t="s">
        <v>1676</v>
      </c>
      <c r="O69" s="69" t="s">
        <v>1676</v>
      </c>
      <c r="P69" s="69" t="s">
        <v>1676</v>
      </c>
      <c r="Q69" s="69" t="s">
        <v>1676</v>
      </c>
      <c r="R69" s="1436"/>
      <c r="S69" s="69" t="s">
        <v>761</v>
      </c>
      <c r="T69" s="69" t="s">
        <v>761</v>
      </c>
      <c r="U69" s="69">
        <v>2.5966933324545782</v>
      </c>
      <c r="V69" s="69">
        <v>0</v>
      </c>
      <c r="W69" s="69" t="s">
        <v>1956</v>
      </c>
      <c r="X69" s="69">
        <v>0</v>
      </c>
      <c r="Y69" s="69">
        <v>9.3749999999999997E-4</v>
      </c>
      <c r="Z69" s="69">
        <v>9.3749999999999997E-4</v>
      </c>
      <c r="AA69" s="69">
        <v>2.5966933324545782</v>
      </c>
      <c r="AB69" s="69">
        <v>2.5966933324545782</v>
      </c>
      <c r="AC69" s="69">
        <v>0</v>
      </c>
      <c r="AD69" s="69">
        <v>0</v>
      </c>
      <c r="AE69" s="69">
        <v>0</v>
      </c>
      <c r="AF69" s="69">
        <v>0</v>
      </c>
      <c r="AG69" s="69">
        <v>6.5639225257236768</v>
      </c>
      <c r="AH69" s="69">
        <v>6.2212402579127066E-2</v>
      </c>
      <c r="AI69" s="1436"/>
      <c r="AJ69" s="1436"/>
      <c r="AK69" s="1436"/>
      <c r="AL69" s="1436"/>
      <c r="AM69" s="1436"/>
      <c r="AN69" s="1436"/>
      <c r="AO69" s="1436"/>
      <c r="AP69" s="1436"/>
      <c r="AQ69" s="1436"/>
      <c r="AR69" s="1436"/>
      <c r="AS69" s="1436"/>
      <c r="AT69" s="1436"/>
      <c r="AU69" s="1436"/>
      <c r="AV69" s="1436"/>
      <c r="AW69" s="1436"/>
      <c r="AX69" s="1435">
        <v>1.9937499999999999</v>
      </c>
      <c r="AY69" s="1435">
        <v>0</v>
      </c>
      <c r="AZ69" s="1435">
        <v>6.34</v>
      </c>
      <c r="BA69" s="1435">
        <v>0</v>
      </c>
      <c r="BB69" s="1435">
        <v>4.34</v>
      </c>
      <c r="BC69" s="1435">
        <v>0</v>
      </c>
    </row>
    <row r="70" spans="2:55" ht="27.6" x14ac:dyDescent="0.25">
      <c r="B7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70" s="69" t="s">
        <v>1818</v>
      </c>
      <c r="D70" s="69" t="s">
        <v>1819</v>
      </c>
      <c r="E70" s="69" t="s">
        <v>778</v>
      </c>
      <c r="F70" s="1127" t="str">
        <f>VLOOKUP(TBL4_OptApp[[#This Row],[Option type
Defined List]],'Option Typs_Grps'!B$2:C$47, 2, FALSE)</f>
        <v>Customer Options</v>
      </c>
      <c r="G70" s="70" t="s">
        <v>1954</v>
      </c>
      <c r="H70" s="70" t="s">
        <v>1955</v>
      </c>
      <c r="I70" s="70" t="s">
        <v>1676</v>
      </c>
      <c r="J70" s="69" t="s">
        <v>1956</v>
      </c>
      <c r="K70" s="69">
        <v>0</v>
      </c>
      <c r="L70" s="69" t="s">
        <v>1957</v>
      </c>
      <c r="M70" s="69" t="s">
        <v>1957</v>
      </c>
      <c r="N70" s="69" t="s">
        <v>1957</v>
      </c>
      <c r="O70" s="69" t="s">
        <v>1676</v>
      </c>
      <c r="P70" s="69" t="s">
        <v>1676</v>
      </c>
      <c r="Q70" s="69" t="s">
        <v>1676</v>
      </c>
      <c r="R70" s="1436"/>
      <c r="S70" s="69" t="s">
        <v>761</v>
      </c>
      <c r="T70" s="69" t="s">
        <v>761</v>
      </c>
      <c r="U70" s="69">
        <v>12.983466662272889</v>
      </c>
      <c r="V70" s="69">
        <v>0</v>
      </c>
      <c r="W70" s="69">
        <v>2030</v>
      </c>
      <c r="X70" s="69">
        <v>0</v>
      </c>
      <c r="Y70" s="69">
        <v>9.3749999999999997E-4</v>
      </c>
      <c r="Z70" s="69">
        <v>9.3749999999999997E-4</v>
      </c>
      <c r="AA70" s="69">
        <v>12.983466662272889</v>
      </c>
      <c r="AB70" s="69">
        <v>12.983466662272889</v>
      </c>
      <c r="AC70" s="69">
        <v>0</v>
      </c>
      <c r="AD70" s="69">
        <v>0</v>
      </c>
      <c r="AE70" s="69">
        <v>0</v>
      </c>
      <c r="AF70" s="69">
        <v>0</v>
      </c>
      <c r="AG70" s="69">
        <v>1.3127845051447358</v>
      </c>
      <c r="AH70" s="69">
        <v>6.2212402579127066E-2</v>
      </c>
      <c r="AI70" s="1436"/>
      <c r="AJ70" s="1436"/>
      <c r="AK70" s="1436"/>
      <c r="AL70" s="1436"/>
      <c r="AM70" s="1436"/>
      <c r="AN70" s="1436"/>
      <c r="AO70" s="1436"/>
      <c r="AP70" s="1436"/>
      <c r="AQ70" s="1436"/>
      <c r="AR70" s="1436"/>
      <c r="AS70" s="1436"/>
      <c r="AT70" s="1436"/>
      <c r="AU70" s="1436"/>
      <c r="AV70" s="1436"/>
      <c r="AW70" s="1436"/>
      <c r="AX70" s="1435">
        <v>1.9937499999999999</v>
      </c>
      <c r="AY70" s="1435">
        <v>0</v>
      </c>
      <c r="AZ70" s="1435">
        <v>6.34</v>
      </c>
      <c r="BA70" s="1435">
        <v>0</v>
      </c>
      <c r="BB70" s="1435">
        <v>8.68</v>
      </c>
      <c r="BC70" s="1435">
        <v>0</v>
      </c>
    </row>
    <row r="71" spans="2:55" ht="27.6" x14ac:dyDescent="0.25">
      <c r="B7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1" s="69" t="s">
        <v>1820</v>
      </c>
      <c r="D71" s="69" t="s">
        <v>1821</v>
      </c>
      <c r="E71" s="69" t="s">
        <v>777</v>
      </c>
      <c r="F71" s="1127" t="str">
        <f>VLOOKUP(TBL4_OptApp[[#This Row],[Option type
Defined List]],'Option Typs_Grps'!B$2:C$47, 2, FALSE)</f>
        <v>Customer Options</v>
      </c>
      <c r="G71" s="70" t="s">
        <v>1954</v>
      </c>
      <c r="H71" s="70" t="s">
        <v>1958</v>
      </c>
      <c r="I71" s="70" t="s">
        <v>1676</v>
      </c>
      <c r="J71" s="69" t="s">
        <v>1956</v>
      </c>
      <c r="K71" s="69">
        <v>0</v>
      </c>
      <c r="L71" s="69" t="s">
        <v>1676</v>
      </c>
      <c r="M71" s="69" t="s">
        <v>1676</v>
      </c>
      <c r="N71" s="69" t="s">
        <v>1676</v>
      </c>
      <c r="O71" s="69">
        <v>0</v>
      </c>
      <c r="P71" s="69">
        <v>0</v>
      </c>
      <c r="Q71" s="69">
        <v>0</v>
      </c>
      <c r="R71" s="1436"/>
      <c r="S71" s="69" t="s">
        <v>761</v>
      </c>
      <c r="T71" s="69" t="s">
        <v>761</v>
      </c>
      <c r="U71" s="69">
        <v>0.55828078816796345</v>
      </c>
      <c r="V71" s="69">
        <v>0</v>
      </c>
      <c r="W71" s="69" t="s">
        <v>1956</v>
      </c>
      <c r="X71" s="69">
        <v>0</v>
      </c>
      <c r="Y71" s="69">
        <v>15.193277591999998</v>
      </c>
      <c r="Z71" s="69">
        <v>15.193277591999998</v>
      </c>
      <c r="AA71" s="69">
        <v>0.55828078816796345</v>
      </c>
      <c r="AB71" s="69">
        <v>1.1312979448530887</v>
      </c>
      <c r="AC71" s="69">
        <v>1576.3500000000004</v>
      </c>
      <c r="AD71" s="69">
        <v>1.1542076806771133</v>
      </c>
      <c r="AE71" s="69">
        <v>0.70729545213339617</v>
      </c>
      <c r="AF71" s="69">
        <v>0.39053793464431696</v>
      </c>
      <c r="AG71" s="69">
        <v>30860.814414197084</v>
      </c>
      <c r="AH71" s="69">
        <v>62.885849250520671</v>
      </c>
      <c r="AI71" s="1436"/>
      <c r="AJ71" s="1436"/>
      <c r="AK71" s="1436"/>
      <c r="AL71" s="1436"/>
      <c r="AM71" s="1436"/>
      <c r="AN71" s="1436"/>
      <c r="AO71" s="1436"/>
      <c r="AP71" s="1436"/>
      <c r="AQ71" s="1436"/>
      <c r="AR71" s="1436"/>
      <c r="AS71" s="1436"/>
      <c r="AT71" s="1436"/>
      <c r="AU71" s="1436"/>
      <c r="AV71" s="1436"/>
      <c r="AW71" s="1436"/>
      <c r="AX71" s="1435"/>
      <c r="AY71" s="1434"/>
      <c r="AZ71" s="1434"/>
      <c r="BA71" s="1435"/>
      <c r="BB71" s="1434"/>
      <c r="BC71" s="1434"/>
    </row>
    <row r="72" spans="2:55" ht="27.6" x14ac:dyDescent="0.25">
      <c r="B7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2" s="69" t="s">
        <v>1822</v>
      </c>
      <c r="D72" s="69" t="s">
        <v>1823</v>
      </c>
      <c r="E72" s="69" t="s">
        <v>777</v>
      </c>
      <c r="F72" s="1127" t="str">
        <f>VLOOKUP(TBL4_OptApp[[#This Row],[Option type
Defined List]],'Option Typs_Grps'!B$2:C$47, 2, FALSE)</f>
        <v>Customer Options</v>
      </c>
      <c r="G72" s="70" t="s">
        <v>1954</v>
      </c>
      <c r="H72" s="70" t="s">
        <v>1958</v>
      </c>
      <c r="I72" s="70" t="s">
        <v>1676</v>
      </c>
      <c r="J72" s="69" t="s">
        <v>1956</v>
      </c>
      <c r="K72" s="69">
        <v>0</v>
      </c>
      <c r="L72" s="69" t="s">
        <v>1676</v>
      </c>
      <c r="M72" s="69" t="s">
        <v>1676</v>
      </c>
      <c r="N72" s="69" t="s">
        <v>1676</v>
      </c>
      <c r="O72" s="69">
        <v>0</v>
      </c>
      <c r="P72" s="69">
        <v>0</v>
      </c>
      <c r="Q72" s="69">
        <v>0</v>
      </c>
      <c r="R72" s="1436"/>
      <c r="S72" s="69" t="s">
        <v>761</v>
      </c>
      <c r="T72" s="69" t="s">
        <v>761</v>
      </c>
      <c r="U72" s="69">
        <v>0.55828078816796345</v>
      </c>
      <c r="V72" s="69">
        <v>0</v>
      </c>
      <c r="W72" s="69" t="s">
        <v>1956</v>
      </c>
      <c r="X72" s="69">
        <v>0</v>
      </c>
      <c r="Y72" s="69">
        <v>10.379477592000001</v>
      </c>
      <c r="Z72" s="69">
        <v>10.379477592000001</v>
      </c>
      <c r="AA72" s="69">
        <v>0.55828078816796345</v>
      </c>
      <c r="AB72" s="69">
        <v>1.1312979448530887</v>
      </c>
      <c r="AC72" s="69">
        <v>1576.3500000000004</v>
      </c>
      <c r="AD72" s="69">
        <v>11.362019177637114</v>
      </c>
      <c r="AE72" s="69">
        <v>6.962615676479194</v>
      </c>
      <c r="AF72" s="69">
        <v>0.42885177101843497</v>
      </c>
      <c r="AG72" s="69">
        <v>20995.16754305617</v>
      </c>
      <c r="AH72" s="69">
        <v>42.782375195343832</v>
      </c>
      <c r="AI72" s="1436"/>
      <c r="AJ72" s="1436"/>
      <c r="AK72" s="1436"/>
      <c r="AL72" s="1436"/>
      <c r="AM72" s="1436"/>
      <c r="AN72" s="1436"/>
      <c r="AO72" s="1436"/>
      <c r="AP72" s="1436"/>
      <c r="AQ72" s="1436"/>
      <c r="AR72" s="1436"/>
      <c r="AS72" s="1436"/>
      <c r="AT72" s="1436"/>
      <c r="AU72" s="1436"/>
      <c r="AV72" s="1436"/>
      <c r="AW72" s="1436"/>
      <c r="AX72" s="1435"/>
      <c r="AY72" s="1434"/>
      <c r="AZ72" s="1434"/>
      <c r="BA72" s="1435"/>
      <c r="BB72" s="1434"/>
      <c r="BC72" s="1434"/>
    </row>
    <row r="73" spans="2:55" ht="27.6" x14ac:dyDescent="0.25">
      <c r="B7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3" s="69" t="s">
        <v>1824</v>
      </c>
      <c r="D73" s="69" t="s">
        <v>1825</v>
      </c>
      <c r="E73" s="69" t="s">
        <v>777</v>
      </c>
      <c r="F73" s="1127" t="str">
        <f>VLOOKUP(TBL4_OptApp[[#This Row],[Option type
Defined List]],'Option Typs_Grps'!B$2:C$47, 2, FALSE)</f>
        <v>Customer Options</v>
      </c>
      <c r="G73" s="70" t="s">
        <v>1954</v>
      </c>
      <c r="H73" s="70" t="s">
        <v>1958</v>
      </c>
      <c r="I73" s="70" t="s">
        <v>1676</v>
      </c>
      <c r="J73" s="69" t="s">
        <v>1956</v>
      </c>
      <c r="K73" s="69">
        <v>0</v>
      </c>
      <c r="L73" s="69" t="s">
        <v>1676</v>
      </c>
      <c r="M73" s="69" t="s">
        <v>1676</v>
      </c>
      <c r="N73" s="69" t="s">
        <v>1676</v>
      </c>
      <c r="O73" s="69">
        <v>0</v>
      </c>
      <c r="P73" s="69">
        <v>0</v>
      </c>
      <c r="Q73" s="69">
        <v>0</v>
      </c>
      <c r="R73" s="1436"/>
      <c r="S73" s="69" t="s">
        <v>761</v>
      </c>
      <c r="T73" s="69" t="s">
        <v>761</v>
      </c>
      <c r="U73" s="69">
        <v>6.0212288145193464E-2</v>
      </c>
      <c r="V73" s="69">
        <v>0</v>
      </c>
      <c r="W73" s="69" t="s">
        <v>1956</v>
      </c>
      <c r="X73" s="69">
        <v>0</v>
      </c>
      <c r="Y73" s="69">
        <v>1.9744999999999999</v>
      </c>
      <c r="Z73" s="69">
        <v>1.9744999999999999</v>
      </c>
      <c r="AA73" s="69">
        <v>6.0212288145193464E-2</v>
      </c>
      <c r="AB73" s="69">
        <v>6.8469728234294522E-2</v>
      </c>
      <c r="AC73" s="69">
        <v>0</v>
      </c>
      <c r="AD73" s="69">
        <v>0</v>
      </c>
      <c r="AE73" s="69">
        <v>0</v>
      </c>
      <c r="AF73" s="69">
        <v>0</v>
      </c>
      <c r="AG73" s="69">
        <v>133705.64189551573</v>
      </c>
      <c r="AH73" s="69">
        <v>29.38513762304558</v>
      </c>
      <c r="AI73" s="1436"/>
      <c r="AJ73" s="1436"/>
      <c r="AK73" s="1436"/>
      <c r="AL73" s="1436"/>
      <c r="AM73" s="1436"/>
      <c r="AN73" s="1436"/>
      <c r="AO73" s="1436"/>
      <c r="AP73" s="1436"/>
      <c r="AQ73" s="1436"/>
      <c r="AR73" s="1436"/>
      <c r="AS73" s="1436"/>
      <c r="AT73" s="1436"/>
      <c r="AU73" s="1436"/>
      <c r="AV73" s="1436"/>
      <c r="AW73" s="1436"/>
      <c r="AX73" s="1435"/>
      <c r="AY73" s="1434"/>
      <c r="AZ73" s="1434"/>
      <c r="BA73" s="1435"/>
      <c r="BB73" s="1434"/>
      <c r="BC73" s="1434"/>
    </row>
    <row r="74" spans="2:55" ht="27.6" x14ac:dyDescent="0.25">
      <c r="B7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4" s="69" t="s">
        <v>1826</v>
      </c>
      <c r="D74" s="69" t="s">
        <v>1827</v>
      </c>
      <c r="E74" s="69" t="s">
        <v>777</v>
      </c>
      <c r="F74" s="1127" t="str">
        <f>VLOOKUP(TBL4_OptApp[[#This Row],[Option type
Defined List]],'Option Typs_Grps'!B$2:C$47, 2, FALSE)</f>
        <v>Customer Options</v>
      </c>
      <c r="G74" s="70" t="s">
        <v>1954</v>
      </c>
      <c r="H74" s="70" t="s">
        <v>1958</v>
      </c>
      <c r="I74" s="70" t="s">
        <v>1676</v>
      </c>
      <c r="J74" s="69" t="s">
        <v>1956</v>
      </c>
      <c r="K74" s="69">
        <v>0</v>
      </c>
      <c r="L74" s="69" t="s">
        <v>1676</v>
      </c>
      <c r="M74" s="69" t="s">
        <v>1676</v>
      </c>
      <c r="N74" s="69" t="s">
        <v>1676</v>
      </c>
      <c r="O74" s="69">
        <v>0</v>
      </c>
      <c r="P74" s="69">
        <v>0</v>
      </c>
      <c r="Q74" s="69">
        <v>0</v>
      </c>
      <c r="R74" s="1436"/>
      <c r="S74" s="69" t="s">
        <v>761</v>
      </c>
      <c r="T74" s="69" t="s">
        <v>761</v>
      </c>
      <c r="U74" s="69">
        <v>0.13765064346959047</v>
      </c>
      <c r="V74" s="69">
        <v>0</v>
      </c>
      <c r="W74" s="69" t="s">
        <v>1956</v>
      </c>
      <c r="X74" s="69">
        <v>0</v>
      </c>
      <c r="Y74" s="69">
        <v>0.24206160000000002</v>
      </c>
      <c r="Z74" s="69">
        <v>0.24206160000000002</v>
      </c>
      <c r="AA74" s="69">
        <v>0.13765064346959047</v>
      </c>
      <c r="AB74" s="69">
        <v>0.16847149515444396</v>
      </c>
      <c r="AC74" s="69">
        <v>0</v>
      </c>
      <c r="AD74" s="69">
        <v>0</v>
      </c>
      <c r="AE74" s="69">
        <v>0</v>
      </c>
      <c r="AF74" s="69">
        <v>0</v>
      </c>
      <c r="AG74" s="69">
        <v>6757.7425481167002</v>
      </c>
      <c r="AH74" s="69">
        <v>3.3952577770478416</v>
      </c>
      <c r="AI74" s="1436"/>
      <c r="AJ74" s="1436"/>
      <c r="AK74" s="1436"/>
      <c r="AL74" s="1436"/>
      <c r="AM74" s="1436"/>
      <c r="AN74" s="1436"/>
      <c r="AO74" s="1436"/>
      <c r="AP74" s="1436"/>
      <c r="AQ74" s="1436"/>
      <c r="AR74" s="1436"/>
      <c r="AS74" s="1436"/>
      <c r="AT74" s="1436"/>
      <c r="AU74" s="1436"/>
      <c r="AV74" s="1436"/>
      <c r="AW74" s="1436"/>
      <c r="AX74" s="1435"/>
      <c r="AY74" s="1434"/>
      <c r="AZ74" s="1434"/>
      <c r="BA74" s="1435"/>
      <c r="BB74" s="1434"/>
      <c r="BC74" s="1434"/>
    </row>
    <row r="75" spans="2:55" ht="82.8" x14ac:dyDescent="0.25">
      <c r="B7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5" s="69" t="s">
        <v>1828</v>
      </c>
      <c r="D75" s="69" t="s">
        <v>1829</v>
      </c>
      <c r="E75" s="69" t="s">
        <v>777</v>
      </c>
      <c r="F75" s="1127" t="str">
        <f>VLOOKUP(TBL4_OptApp[[#This Row],[Option type
Defined List]],'Option Typs_Grps'!B$2:C$47, 2, FALSE)</f>
        <v>Customer Options</v>
      </c>
      <c r="G75" s="70" t="s">
        <v>1954</v>
      </c>
      <c r="H75" s="70" t="s">
        <v>1959</v>
      </c>
      <c r="I75" s="70" t="s">
        <v>1676</v>
      </c>
      <c r="J75" s="1436"/>
      <c r="K75" s="1436"/>
      <c r="L75" s="1436"/>
      <c r="M75" s="1436"/>
      <c r="N75" s="1436"/>
      <c r="O75" s="1436"/>
      <c r="P75" s="1436"/>
      <c r="Q75" s="1436"/>
      <c r="R75" s="69" t="s">
        <v>1972</v>
      </c>
      <c r="S75" s="1436" t="s">
        <v>761</v>
      </c>
      <c r="T75" s="1436" t="s">
        <v>761</v>
      </c>
      <c r="U75" s="1436"/>
      <c r="V75" s="1436"/>
      <c r="W75" s="1436"/>
      <c r="X75" s="1436"/>
      <c r="Y75" s="1436"/>
      <c r="Z75" s="1436"/>
      <c r="AA75" s="1436"/>
      <c r="AB75" s="1436"/>
      <c r="AC75" s="1436"/>
      <c r="AD75" s="1436"/>
      <c r="AE75" s="1436"/>
      <c r="AF75" s="1436"/>
      <c r="AG75" s="1436"/>
      <c r="AH75" s="1442"/>
      <c r="AI75" s="1436"/>
      <c r="AJ75" s="1436"/>
      <c r="AK75" s="1436"/>
      <c r="AL75" s="1436"/>
      <c r="AM75" s="1436"/>
      <c r="AN75" s="1436"/>
      <c r="AO75" s="1436"/>
      <c r="AP75" s="1436"/>
      <c r="AQ75" s="1436"/>
      <c r="AR75" s="1436"/>
      <c r="AS75" s="1436"/>
      <c r="AT75" s="1436"/>
      <c r="AU75" s="1436"/>
      <c r="AV75" s="1436"/>
      <c r="AW75" s="1436"/>
      <c r="AX75" s="1435"/>
      <c r="AY75" s="1434"/>
      <c r="AZ75" s="1434"/>
      <c r="BA75" s="1435"/>
      <c r="BB75" s="1434"/>
      <c r="BC75" s="1434"/>
    </row>
    <row r="76" spans="2:55" ht="41.4" x14ac:dyDescent="0.25">
      <c r="B7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6" s="69" t="s">
        <v>1830</v>
      </c>
      <c r="D76" s="69" t="s">
        <v>1831</v>
      </c>
      <c r="E76" s="69" t="s">
        <v>777</v>
      </c>
      <c r="F76" s="1127" t="str">
        <f>VLOOKUP(TBL4_OptApp[[#This Row],[Option type
Defined List]],'Option Typs_Grps'!B$2:C$47, 2, FALSE)</f>
        <v>Customer Options</v>
      </c>
      <c r="G76" s="70" t="s">
        <v>1954</v>
      </c>
      <c r="H76" s="70" t="s">
        <v>1959</v>
      </c>
      <c r="I76" s="70" t="s">
        <v>1676</v>
      </c>
      <c r="J76" s="1436"/>
      <c r="K76" s="1436"/>
      <c r="L76" s="1436"/>
      <c r="M76" s="1436"/>
      <c r="N76" s="1436"/>
      <c r="O76" s="1436"/>
      <c r="P76" s="1436"/>
      <c r="Q76" s="1436"/>
      <c r="R76" s="69" t="s">
        <v>1973</v>
      </c>
      <c r="S76" s="1436" t="s">
        <v>761</v>
      </c>
      <c r="T76" s="1436" t="s">
        <v>761</v>
      </c>
      <c r="U76" s="1436"/>
      <c r="V76" s="1436"/>
      <c r="W76" s="1436"/>
      <c r="X76" s="1436"/>
      <c r="Y76" s="1436"/>
      <c r="Z76" s="1436"/>
      <c r="AA76" s="1436"/>
      <c r="AB76" s="1436"/>
      <c r="AC76" s="1436"/>
      <c r="AD76" s="1436"/>
      <c r="AE76" s="1436"/>
      <c r="AF76" s="1436"/>
      <c r="AG76" s="1436"/>
      <c r="AH76" s="1442"/>
      <c r="AI76" s="1436"/>
      <c r="AJ76" s="1436"/>
      <c r="AK76" s="1436"/>
      <c r="AL76" s="1436"/>
      <c r="AM76" s="1436"/>
      <c r="AN76" s="1436"/>
      <c r="AO76" s="1436"/>
      <c r="AP76" s="1436"/>
      <c r="AQ76" s="1436"/>
      <c r="AR76" s="1436"/>
      <c r="AS76" s="1436"/>
      <c r="AT76" s="1436"/>
      <c r="AU76" s="1436"/>
      <c r="AV76" s="1436"/>
      <c r="AW76" s="1436"/>
      <c r="AX76" s="1435"/>
      <c r="AY76" s="1434"/>
      <c r="AZ76" s="1434"/>
      <c r="BA76" s="1435"/>
      <c r="BB76" s="1434"/>
      <c r="BC76" s="1434"/>
    </row>
    <row r="77" spans="2:55" ht="55.2" x14ac:dyDescent="0.25">
      <c r="B7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7" s="69" t="s">
        <v>1832</v>
      </c>
      <c r="D77" s="69" t="s">
        <v>1833</v>
      </c>
      <c r="E77" s="69" t="s">
        <v>777</v>
      </c>
      <c r="F77" s="1127" t="str">
        <f>VLOOKUP(TBL4_OptApp[[#This Row],[Option type
Defined List]],'Option Typs_Grps'!B$2:C$47, 2, FALSE)</f>
        <v>Customer Options</v>
      </c>
      <c r="G77" s="70" t="s">
        <v>1954</v>
      </c>
      <c r="H77" s="70" t="s">
        <v>1959</v>
      </c>
      <c r="I77" s="70" t="s">
        <v>1957</v>
      </c>
      <c r="J77" s="1436"/>
      <c r="K77" s="1436"/>
      <c r="L77" s="1436"/>
      <c r="M77" s="1436"/>
      <c r="N77" s="1436"/>
      <c r="O77" s="1436"/>
      <c r="P77" s="1436"/>
      <c r="Q77" s="1436"/>
      <c r="R77" s="69" t="s">
        <v>1974</v>
      </c>
      <c r="S77" s="1436" t="s">
        <v>761</v>
      </c>
      <c r="T77" s="1436" t="s">
        <v>761</v>
      </c>
      <c r="U77" s="1436"/>
      <c r="V77" s="1436"/>
      <c r="W77" s="1436"/>
      <c r="X77" s="1436"/>
      <c r="Y77" s="1436"/>
      <c r="Z77" s="1436"/>
      <c r="AA77" s="1436"/>
      <c r="AB77" s="1436"/>
      <c r="AC77" s="1436"/>
      <c r="AD77" s="1436"/>
      <c r="AE77" s="1436"/>
      <c r="AF77" s="1436"/>
      <c r="AG77" s="1436"/>
      <c r="AH77" s="1442"/>
      <c r="AI77" s="1436"/>
      <c r="AJ77" s="1436"/>
      <c r="AK77" s="1436"/>
      <c r="AL77" s="1436"/>
      <c r="AM77" s="1436"/>
      <c r="AN77" s="1436"/>
      <c r="AO77" s="1436"/>
      <c r="AP77" s="1436"/>
      <c r="AQ77" s="1436"/>
      <c r="AR77" s="1436"/>
      <c r="AS77" s="1436"/>
      <c r="AT77" s="1436"/>
      <c r="AU77" s="1436"/>
      <c r="AV77" s="1436"/>
      <c r="AW77" s="1436"/>
      <c r="AX77" s="1435"/>
      <c r="AY77" s="1434"/>
      <c r="AZ77" s="1434"/>
      <c r="BA77" s="1435"/>
      <c r="BB77" s="1434"/>
      <c r="BC77" s="1434"/>
    </row>
    <row r="78" spans="2:55" ht="55.2" x14ac:dyDescent="0.25">
      <c r="B7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78" s="69" t="s">
        <v>1834</v>
      </c>
      <c r="D78" s="69" t="s">
        <v>1835</v>
      </c>
      <c r="E78" s="69" t="s">
        <v>1302</v>
      </c>
      <c r="F78" s="1127" t="str">
        <f>VLOOKUP(TBL4_OptApp[[#This Row],[Option type
Defined List]],'Option Typs_Grps'!B$2:C$47, 2, FALSE)</f>
        <v>Customer Options</v>
      </c>
      <c r="G78" s="70" t="s">
        <v>1954</v>
      </c>
      <c r="H78" s="70" t="s">
        <v>1955</v>
      </c>
      <c r="I78" s="70" t="s">
        <v>1676</v>
      </c>
      <c r="J78" s="69" t="s">
        <v>1956</v>
      </c>
      <c r="K78" s="69">
        <v>0</v>
      </c>
      <c r="L78" s="69" t="s">
        <v>1957</v>
      </c>
      <c r="M78" s="69" t="s">
        <v>1957</v>
      </c>
      <c r="N78" s="69" t="s">
        <v>1957</v>
      </c>
      <c r="O78" s="69" t="s">
        <v>1676</v>
      </c>
      <c r="P78" s="69" t="s">
        <v>1676</v>
      </c>
      <c r="Q78" s="69" t="s">
        <v>1676</v>
      </c>
      <c r="R78" s="1436"/>
      <c r="S78" s="69" t="s">
        <v>761</v>
      </c>
      <c r="T78" s="69" t="s">
        <v>761</v>
      </c>
      <c r="U78" s="69">
        <v>0.52561195689060936</v>
      </c>
      <c r="V78" s="69">
        <v>0</v>
      </c>
      <c r="W78" s="69">
        <v>2025</v>
      </c>
      <c r="X78" s="69">
        <v>0</v>
      </c>
      <c r="Y78" s="69">
        <v>8.3006677777777788E-2</v>
      </c>
      <c r="Z78" s="69">
        <v>8.3006677777777788E-2</v>
      </c>
      <c r="AA78" s="69">
        <v>0.52561195689060936</v>
      </c>
      <c r="AB78" s="69">
        <v>0.52561195689060936</v>
      </c>
      <c r="AC78" s="69">
        <v>2406.2320999999993</v>
      </c>
      <c r="AD78" s="69">
        <v>1.4002411521066591E-3</v>
      </c>
      <c r="AE78" s="69">
        <v>1.030353856395088E-3</v>
      </c>
      <c r="AF78" s="69">
        <v>0.58953317541737038</v>
      </c>
      <c r="AG78" s="69">
        <v>1060.6084551568142</v>
      </c>
      <c r="AH78" s="69">
        <v>2.0347599724754017</v>
      </c>
      <c r="AI78" s="1436"/>
      <c r="AJ78" s="1436"/>
      <c r="AK78" s="1436"/>
      <c r="AL78" s="1436"/>
      <c r="AM78" s="1436"/>
      <c r="AN78" s="1436"/>
      <c r="AO78" s="1436"/>
      <c r="AP78" s="1436"/>
      <c r="AQ78" s="1436"/>
      <c r="AR78" s="1436"/>
      <c r="AS78" s="1436"/>
      <c r="AT78" s="1436"/>
      <c r="AU78" s="1436"/>
      <c r="AV78" s="1436"/>
      <c r="AW78" s="1436"/>
      <c r="AX78" s="1435">
        <v>0</v>
      </c>
      <c r="AY78" s="1435">
        <v>0</v>
      </c>
      <c r="AZ78" s="1435">
        <v>6.34</v>
      </c>
      <c r="BA78" s="1435">
        <v>0</v>
      </c>
      <c r="BB78" s="1435">
        <v>4.34</v>
      </c>
      <c r="BC78" s="1435">
        <v>0</v>
      </c>
    </row>
    <row r="79" spans="2:55" ht="69" x14ac:dyDescent="0.25">
      <c r="B7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9" s="69" t="s">
        <v>1836</v>
      </c>
      <c r="D79" s="69" t="s">
        <v>1837</v>
      </c>
      <c r="E79" s="69" t="s">
        <v>1302</v>
      </c>
      <c r="F79" s="1127" t="str">
        <f>VLOOKUP(TBL4_OptApp[[#This Row],[Option type
Defined List]],'Option Typs_Grps'!B$2:C$47, 2, FALSE)</f>
        <v>Customer Options</v>
      </c>
      <c r="G79" s="70" t="s">
        <v>1954</v>
      </c>
      <c r="H79" s="70" t="s">
        <v>1959</v>
      </c>
      <c r="I79" s="70" t="s">
        <v>1676</v>
      </c>
      <c r="J79" s="1436"/>
      <c r="K79" s="1436"/>
      <c r="L79" s="1436"/>
      <c r="M79" s="1436"/>
      <c r="N79" s="1436"/>
      <c r="O79" s="1436"/>
      <c r="P79" s="1436"/>
      <c r="Q79" s="1436"/>
      <c r="R79" s="69" t="s">
        <v>1975</v>
      </c>
      <c r="S79" s="1436" t="s">
        <v>761</v>
      </c>
      <c r="T79" s="1436" t="s">
        <v>761</v>
      </c>
      <c r="U79" s="1436"/>
      <c r="V79" s="1436"/>
      <c r="W79" s="1436"/>
      <c r="X79" s="1436"/>
      <c r="Y79" s="1436"/>
      <c r="Z79" s="1436"/>
      <c r="AA79" s="1436"/>
      <c r="AB79" s="1436"/>
      <c r="AC79" s="1436"/>
      <c r="AD79" s="1436"/>
      <c r="AE79" s="1436"/>
      <c r="AF79" s="1436"/>
      <c r="AG79" s="1436"/>
      <c r="AH79" s="1442"/>
      <c r="AI79" s="1436"/>
      <c r="AJ79" s="1436"/>
      <c r="AK79" s="1436"/>
      <c r="AL79" s="1436"/>
      <c r="AM79" s="1436"/>
      <c r="AN79" s="1436"/>
      <c r="AO79" s="1436"/>
      <c r="AP79" s="1436"/>
      <c r="AQ79" s="1436"/>
      <c r="AR79" s="1436"/>
      <c r="AS79" s="1436"/>
      <c r="AT79" s="1436"/>
      <c r="AU79" s="1436"/>
      <c r="AV79" s="1436"/>
      <c r="AW79" s="1436"/>
      <c r="AX79" s="1435"/>
      <c r="AY79" s="1434"/>
      <c r="AZ79" s="1434"/>
      <c r="BA79" s="1435"/>
      <c r="BB79" s="1434"/>
      <c r="BC79" s="1434"/>
    </row>
    <row r="80" spans="2:55" ht="96.6" x14ac:dyDescent="0.25">
      <c r="B8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0" s="69" t="s">
        <v>1838</v>
      </c>
      <c r="D80" s="69" t="s">
        <v>1839</v>
      </c>
      <c r="E80" s="69" t="s">
        <v>1302</v>
      </c>
      <c r="F80" s="1127" t="str">
        <f>VLOOKUP(TBL4_OptApp[[#This Row],[Option type
Defined List]],'Option Typs_Grps'!B$2:C$47, 2, FALSE)</f>
        <v>Customer Options</v>
      </c>
      <c r="G80" s="70" t="s">
        <v>1954</v>
      </c>
      <c r="H80" s="70" t="s">
        <v>1958</v>
      </c>
      <c r="I80" s="70" t="s">
        <v>1676</v>
      </c>
      <c r="J80" s="69" t="s">
        <v>1956</v>
      </c>
      <c r="K80" s="69">
        <v>0</v>
      </c>
      <c r="L80" s="69" t="s">
        <v>1676</v>
      </c>
      <c r="M80" s="69" t="s">
        <v>1676</v>
      </c>
      <c r="N80" s="69" t="s">
        <v>1676</v>
      </c>
      <c r="O80" s="69" t="s">
        <v>1676</v>
      </c>
      <c r="P80" s="69" t="s">
        <v>1676</v>
      </c>
      <c r="Q80" s="69" t="s">
        <v>1676</v>
      </c>
      <c r="R80" s="1436"/>
      <c r="S80" s="69" t="s">
        <v>761</v>
      </c>
      <c r="T80" s="69" t="s">
        <v>761</v>
      </c>
      <c r="U80" s="69">
        <v>0.64245725684629518</v>
      </c>
      <c r="V80" s="69">
        <v>0</v>
      </c>
      <c r="W80" s="69" t="s">
        <v>1956</v>
      </c>
      <c r="X80" s="69">
        <v>0</v>
      </c>
      <c r="Y80" s="69">
        <v>0.1062424133333333</v>
      </c>
      <c r="Z80" s="69">
        <v>0.1062424133333333</v>
      </c>
      <c r="AA80" s="69">
        <v>0.64245725684629518</v>
      </c>
      <c r="AB80" s="69">
        <v>0.64245725684629518</v>
      </c>
      <c r="AC80" s="69">
        <v>3140.6251200000006</v>
      </c>
      <c r="AD80" s="69">
        <v>1.8297629779062474</v>
      </c>
      <c r="AE80" s="69">
        <v>1.3431676596438837</v>
      </c>
      <c r="AF80" s="69">
        <v>0.77768005631531889</v>
      </c>
      <c r="AG80" s="69">
        <v>1110.3851057589063</v>
      </c>
      <c r="AH80" s="69">
        <v>2.6038186371743035</v>
      </c>
      <c r="AI80" s="1436"/>
      <c r="AJ80" s="1436"/>
      <c r="AK80" s="1436"/>
      <c r="AL80" s="1436"/>
      <c r="AM80" s="1436"/>
      <c r="AN80" s="1436"/>
      <c r="AO80" s="1436"/>
      <c r="AP80" s="1436"/>
      <c r="AQ80" s="1436"/>
      <c r="AR80" s="1436"/>
      <c r="AS80" s="1436"/>
      <c r="AT80" s="1436"/>
      <c r="AU80" s="1436"/>
      <c r="AV80" s="1436"/>
      <c r="AW80" s="1436"/>
      <c r="AX80" s="1435">
        <v>0</v>
      </c>
      <c r="AY80" s="1435">
        <v>0</v>
      </c>
      <c r="AZ80" s="1435">
        <v>3.17</v>
      </c>
      <c r="BA80" s="1435">
        <v>0</v>
      </c>
      <c r="BB80" s="1435">
        <v>0</v>
      </c>
      <c r="BC80" s="1435">
        <v>-2.91</v>
      </c>
    </row>
    <row r="81" spans="2:55" ht="41.4" x14ac:dyDescent="0.25">
      <c r="B8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1" s="69" t="s">
        <v>1840</v>
      </c>
      <c r="D81" s="69" t="s">
        <v>1841</v>
      </c>
      <c r="E81" s="69" t="s">
        <v>1302</v>
      </c>
      <c r="F81" s="1127" t="str">
        <f>VLOOKUP(TBL4_OptApp[[#This Row],[Option type
Defined List]],'Option Typs_Grps'!B$2:C$47, 2, FALSE)</f>
        <v>Customer Options</v>
      </c>
      <c r="G81" s="70" t="s">
        <v>1954</v>
      </c>
      <c r="H81" s="70" t="s">
        <v>1958</v>
      </c>
      <c r="I81" s="70" t="s">
        <v>1676</v>
      </c>
      <c r="J81" s="69" t="s">
        <v>1956</v>
      </c>
      <c r="K81" s="69">
        <v>0</v>
      </c>
      <c r="L81" s="69" t="s">
        <v>1676</v>
      </c>
      <c r="M81" s="69" t="s">
        <v>1676</v>
      </c>
      <c r="N81" s="69" t="s">
        <v>1676</v>
      </c>
      <c r="O81" s="69">
        <v>0</v>
      </c>
      <c r="P81" s="69">
        <v>0</v>
      </c>
      <c r="Q81" s="69">
        <v>0</v>
      </c>
      <c r="R81" s="1436"/>
      <c r="S81" s="69" t="s">
        <v>761</v>
      </c>
      <c r="T81" s="69" t="s">
        <v>761</v>
      </c>
      <c r="U81" s="69">
        <v>8.1810194498583844E-3</v>
      </c>
      <c r="V81" s="69">
        <v>0</v>
      </c>
      <c r="W81" s="69" t="s">
        <v>1956</v>
      </c>
      <c r="X81" s="69">
        <v>0</v>
      </c>
      <c r="Y81" s="69">
        <v>9.2435244799999941E-2</v>
      </c>
      <c r="Z81" s="69">
        <v>9.2435244799999941E-2</v>
      </c>
      <c r="AA81" s="69">
        <v>8.1810194498583844E-3</v>
      </c>
      <c r="AB81" s="69">
        <v>1.0660499284605045E-2</v>
      </c>
      <c r="AC81" s="69">
        <v>117.07751999999996</v>
      </c>
      <c r="AD81" s="69">
        <v>0.14395844173533279</v>
      </c>
      <c r="AE81" s="69">
        <v>8.7532076595190828E-2</v>
      </c>
      <c r="AF81" s="69">
        <v>2.922012636914555E-2</v>
      </c>
      <c r="AG81" s="69">
        <v>31957.786922924937</v>
      </c>
      <c r="AH81" s="69">
        <v>0.95428255882670754</v>
      </c>
      <c r="AI81" s="1436"/>
      <c r="AJ81" s="1436"/>
      <c r="AK81" s="1436"/>
      <c r="AL81" s="1436"/>
      <c r="AM81" s="1436"/>
      <c r="AN81" s="1436"/>
      <c r="AO81" s="1436"/>
      <c r="AP81" s="1436"/>
      <c r="AQ81" s="1436"/>
      <c r="AR81" s="1436"/>
      <c r="AS81" s="1436"/>
      <c r="AT81" s="1436"/>
      <c r="AU81" s="1436"/>
      <c r="AV81" s="1436"/>
      <c r="AW81" s="1436"/>
      <c r="AX81" s="1435"/>
      <c r="AY81" s="1434"/>
      <c r="AZ81" s="1434"/>
      <c r="BA81" s="1435"/>
      <c r="BB81" s="1434"/>
      <c r="BC81" s="1434"/>
    </row>
    <row r="82" spans="2:55" ht="41.4" x14ac:dyDescent="0.25">
      <c r="B8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2" s="69" t="s">
        <v>1842</v>
      </c>
      <c r="D82" s="69" t="s">
        <v>1843</v>
      </c>
      <c r="E82" s="69" t="s">
        <v>1302</v>
      </c>
      <c r="F82" s="1127" t="str">
        <f>VLOOKUP(TBL4_OptApp[[#This Row],[Option type
Defined List]],'Option Typs_Grps'!B$2:C$47, 2, FALSE)</f>
        <v>Customer Options</v>
      </c>
      <c r="G82" s="70" t="s">
        <v>1954</v>
      </c>
      <c r="H82" s="70" t="s">
        <v>1958</v>
      </c>
      <c r="I82" s="70" t="s">
        <v>1676</v>
      </c>
      <c r="J82" s="69" t="s">
        <v>1956</v>
      </c>
      <c r="K82" s="69">
        <v>0</v>
      </c>
      <c r="L82" s="69" t="s">
        <v>1676</v>
      </c>
      <c r="M82" s="69" t="s">
        <v>1676</v>
      </c>
      <c r="N82" s="69" t="s">
        <v>1676</v>
      </c>
      <c r="O82" s="69">
        <v>0</v>
      </c>
      <c r="P82" s="69">
        <v>0</v>
      </c>
      <c r="Q82" s="69">
        <v>0</v>
      </c>
      <c r="R82" s="1436"/>
      <c r="S82" s="69" t="s">
        <v>761</v>
      </c>
      <c r="T82" s="69" t="s">
        <v>761</v>
      </c>
      <c r="U82" s="69">
        <v>8.1810194498583844E-3</v>
      </c>
      <c r="V82" s="69">
        <v>0</v>
      </c>
      <c r="W82" s="69" t="s">
        <v>1956</v>
      </c>
      <c r="X82" s="69">
        <v>0</v>
      </c>
      <c r="Y82" s="69">
        <v>7.012816479999999E-2</v>
      </c>
      <c r="Z82" s="69">
        <v>7.012816479999999E-2</v>
      </c>
      <c r="AA82" s="69">
        <v>8.1810194498583844E-3</v>
      </c>
      <c r="AB82" s="69">
        <v>1.0660499284605045E-2</v>
      </c>
      <c r="AC82" s="69">
        <v>117.07751999999996</v>
      </c>
      <c r="AD82" s="69">
        <v>10.351769938695332</v>
      </c>
      <c r="AE82" s="69">
        <v>6.3428523009409892</v>
      </c>
      <c r="AF82" s="69">
        <v>0</v>
      </c>
      <c r="AG82" s="69">
        <v>32625.700526579247</v>
      </c>
      <c r="AH82" s="69">
        <v>0.97422694059217896</v>
      </c>
      <c r="AI82" s="1436"/>
      <c r="AJ82" s="1436"/>
      <c r="AK82" s="1436"/>
      <c r="AL82" s="1436"/>
      <c r="AM82" s="1436"/>
      <c r="AN82" s="1436"/>
      <c r="AO82" s="1436"/>
      <c r="AP82" s="1436"/>
      <c r="AQ82" s="1436"/>
      <c r="AR82" s="1436"/>
      <c r="AS82" s="1436"/>
      <c r="AT82" s="1436"/>
      <c r="AU82" s="1436"/>
      <c r="AV82" s="1436"/>
      <c r="AW82" s="1436"/>
      <c r="AX82" s="1435"/>
      <c r="AY82" s="1434"/>
      <c r="AZ82" s="1434"/>
      <c r="BA82" s="1435"/>
      <c r="BB82" s="1434"/>
      <c r="BC82" s="1434"/>
    </row>
    <row r="83" spans="2:55" ht="82.8" x14ac:dyDescent="0.25">
      <c r="B8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69" t="s">
        <v>1844</v>
      </c>
      <c r="D83" s="69" t="s">
        <v>1845</v>
      </c>
      <c r="E83" s="69" t="s">
        <v>1302</v>
      </c>
      <c r="F83" s="1127" t="str">
        <f>VLOOKUP(TBL4_OptApp[[#This Row],[Option type
Defined List]],'Option Typs_Grps'!B$2:C$47, 2, FALSE)</f>
        <v>Customer Options</v>
      </c>
      <c r="G83" s="70" t="s">
        <v>1954</v>
      </c>
      <c r="H83" s="70" t="s">
        <v>1959</v>
      </c>
      <c r="I83" s="70" t="s">
        <v>1676</v>
      </c>
      <c r="J83" s="1436"/>
      <c r="K83" s="1436"/>
      <c r="L83" s="1436"/>
      <c r="M83" s="1436"/>
      <c r="N83" s="1436"/>
      <c r="O83" s="1436"/>
      <c r="P83" s="1436"/>
      <c r="Q83" s="1436"/>
      <c r="R83" s="69" t="s">
        <v>1976</v>
      </c>
      <c r="S83" s="1436" t="s">
        <v>761</v>
      </c>
      <c r="T83" s="1436" t="s">
        <v>761</v>
      </c>
      <c r="U83" s="1436"/>
      <c r="V83" s="1436"/>
      <c r="W83" s="1436"/>
      <c r="X83" s="1436"/>
      <c r="Y83" s="1436"/>
      <c r="Z83" s="1436"/>
      <c r="AA83" s="1436"/>
      <c r="AB83" s="1436"/>
      <c r="AC83" s="1436"/>
      <c r="AD83" s="1436"/>
      <c r="AE83" s="1436"/>
      <c r="AF83" s="1436"/>
      <c r="AG83" s="1436"/>
      <c r="AH83" s="1442"/>
      <c r="AI83" s="1436"/>
      <c r="AJ83" s="1436"/>
      <c r="AK83" s="1436"/>
      <c r="AL83" s="1436"/>
      <c r="AM83" s="1436"/>
      <c r="AN83" s="1436"/>
      <c r="AO83" s="1436"/>
      <c r="AP83" s="1436"/>
      <c r="AQ83" s="1436"/>
      <c r="AR83" s="1436"/>
      <c r="AS83" s="1436"/>
      <c r="AT83" s="1436"/>
      <c r="AU83" s="1436"/>
      <c r="AV83" s="1436"/>
      <c r="AW83" s="1436"/>
      <c r="AX83" s="1435"/>
      <c r="AY83" s="1434"/>
      <c r="AZ83" s="1434"/>
      <c r="BA83" s="1435"/>
      <c r="BB83" s="1434"/>
      <c r="BC83" s="1434"/>
    </row>
    <row r="84" spans="2:55" ht="69" x14ac:dyDescent="0.25">
      <c r="B8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69" t="s">
        <v>1846</v>
      </c>
      <c r="D84" s="69" t="s">
        <v>1847</v>
      </c>
      <c r="E84" s="69" t="s">
        <v>1302</v>
      </c>
      <c r="F84" s="1127" t="str">
        <f>VLOOKUP(TBL4_OptApp[[#This Row],[Option type
Defined List]],'Option Typs_Grps'!B$2:C$47, 2, FALSE)</f>
        <v>Customer Options</v>
      </c>
      <c r="G84" s="70" t="s">
        <v>1954</v>
      </c>
      <c r="H84" s="70" t="s">
        <v>1959</v>
      </c>
      <c r="I84" s="70" t="s">
        <v>1676</v>
      </c>
      <c r="J84" s="1436"/>
      <c r="K84" s="1436"/>
      <c r="L84" s="1436"/>
      <c r="M84" s="1436"/>
      <c r="N84" s="1436"/>
      <c r="O84" s="1436"/>
      <c r="P84" s="1436"/>
      <c r="Q84" s="1436"/>
      <c r="R84" s="69" t="s">
        <v>1977</v>
      </c>
      <c r="S84" s="1436" t="s">
        <v>761</v>
      </c>
      <c r="T84" s="1436" t="s">
        <v>761</v>
      </c>
      <c r="U84" s="1436"/>
      <c r="V84" s="1436"/>
      <c r="W84" s="1436"/>
      <c r="X84" s="1436"/>
      <c r="Y84" s="1436"/>
      <c r="Z84" s="1436"/>
      <c r="AA84" s="1436"/>
      <c r="AB84" s="1436"/>
      <c r="AC84" s="1436"/>
      <c r="AD84" s="1436"/>
      <c r="AE84" s="1436"/>
      <c r="AF84" s="1436"/>
      <c r="AG84" s="1436"/>
      <c r="AH84" s="1442"/>
      <c r="AI84" s="1436"/>
      <c r="AJ84" s="1436"/>
      <c r="AK84" s="1436"/>
      <c r="AL84" s="1436"/>
      <c r="AM84" s="1436"/>
      <c r="AN84" s="1436"/>
      <c r="AO84" s="1436"/>
      <c r="AP84" s="1436"/>
      <c r="AQ84" s="1436"/>
      <c r="AR84" s="1436"/>
      <c r="AS84" s="1436"/>
      <c r="AT84" s="1436"/>
      <c r="AU84" s="1436"/>
      <c r="AV84" s="1436"/>
      <c r="AW84" s="1436"/>
      <c r="AX84" s="1435"/>
      <c r="AY84" s="1434"/>
      <c r="AZ84" s="1434"/>
      <c r="BA84" s="1435"/>
      <c r="BB84" s="1434"/>
      <c r="BC84" s="1434"/>
    </row>
    <row r="85" spans="2:55" ht="41.4" x14ac:dyDescent="0.25">
      <c r="B8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5" s="69" t="s">
        <v>1848</v>
      </c>
      <c r="D85" s="69" t="s">
        <v>1849</v>
      </c>
      <c r="E85" s="69" t="s">
        <v>778</v>
      </c>
      <c r="F85" s="1127" t="str">
        <f>VLOOKUP(TBL4_OptApp[[#This Row],[Option type
Defined List]],'Option Typs_Grps'!B$2:C$47, 2, FALSE)</f>
        <v>Customer Options</v>
      </c>
      <c r="G85" s="70" t="s">
        <v>1954</v>
      </c>
      <c r="H85" s="70" t="s">
        <v>1958</v>
      </c>
      <c r="I85" s="70" t="s">
        <v>1676</v>
      </c>
      <c r="J85" s="69" t="s">
        <v>1956</v>
      </c>
      <c r="K85" s="69">
        <v>0</v>
      </c>
      <c r="L85" s="69" t="s">
        <v>1676</v>
      </c>
      <c r="M85" s="69" t="s">
        <v>1676</v>
      </c>
      <c r="N85" s="69" t="s">
        <v>1676</v>
      </c>
      <c r="O85" s="69" t="s">
        <v>1676</v>
      </c>
      <c r="P85" s="69" t="s">
        <v>1676</v>
      </c>
      <c r="Q85" s="69" t="s">
        <v>1676</v>
      </c>
      <c r="R85" s="1436"/>
      <c r="S85" s="69" t="s">
        <v>761</v>
      </c>
      <c r="T85" s="69" t="s">
        <v>761</v>
      </c>
      <c r="U85" s="69">
        <v>1.3706365573546035E-2</v>
      </c>
      <c r="V85" s="69">
        <v>0</v>
      </c>
      <c r="W85" s="69" t="s">
        <v>1956</v>
      </c>
      <c r="X85" s="69">
        <v>0</v>
      </c>
      <c r="Y85" s="69">
        <v>1.5625E-2</v>
      </c>
      <c r="Z85" s="69">
        <v>1.5625E-2</v>
      </c>
      <c r="AA85" s="69">
        <v>1.3706365573546035E-2</v>
      </c>
      <c r="AB85" s="69">
        <v>1.3706365573546035E-2</v>
      </c>
      <c r="AC85" s="69">
        <v>0</v>
      </c>
      <c r="AD85" s="69">
        <v>0</v>
      </c>
      <c r="AE85" s="69">
        <v>0</v>
      </c>
      <c r="AF85" s="69">
        <v>0</v>
      </c>
      <c r="AG85" s="69">
        <v>17048.7404031798</v>
      </c>
      <c r="AH85" s="69">
        <v>0.85291838015080434</v>
      </c>
      <c r="AI85" s="1436"/>
      <c r="AJ85" s="1436"/>
      <c r="AK85" s="1436"/>
      <c r="AL85" s="1436"/>
      <c r="AM85" s="1436"/>
      <c r="AN85" s="1436"/>
      <c r="AO85" s="1436"/>
      <c r="AP85" s="1436"/>
      <c r="AQ85" s="1436"/>
      <c r="AR85" s="1436"/>
      <c r="AS85" s="1436"/>
      <c r="AT85" s="1436"/>
      <c r="AU85" s="1436"/>
      <c r="AV85" s="1436"/>
      <c r="AW85" s="1436"/>
      <c r="AX85" s="1435">
        <v>0</v>
      </c>
      <c r="AY85" s="1435">
        <v>0</v>
      </c>
      <c r="AZ85" s="1435">
        <v>6.34</v>
      </c>
      <c r="BA85" s="1435">
        <v>0</v>
      </c>
      <c r="BB85" s="1435">
        <v>0</v>
      </c>
      <c r="BC85" s="1435">
        <v>0</v>
      </c>
    </row>
    <row r="86" spans="2:55" ht="27.6" x14ac:dyDescent="0.25">
      <c r="B8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6" s="69" t="s">
        <v>1850</v>
      </c>
      <c r="D86" s="69" t="s">
        <v>1851</v>
      </c>
      <c r="E86" s="69" t="s">
        <v>778</v>
      </c>
      <c r="F86" s="1127" t="str">
        <f>VLOOKUP(TBL4_OptApp[[#This Row],[Option type
Defined List]],'Option Typs_Grps'!B$2:C$47, 2, FALSE)</f>
        <v>Customer Options</v>
      </c>
      <c r="G86" s="70" t="s">
        <v>1954</v>
      </c>
      <c r="H86" s="70" t="s">
        <v>1955</v>
      </c>
      <c r="I86" s="70" t="s">
        <v>1676</v>
      </c>
      <c r="J86" s="69" t="s">
        <v>1956</v>
      </c>
      <c r="K86" s="69">
        <v>0</v>
      </c>
      <c r="L86" s="69" t="s">
        <v>1957</v>
      </c>
      <c r="M86" s="69" t="s">
        <v>1957</v>
      </c>
      <c r="N86" s="69" t="s">
        <v>1957</v>
      </c>
      <c r="O86" s="69" t="s">
        <v>1676</v>
      </c>
      <c r="P86" s="69" t="s">
        <v>1676</v>
      </c>
      <c r="Q86" s="69" t="s">
        <v>1676</v>
      </c>
      <c r="R86" s="1436"/>
      <c r="S86" s="69" t="s">
        <v>761</v>
      </c>
      <c r="T86" s="69" t="s">
        <v>761</v>
      </c>
      <c r="U86" s="69">
        <v>0.71126690489469746</v>
      </c>
      <c r="V86" s="69">
        <v>0</v>
      </c>
      <c r="W86" s="69">
        <v>2025</v>
      </c>
      <c r="X86" s="69">
        <v>0</v>
      </c>
      <c r="Y86" s="69">
        <v>0.25596866106156591</v>
      </c>
      <c r="Z86" s="69">
        <v>0.25596866106156591</v>
      </c>
      <c r="AA86" s="69">
        <v>0.71126690489469746</v>
      </c>
      <c r="AB86" s="69">
        <v>20.464877260373171</v>
      </c>
      <c r="AC86" s="69">
        <v>539.58600000000001</v>
      </c>
      <c r="AD86" s="69">
        <v>0.67321896114602153</v>
      </c>
      <c r="AE86" s="69">
        <v>0.20663643680853599</v>
      </c>
      <c r="AF86" s="69">
        <v>0.13346421817545234</v>
      </c>
      <c r="AG86" s="69">
        <v>2559.99265691752</v>
      </c>
      <c r="AH86" s="69">
        <v>6.6460588957819038</v>
      </c>
      <c r="AI86" s="1436"/>
      <c r="AJ86" s="1436"/>
      <c r="AK86" s="1436"/>
      <c r="AL86" s="1436"/>
      <c r="AM86" s="1436"/>
      <c r="AN86" s="1436"/>
      <c r="AO86" s="1436"/>
      <c r="AP86" s="1436"/>
      <c r="AQ86" s="1436"/>
      <c r="AR86" s="1436"/>
      <c r="AS86" s="1436"/>
      <c r="AT86" s="1436"/>
      <c r="AU86" s="1436"/>
      <c r="AV86" s="1436"/>
      <c r="AW86" s="1436"/>
      <c r="AX86" s="1435">
        <v>0</v>
      </c>
      <c r="AY86" s="1435">
        <v>0</v>
      </c>
      <c r="AZ86" s="1435">
        <v>6.34</v>
      </c>
      <c r="BA86" s="1435">
        <v>0</v>
      </c>
      <c r="BB86" s="1435">
        <v>0</v>
      </c>
      <c r="BC86" s="1435">
        <v>0</v>
      </c>
    </row>
    <row r="87" spans="2:55" ht="27.6" x14ac:dyDescent="0.25">
      <c r="B8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7" s="69" t="s">
        <v>1852</v>
      </c>
      <c r="D87" s="69" t="s">
        <v>1853</v>
      </c>
      <c r="E87" s="69" t="s">
        <v>778</v>
      </c>
      <c r="F87" s="1127" t="str">
        <f>VLOOKUP(TBL4_OptApp[[#This Row],[Option type
Defined List]],'Option Typs_Grps'!B$2:C$47, 2, FALSE)</f>
        <v>Customer Options</v>
      </c>
      <c r="G87" s="70" t="s">
        <v>1954</v>
      </c>
      <c r="H87" s="70" t="s">
        <v>1958</v>
      </c>
      <c r="I87" s="70" t="s">
        <v>1676</v>
      </c>
      <c r="J87" s="69" t="s">
        <v>1956</v>
      </c>
      <c r="K87" s="69">
        <v>0</v>
      </c>
      <c r="L87" s="69" t="s">
        <v>1676</v>
      </c>
      <c r="M87" s="69" t="s">
        <v>1676</v>
      </c>
      <c r="N87" s="69" t="s">
        <v>1676</v>
      </c>
      <c r="O87" s="69">
        <v>0</v>
      </c>
      <c r="P87" s="69">
        <v>0</v>
      </c>
      <c r="Q87" s="69">
        <v>0</v>
      </c>
      <c r="R87" s="1436"/>
      <c r="S87" s="69" t="s">
        <v>761</v>
      </c>
      <c r="T87" s="69" t="s">
        <v>761</v>
      </c>
      <c r="U87" s="69">
        <v>2.8170579594782845</v>
      </c>
      <c r="V87" s="69">
        <v>0</v>
      </c>
      <c r="W87" s="69" t="s">
        <v>1956</v>
      </c>
      <c r="X87" s="69">
        <v>0</v>
      </c>
      <c r="Y87" s="69">
        <v>1.9062342368</v>
      </c>
      <c r="Z87" s="69">
        <v>1.9062342368</v>
      </c>
      <c r="AA87" s="69">
        <v>2.8170579594782845</v>
      </c>
      <c r="AB87" s="69">
        <v>4.4747726032544488</v>
      </c>
      <c r="AC87" s="69">
        <v>599.38499999999988</v>
      </c>
      <c r="AD87" s="69">
        <v>10.656316296221272</v>
      </c>
      <c r="AE87" s="69">
        <v>6.530162793918203</v>
      </c>
      <c r="AF87" s="69">
        <v>0.18684657211274897</v>
      </c>
      <c r="AG87" s="69">
        <v>1657.5749059063173</v>
      </c>
      <c r="AH87" s="69">
        <v>17.043618724719238</v>
      </c>
      <c r="AI87" s="1436"/>
      <c r="AJ87" s="1436"/>
      <c r="AK87" s="1436"/>
      <c r="AL87" s="1436"/>
      <c r="AM87" s="1436"/>
      <c r="AN87" s="1436"/>
      <c r="AO87" s="1436"/>
      <c r="AP87" s="1436"/>
      <c r="AQ87" s="1436"/>
      <c r="AR87" s="1436"/>
      <c r="AS87" s="1436"/>
      <c r="AT87" s="1436"/>
      <c r="AU87" s="1436"/>
      <c r="AV87" s="1436"/>
      <c r="AW87" s="1436"/>
      <c r="AX87" s="1435"/>
      <c r="AY87" s="1434"/>
      <c r="AZ87" s="1434"/>
      <c r="BA87" s="1435"/>
      <c r="BB87" s="1434"/>
      <c r="BC87" s="1434"/>
    </row>
    <row r="88" spans="2:55" ht="69" x14ac:dyDescent="0.25">
      <c r="B8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69" t="s">
        <v>1854</v>
      </c>
      <c r="D88" s="69" t="s">
        <v>1855</v>
      </c>
      <c r="E88" s="69" t="s">
        <v>778</v>
      </c>
      <c r="F88" s="1127" t="str">
        <f>VLOOKUP(TBL4_OptApp[[#This Row],[Option type
Defined List]],'Option Typs_Grps'!B$2:C$47, 2, FALSE)</f>
        <v>Customer Options</v>
      </c>
      <c r="G88" s="70" t="s">
        <v>1954</v>
      </c>
      <c r="H88" s="70" t="s">
        <v>1959</v>
      </c>
      <c r="I88" s="70" t="s">
        <v>1957</v>
      </c>
      <c r="J88" s="1436"/>
      <c r="K88" s="1436"/>
      <c r="L88" s="1436"/>
      <c r="M88" s="1436"/>
      <c r="N88" s="1436"/>
      <c r="O88" s="1436"/>
      <c r="P88" s="1436"/>
      <c r="Q88" s="1436"/>
      <c r="R88" s="69" t="s">
        <v>1978</v>
      </c>
      <c r="S88" s="1436" t="s">
        <v>761</v>
      </c>
      <c r="T88" s="1436" t="s">
        <v>761</v>
      </c>
      <c r="U88" s="1436"/>
      <c r="V88" s="1436"/>
      <c r="W88" s="1436"/>
      <c r="X88" s="1436"/>
      <c r="Y88" s="1436"/>
      <c r="Z88" s="1436"/>
      <c r="AA88" s="1436"/>
      <c r="AB88" s="1436"/>
      <c r="AC88" s="1436"/>
      <c r="AD88" s="1436"/>
      <c r="AE88" s="1436"/>
      <c r="AF88" s="1436"/>
      <c r="AG88" s="1436"/>
      <c r="AH88" s="1442"/>
      <c r="AI88" s="1436"/>
      <c r="AJ88" s="1436"/>
      <c r="AK88" s="1436"/>
      <c r="AL88" s="1436"/>
      <c r="AM88" s="1436"/>
      <c r="AN88" s="1436"/>
      <c r="AO88" s="1436"/>
      <c r="AP88" s="1436"/>
      <c r="AQ88" s="1436"/>
      <c r="AR88" s="1436"/>
      <c r="AS88" s="1436"/>
      <c r="AT88" s="1436"/>
      <c r="AU88" s="1436"/>
      <c r="AV88" s="1436"/>
      <c r="AW88" s="1436"/>
      <c r="AX88" s="1435"/>
      <c r="AY88" s="1434"/>
      <c r="AZ88" s="1434"/>
      <c r="BA88" s="1435"/>
      <c r="BB88" s="1434"/>
      <c r="BC88" s="1434"/>
    </row>
    <row r="89" spans="2:55" ht="27.6" x14ac:dyDescent="0.25">
      <c r="B8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9" s="69" t="s">
        <v>1856</v>
      </c>
      <c r="D89" s="69" t="s">
        <v>1857</v>
      </c>
      <c r="E89" s="69" t="s">
        <v>778</v>
      </c>
      <c r="F89" s="1127" t="str">
        <f>VLOOKUP(TBL4_OptApp[[#This Row],[Option type
Defined List]],'Option Typs_Grps'!B$2:C$47, 2, FALSE)</f>
        <v>Customer Options</v>
      </c>
      <c r="G89" s="70" t="s">
        <v>1954</v>
      </c>
      <c r="H89" s="70" t="s">
        <v>1958</v>
      </c>
      <c r="I89" s="70" t="s">
        <v>1676</v>
      </c>
      <c r="J89" s="69" t="s">
        <v>1956</v>
      </c>
      <c r="K89" s="69">
        <v>0</v>
      </c>
      <c r="L89" s="69" t="s">
        <v>1676</v>
      </c>
      <c r="M89" s="69" t="s">
        <v>1676</v>
      </c>
      <c r="N89" s="69" t="s">
        <v>1676</v>
      </c>
      <c r="O89" s="69" t="s">
        <v>1676</v>
      </c>
      <c r="P89" s="69" t="s">
        <v>1676</v>
      </c>
      <c r="Q89" s="69" t="s">
        <v>1676</v>
      </c>
      <c r="R89" s="1436"/>
      <c r="S89" s="69" t="s">
        <v>761</v>
      </c>
      <c r="T89" s="69" t="s">
        <v>761</v>
      </c>
      <c r="U89" s="69">
        <v>0.18446827105091312</v>
      </c>
      <c r="V89" s="69">
        <v>0</v>
      </c>
      <c r="W89" s="69" t="s">
        <v>1956</v>
      </c>
      <c r="X89" s="69">
        <v>0</v>
      </c>
      <c r="Y89" s="69">
        <v>1.0641875000000001</v>
      </c>
      <c r="Z89" s="69">
        <v>1.0641875000000001</v>
      </c>
      <c r="AA89" s="69">
        <v>0.18446827105091312</v>
      </c>
      <c r="AB89" s="69">
        <v>0.18446827105091312</v>
      </c>
      <c r="AC89" s="69">
        <v>0</v>
      </c>
      <c r="AD89" s="69">
        <v>0</v>
      </c>
      <c r="AE89" s="69">
        <v>0</v>
      </c>
      <c r="AF89" s="69">
        <v>0</v>
      </c>
      <c r="AG89" s="69">
        <v>85460.586260062992</v>
      </c>
      <c r="AH89" s="69">
        <v>57.541398054928031</v>
      </c>
      <c r="AI89" s="1436"/>
      <c r="AJ89" s="1436"/>
      <c r="AK89" s="1436"/>
      <c r="AL89" s="1436"/>
      <c r="AM89" s="1436"/>
      <c r="AN89" s="1436"/>
      <c r="AO89" s="1436"/>
      <c r="AP89" s="1436"/>
      <c r="AQ89" s="1436"/>
      <c r="AR89" s="1436"/>
      <c r="AS89" s="1436"/>
      <c r="AT89" s="1436"/>
      <c r="AU89" s="1436"/>
      <c r="AV89" s="1436"/>
      <c r="AW89" s="1436"/>
      <c r="AX89" s="1435">
        <v>0</v>
      </c>
      <c r="AY89" s="1435">
        <v>0</v>
      </c>
      <c r="AZ89" s="1435">
        <v>6.34</v>
      </c>
      <c r="BA89" s="1435">
        <v>0</v>
      </c>
      <c r="BB89" s="1435">
        <v>0</v>
      </c>
      <c r="BC89" s="1435">
        <v>0</v>
      </c>
    </row>
    <row r="90" spans="2:55" ht="41.4" x14ac:dyDescent="0.25">
      <c r="B9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0" s="69" t="s">
        <v>1858</v>
      </c>
      <c r="D90" s="69" t="s">
        <v>1859</v>
      </c>
      <c r="E90" s="69" t="s">
        <v>1292</v>
      </c>
      <c r="F90" s="1127" t="str">
        <f>VLOOKUP(TBL4_OptApp[[#This Row],[Option type
Defined List]],'Option Typs_Grps'!B$2:C$47, 2, FALSE)</f>
        <v>Customer Options</v>
      </c>
      <c r="G90" s="70" t="s">
        <v>1954</v>
      </c>
      <c r="H90" s="70" t="s">
        <v>1958</v>
      </c>
      <c r="I90" s="70" t="s">
        <v>1676</v>
      </c>
      <c r="J90" s="69" t="s">
        <v>1956</v>
      </c>
      <c r="K90" s="69">
        <v>0</v>
      </c>
      <c r="L90" s="69" t="s">
        <v>1676</v>
      </c>
      <c r="M90" s="69" t="s">
        <v>1676</v>
      </c>
      <c r="N90" s="69" t="s">
        <v>1676</v>
      </c>
      <c r="O90" s="69">
        <v>0</v>
      </c>
      <c r="P90" s="69">
        <v>0</v>
      </c>
      <c r="Q90" s="69">
        <v>0</v>
      </c>
      <c r="R90" s="1436"/>
      <c r="S90" s="69" t="s">
        <v>761</v>
      </c>
      <c r="T90" s="69" t="s">
        <v>761</v>
      </c>
      <c r="U90" s="69">
        <v>1.3498501070063569</v>
      </c>
      <c r="V90" s="69">
        <v>0</v>
      </c>
      <c r="W90" s="69" t="s">
        <v>1956</v>
      </c>
      <c r="X90" s="69">
        <v>0</v>
      </c>
      <c r="Y90" s="69">
        <v>5.8588731384000017</v>
      </c>
      <c r="Z90" s="69">
        <v>5.8588731384000017</v>
      </c>
      <c r="AA90" s="69">
        <v>1.3498501070063569</v>
      </c>
      <c r="AB90" s="69">
        <v>2.7532741005610335</v>
      </c>
      <c r="AC90" s="69">
        <v>599.38499999999988</v>
      </c>
      <c r="AD90" s="69">
        <v>0.44850479926127229</v>
      </c>
      <c r="AE90" s="69">
        <v>0.27484256957240166</v>
      </c>
      <c r="AF90" s="69">
        <v>0.14853273573863093</v>
      </c>
      <c r="AG90" s="69">
        <v>4990.4033000687632</v>
      </c>
      <c r="AH90" s="69">
        <v>24.587481964399846</v>
      </c>
      <c r="AI90" s="1436"/>
      <c r="AJ90" s="1436"/>
      <c r="AK90" s="1436"/>
      <c r="AL90" s="1436"/>
      <c r="AM90" s="1436"/>
      <c r="AN90" s="1436"/>
      <c r="AO90" s="1436"/>
      <c r="AP90" s="1436"/>
      <c r="AQ90" s="1436"/>
      <c r="AR90" s="1436"/>
      <c r="AS90" s="1436"/>
      <c r="AT90" s="1436"/>
      <c r="AU90" s="1436"/>
      <c r="AV90" s="1436"/>
      <c r="AW90" s="1436"/>
      <c r="AX90" s="1435"/>
      <c r="AY90" s="1434"/>
      <c r="AZ90" s="1434"/>
      <c r="BA90" s="1435"/>
      <c r="BB90" s="1434"/>
      <c r="BC90" s="1434"/>
    </row>
    <row r="91" spans="2:55" ht="41.4" x14ac:dyDescent="0.25">
      <c r="B9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1" s="69" t="s">
        <v>1860</v>
      </c>
      <c r="D91" s="69" t="s">
        <v>1861</v>
      </c>
      <c r="E91" s="69" t="s">
        <v>778</v>
      </c>
      <c r="F91" s="1127" t="str">
        <f>VLOOKUP(TBL4_OptApp[[#This Row],[Option type
Defined List]],'Option Typs_Grps'!B$2:C$47, 2, FALSE)</f>
        <v>Customer Options</v>
      </c>
      <c r="G91" s="70" t="s">
        <v>1954</v>
      </c>
      <c r="H91" s="70" t="s">
        <v>1958</v>
      </c>
      <c r="I91" s="70" t="s">
        <v>1676</v>
      </c>
      <c r="J91" s="69" t="s">
        <v>1956</v>
      </c>
      <c r="K91" s="69">
        <v>0</v>
      </c>
      <c r="L91" s="69" t="s">
        <v>1676</v>
      </c>
      <c r="M91" s="69" t="s">
        <v>1676</v>
      </c>
      <c r="N91" s="69" t="s">
        <v>1676</v>
      </c>
      <c r="O91" s="69">
        <v>0</v>
      </c>
      <c r="P91" s="69">
        <v>0</v>
      </c>
      <c r="Q91" s="69">
        <v>0</v>
      </c>
      <c r="R91" s="1436"/>
      <c r="S91" s="69" t="s">
        <v>761</v>
      </c>
      <c r="T91" s="69" t="s">
        <v>761</v>
      </c>
      <c r="U91" s="69">
        <v>1.269930892493512</v>
      </c>
      <c r="V91" s="69">
        <v>0</v>
      </c>
      <c r="W91" s="69" t="s">
        <v>1956</v>
      </c>
      <c r="X91" s="69">
        <v>0</v>
      </c>
      <c r="Y91" s="69">
        <v>4.0252577484000005</v>
      </c>
      <c r="Z91" s="69">
        <v>4.0252577484000005</v>
      </c>
      <c r="AA91" s="69">
        <v>1.269930892493512</v>
      </c>
      <c r="AB91" s="69">
        <v>2.5614409389625359</v>
      </c>
      <c r="AC91" s="69">
        <v>599.38499999999988</v>
      </c>
      <c r="AD91" s="69">
        <v>10.64911242971823</v>
      </c>
      <c r="AE91" s="69">
        <v>6.5257482833403619</v>
      </c>
      <c r="AF91" s="69">
        <v>0.18681953323545966</v>
      </c>
      <c r="AG91" s="69">
        <v>3720.6878108270503</v>
      </c>
      <c r="AH91" s="69">
        <v>17.246309831870644</v>
      </c>
      <c r="AI91" s="1436"/>
      <c r="AJ91" s="1436"/>
      <c r="AK91" s="1436"/>
      <c r="AL91" s="1436"/>
      <c r="AM91" s="1436"/>
      <c r="AN91" s="1436"/>
      <c r="AO91" s="1436"/>
      <c r="AP91" s="1436"/>
      <c r="AQ91" s="1436"/>
      <c r="AR91" s="1436"/>
      <c r="AS91" s="1436"/>
      <c r="AT91" s="1436"/>
      <c r="AU91" s="1436"/>
      <c r="AV91" s="1436"/>
      <c r="AW91" s="1436"/>
      <c r="AX91" s="1435"/>
      <c r="AY91" s="1434"/>
      <c r="AZ91" s="1434"/>
      <c r="BA91" s="1435"/>
      <c r="BB91" s="1434"/>
      <c r="BC91" s="1434"/>
    </row>
    <row r="92" spans="2:55" ht="41.4" x14ac:dyDescent="0.25">
      <c r="B9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2" s="69" t="s">
        <v>1862</v>
      </c>
      <c r="D92" s="69" t="s">
        <v>1863</v>
      </c>
      <c r="E92" s="69" t="s">
        <v>778</v>
      </c>
      <c r="F92" s="1127" t="str">
        <f>VLOOKUP(TBL4_OptApp[[#This Row],[Option type
Defined List]],'Option Typs_Grps'!B$2:C$47, 2, FALSE)</f>
        <v>Customer Options</v>
      </c>
      <c r="G92" s="70" t="s">
        <v>1954</v>
      </c>
      <c r="H92" s="70" t="s">
        <v>1958</v>
      </c>
      <c r="I92" s="70" t="s">
        <v>1676</v>
      </c>
      <c r="J92" s="69" t="s">
        <v>1956</v>
      </c>
      <c r="K92" s="69">
        <v>0</v>
      </c>
      <c r="L92" s="69" t="s">
        <v>1676</v>
      </c>
      <c r="M92" s="69" t="s">
        <v>1676</v>
      </c>
      <c r="N92" s="69" t="s">
        <v>1676</v>
      </c>
      <c r="O92" s="69">
        <v>0</v>
      </c>
      <c r="P92" s="69">
        <v>0</v>
      </c>
      <c r="Q92" s="69">
        <v>0</v>
      </c>
      <c r="R92" s="1436"/>
      <c r="S92" s="69" t="s">
        <v>761</v>
      </c>
      <c r="T92" s="69" t="s">
        <v>761</v>
      </c>
      <c r="U92" s="69">
        <v>0.12042883033803807</v>
      </c>
      <c r="V92" s="69">
        <v>0</v>
      </c>
      <c r="W92" s="69" t="s">
        <v>1956</v>
      </c>
      <c r="X92" s="69">
        <v>0</v>
      </c>
      <c r="Y92" s="69">
        <v>0.20908313760000002</v>
      </c>
      <c r="Z92" s="69">
        <v>0.20908313760000002</v>
      </c>
      <c r="AA92" s="69">
        <v>0.12042883033803807</v>
      </c>
      <c r="AB92" s="69">
        <v>0.24563733247829228</v>
      </c>
      <c r="AC92" s="69">
        <v>21.389999999999986</v>
      </c>
      <c r="AD92" s="69">
        <v>1.7223331512504676E-2</v>
      </c>
      <c r="AE92" s="69">
        <v>1.0554412566578859E-2</v>
      </c>
      <c r="AF92" s="69">
        <v>5.3051957769702958E-3</v>
      </c>
      <c r="AG92" s="69">
        <v>4738.3977215705163</v>
      </c>
      <c r="AH92" s="69">
        <v>2.0828348877908405</v>
      </c>
      <c r="AI92" s="1436"/>
      <c r="AJ92" s="1436"/>
      <c r="AK92" s="1436"/>
      <c r="AL92" s="1436"/>
      <c r="AM92" s="1436"/>
      <c r="AN92" s="1436"/>
      <c r="AO92" s="1436"/>
      <c r="AP92" s="1436"/>
      <c r="AQ92" s="1436"/>
      <c r="AR92" s="1436"/>
      <c r="AS92" s="1436"/>
      <c r="AT92" s="1436"/>
      <c r="AU92" s="1436"/>
      <c r="AV92" s="1436"/>
      <c r="AW92" s="1436"/>
      <c r="AX92" s="1435"/>
      <c r="AY92" s="1434"/>
      <c r="AZ92" s="1434"/>
      <c r="BA92" s="1435"/>
      <c r="BB92" s="1434"/>
      <c r="BC92" s="1434"/>
    </row>
    <row r="93" spans="2:55" ht="41.4" x14ac:dyDescent="0.25">
      <c r="B9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3" s="69" t="s">
        <v>1864</v>
      </c>
      <c r="D93" s="69" t="s">
        <v>1863</v>
      </c>
      <c r="E93" s="69" t="s">
        <v>778</v>
      </c>
      <c r="F93" s="1127" t="str">
        <f>VLOOKUP(TBL4_OptApp[[#This Row],[Option type
Defined List]],'Option Typs_Grps'!B$2:C$47, 2, FALSE)</f>
        <v>Customer Options</v>
      </c>
      <c r="G93" s="70" t="s">
        <v>1954</v>
      </c>
      <c r="H93" s="70" t="s">
        <v>1958</v>
      </c>
      <c r="I93" s="70" t="s">
        <v>1676</v>
      </c>
      <c r="J93" s="69" t="s">
        <v>1956</v>
      </c>
      <c r="K93" s="69">
        <v>0</v>
      </c>
      <c r="L93" s="69" t="s">
        <v>1676</v>
      </c>
      <c r="M93" s="69" t="s">
        <v>1676</v>
      </c>
      <c r="N93" s="69" t="s">
        <v>1676</v>
      </c>
      <c r="O93" s="69">
        <v>0</v>
      </c>
      <c r="P93" s="69">
        <v>0</v>
      </c>
      <c r="Q93" s="69">
        <v>0</v>
      </c>
      <c r="R93" s="1436"/>
      <c r="S93" s="69" t="s">
        <v>761</v>
      </c>
      <c r="T93" s="69" t="s">
        <v>761</v>
      </c>
      <c r="U93" s="69">
        <v>4.5319488793406949E-2</v>
      </c>
      <c r="V93" s="69">
        <v>0</v>
      </c>
      <c r="W93" s="69" t="s">
        <v>1956</v>
      </c>
      <c r="X93" s="69">
        <v>0</v>
      </c>
      <c r="Y93" s="69">
        <v>0.14364767760000002</v>
      </c>
      <c r="Z93" s="69">
        <v>0.14364767760000002</v>
      </c>
      <c r="AA93" s="69">
        <v>4.5319488793406949E-2</v>
      </c>
      <c r="AB93" s="69">
        <v>9.1409063764372953E-2</v>
      </c>
      <c r="AC93" s="69">
        <v>156.64292745332588</v>
      </c>
      <c r="AD93" s="69">
        <v>11.08037774712329</v>
      </c>
      <c r="AE93" s="69">
        <v>7.1213170981330283</v>
      </c>
      <c r="AF93" s="69">
        <v>8.1995584452129636E-2</v>
      </c>
      <c r="AG93" s="69">
        <v>11007.714455228628</v>
      </c>
      <c r="AH93" s="69">
        <v>1.820853570415865</v>
      </c>
      <c r="AI93" s="1436"/>
      <c r="AJ93" s="1436"/>
      <c r="AK93" s="1436"/>
      <c r="AL93" s="1436"/>
      <c r="AM93" s="1436"/>
      <c r="AN93" s="1436"/>
      <c r="AO93" s="1436"/>
      <c r="AP93" s="1436"/>
      <c r="AQ93" s="1436"/>
      <c r="AR93" s="1436"/>
      <c r="AS93" s="1436"/>
      <c r="AT93" s="1436"/>
      <c r="AU93" s="1436"/>
      <c r="AV93" s="1436"/>
      <c r="AW93" s="1436"/>
      <c r="AX93" s="1435"/>
      <c r="AY93" s="1434"/>
      <c r="AZ93" s="1434"/>
      <c r="BA93" s="1435"/>
      <c r="BB93" s="1434"/>
      <c r="BC93" s="1434"/>
    </row>
    <row r="94" spans="2:55" ht="82.8" x14ac:dyDescent="0.25">
      <c r="B9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69" t="s">
        <v>1865</v>
      </c>
      <c r="D94" s="69" t="s">
        <v>1866</v>
      </c>
      <c r="E94" s="69" t="s">
        <v>1297</v>
      </c>
      <c r="F94" s="1127" t="str">
        <f>VLOOKUP(TBL4_OptApp[[#This Row],[Option type
Defined List]],'Option Typs_Grps'!B$2:C$47, 2, FALSE)</f>
        <v>Customer Options</v>
      </c>
      <c r="G94" s="70" t="s">
        <v>1954</v>
      </c>
      <c r="H94" s="70" t="s">
        <v>1959</v>
      </c>
      <c r="I94" s="70" t="s">
        <v>1676</v>
      </c>
      <c r="J94" s="1436"/>
      <c r="K94" s="1436"/>
      <c r="L94" s="1436"/>
      <c r="M94" s="1436"/>
      <c r="N94" s="1436"/>
      <c r="O94" s="1436"/>
      <c r="P94" s="1436"/>
      <c r="Q94" s="1436"/>
      <c r="R94" s="69" t="s">
        <v>1979</v>
      </c>
      <c r="S94" s="1436" t="s">
        <v>761</v>
      </c>
      <c r="T94" s="1436" t="s">
        <v>761</v>
      </c>
      <c r="U94" s="1436"/>
      <c r="V94" s="1436"/>
      <c r="W94" s="1436"/>
      <c r="X94" s="1436"/>
      <c r="Y94" s="1436"/>
      <c r="Z94" s="1436"/>
      <c r="AA94" s="1436"/>
      <c r="AB94" s="1436"/>
      <c r="AC94" s="1436"/>
      <c r="AD94" s="1436"/>
      <c r="AE94" s="1436"/>
      <c r="AF94" s="1436"/>
      <c r="AG94" s="1436"/>
      <c r="AH94" s="1442"/>
      <c r="AI94" s="1436"/>
      <c r="AJ94" s="1436"/>
      <c r="AK94" s="1436"/>
      <c r="AL94" s="1436"/>
      <c r="AM94" s="1436"/>
      <c r="AN94" s="1436"/>
      <c r="AO94" s="1436"/>
      <c r="AP94" s="1436"/>
      <c r="AQ94" s="1436"/>
      <c r="AR94" s="1436"/>
      <c r="AS94" s="1436"/>
      <c r="AT94" s="1436"/>
      <c r="AU94" s="1436"/>
      <c r="AV94" s="1436"/>
      <c r="AW94" s="1436"/>
      <c r="AX94" s="1435"/>
      <c r="AY94" s="1434"/>
      <c r="AZ94" s="1434"/>
      <c r="BA94" s="1435"/>
      <c r="BB94" s="1434"/>
      <c r="BC94" s="1434"/>
    </row>
    <row r="95" spans="2:55" ht="55.2" x14ac:dyDescent="0.25">
      <c r="B9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5" s="69" t="s">
        <v>1867</v>
      </c>
      <c r="D95" s="69" t="s">
        <v>1868</v>
      </c>
      <c r="E95" s="69" t="s">
        <v>1311</v>
      </c>
      <c r="F95" s="1127" t="str">
        <f>VLOOKUP(TBL4_OptApp[[#This Row],[Option type
Defined List]],'Option Typs_Grps'!B$2:C$47, 2, FALSE)</f>
        <v>Customer Options</v>
      </c>
      <c r="G95" s="70" t="s">
        <v>1954</v>
      </c>
      <c r="H95" s="70" t="s">
        <v>1958</v>
      </c>
      <c r="I95" s="70" t="s">
        <v>1676</v>
      </c>
      <c r="J95" s="69" t="s">
        <v>1956</v>
      </c>
      <c r="K95" s="69">
        <v>0</v>
      </c>
      <c r="L95" s="69" t="s">
        <v>1676</v>
      </c>
      <c r="M95" s="69" t="s">
        <v>1676</v>
      </c>
      <c r="N95" s="69" t="s">
        <v>1676</v>
      </c>
      <c r="O95" s="69" t="s">
        <v>1676</v>
      </c>
      <c r="P95" s="69" t="s">
        <v>1676</v>
      </c>
      <c r="Q95" s="69" t="s">
        <v>1676</v>
      </c>
      <c r="R95" s="1436"/>
      <c r="S95" s="69" t="s">
        <v>761</v>
      </c>
      <c r="T95" s="69" t="s">
        <v>761</v>
      </c>
      <c r="U95" s="69">
        <v>1.5101376023253281E-2</v>
      </c>
      <c r="V95" s="69">
        <v>0</v>
      </c>
      <c r="W95" s="69" t="s">
        <v>1956</v>
      </c>
      <c r="X95" s="69">
        <v>0</v>
      </c>
      <c r="Y95" s="69">
        <v>1.5773169925000004E-2</v>
      </c>
      <c r="Z95" s="69">
        <v>1.5773169925000004E-2</v>
      </c>
      <c r="AA95" s="69">
        <v>1.5101376023253281E-2</v>
      </c>
      <c r="AB95" s="69">
        <v>1.5101376023253281E-2</v>
      </c>
      <c r="AC95" s="69">
        <v>14.455300000000005</v>
      </c>
      <c r="AD95" s="69">
        <v>0</v>
      </c>
      <c r="AE95" s="69">
        <v>0</v>
      </c>
      <c r="AF95" s="69">
        <v>3.5415485000000009E-3</v>
      </c>
      <c r="AG95" s="69">
        <v>15572.962230661236</v>
      </c>
      <c r="AH95" s="69">
        <v>0.85838202831014832</v>
      </c>
      <c r="AI95" s="1436"/>
      <c r="AJ95" s="1436"/>
      <c r="AK95" s="1436"/>
      <c r="AL95" s="1436"/>
      <c r="AM95" s="1436"/>
      <c r="AN95" s="1436"/>
      <c r="AO95" s="1436"/>
      <c r="AP95" s="1436"/>
      <c r="AQ95" s="1436"/>
      <c r="AR95" s="1436"/>
      <c r="AS95" s="1436"/>
      <c r="AT95" s="1436"/>
      <c r="AU95" s="1436"/>
      <c r="AV95" s="1436"/>
      <c r="AW95" s="1436"/>
      <c r="AX95" s="1435">
        <v>0</v>
      </c>
      <c r="AY95" s="1435">
        <v>-1.5</v>
      </c>
      <c r="AZ95" s="1435">
        <v>9.51</v>
      </c>
      <c r="BA95" s="1435">
        <v>0</v>
      </c>
      <c r="BB95" s="1435">
        <v>0</v>
      </c>
      <c r="BC95" s="1435">
        <v>0</v>
      </c>
    </row>
    <row r="96" spans="2:55" ht="41.4" x14ac:dyDescent="0.25">
      <c r="B9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6" s="69" t="s">
        <v>1869</v>
      </c>
      <c r="D96" s="69" t="s">
        <v>1870</v>
      </c>
      <c r="E96" s="69" t="s">
        <v>1311</v>
      </c>
      <c r="F96" s="1127" t="str">
        <f>VLOOKUP(TBL4_OptApp[[#This Row],[Option type
Defined List]],'Option Typs_Grps'!B$2:C$47, 2, FALSE)</f>
        <v>Customer Options</v>
      </c>
      <c r="G96" s="70" t="s">
        <v>1954</v>
      </c>
      <c r="H96" s="70" t="s">
        <v>1955</v>
      </c>
      <c r="I96" s="70" t="s">
        <v>1676</v>
      </c>
      <c r="J96" s="69" t="s">
        <v>1956</v>
      </c>
      <c r="K96" s="69">
        <v>0</v>
      </c>
      <c r="L96" s="69" t="s">
        <v>1957</v>
      </c>
      <c r="M96" s="69" t="s">
        <v>1957</v>
      </c>
      <c r="N96" s="69" t="s">
        <v>1957</v>
      </c>
      <c r="O96" s="69" t="s">
        <v>1676</v>
      </c>
      <c r="P96" s="69" t="s">
        <v>1676</v>
      </c>
      <c r="Q96" s="69" t="s">
        <v>1676</v>
      </c>
      <c r="R96" s="1436"/>
      <c r="S96" s="69" t="s">
        <v>761</v>
      </c>
      <c r="T96" s="69" t="s">
        <v>761</v>
      </c>
      <c r="U96" s="69">
        <v>0.17748014092424247</v>
      </c>
      <c r="V96" s="69">
        <v>0</v>
      </c>
      <c r="W96" s="69">
        <v>2025</v>
      </c>
      <c r="X96" s="69">
        <v>0</v>
      </c>
      <c r="Y96" s="69">
        <v>6.9783254999999987E-4</v>
      </c>
      <c r="Z96" s="69">
        <v>6.9783254999999987E-4</v>
      </c>
      <c r="AA96" s="69">
        <v>0.17748014092424247</v>
      </c>
      <c r="AB96" s="69">
        <v>0.17748014092424247</v>
      </c>
      <c r="AC96" s="69">
        <v>68.079800000000006</v>
      </c>
      <c r="AD96" s="69">
        <v>0</v>
      </c>
      <c r="AE96" s="69">
        <v>0</v>
      </c>
      <c r="AF96" s="69">
        <v>1.6679550999999994E-2</v>
      </c>
      <c r="AG96" s="69">
        <v>38.151660750009448</v>
      </c>
      <c r="AH96" s="69">
        <v>2.4714741761380315E-2</v>
      </c>
      <c r="AI96" s="1436"/>
      <c r="AJ96" s="1436"/>
      <c r="AK96" s="1436"/>
      <c r="AL96" s="1436"/>
      <c r="AM96" s="1436"/>
      <c r="AN96" s="1436"/>
      <c r="AO96" s="1436"/>
      <c r="AP96" s="1436"/>
      <c r="AQ96" s="1436"/>
      <c r="AR96" s="1436"/>
      <c r="AS96" s="1436"/>
      <c r="AT96" s="1436"/>
      <c r="AU96" s="1436"/>
      <c r="AV96" s="1436"/>
      <c r="AW96" s="1436"/>
      <c r="AX96" s="1435">
        <v>0</v>
      </c>
      <c r="AY96" s="1435">
        <v>0</v>
      </c>
      <c r="AZ96" s="1435">
        <v>9.51</v>
      </c>
      <c r="BA96" s="1435">
        <v>0</v>
      </c>
      <c r="BB96" s="1435">
        <v>0</v>
      </c>
      <c r="BC96" s="1435">
        <v>0</v>
      </c>
    </row>
    <row r="97" spans="2:55" ht="27.6" x14ac:dyDescent="0.25">
      <c r="B9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7" s="69" t="s">
        <v>1871</v>
      </c>
      <c r="D97" s="69" t="s">
        <v>1872</v>
      </c>
      <c r="E97" s="69" t="s">
        <v>1311</v>
      </c>
      <c r="F97" s="1127" t="str">
        <f>VLOOKUP(TBL4_OptApp[[#This Row],[Option type
Defined List]],'Option Typs_Grps'!B$2:C$47, 2, FALSE)</f>
        <v>Customer Options</v>
      </c>
      <c r="G97" s="70" t="s">
        <v>1954</v>
      </c>
      <c r="H97" s="70" t="s">
        <v>1958</v>
      </c>
      <c r="I97" s="70" t="s">
        <v>1676</v>
      </c>
      <c r="J97" s="69" t="s">
        <v>1956</v>
      </c>
      <c r="K97" s="69">
        <v>0</v>
      </c>
      <c r="L97" s="69" t="s">
        <v>1676</v>
      </c>
      <c r="M97" s="69" t="s">
        <v>1676</v>
      </c>
      <c r="N97" s="69" t="s">
        <v>1676</v>
      </c>
      <c r="O97" s="69" t="s">
        <v>1676</v>
      </c>
      <c r="P97" s="69" t="s">
        <v>1676</v>
      </c>
      <c r="Q97" s="69" t="s">
        <v>1676</v>
      </c>
      <c r="R97" s="1436"/>
      <c r="S97" s="69" t="s">
        <v>761</v>
      </c>
      <c r="T97" s="69" t="s">
        <v>761</v>
      </c>
      <c r="U97" s="69">
        <v>0.32945932779711457</v>
      </c>
      <c r="V97" s="69">
        <v>0</v>
      </c>
      <c r="W97" s="69" t="s">
        <v>1956</v>
      </c>
      <c r="X97" s="69">
        <v>0</v>
      </c>
      <c r="Y97" s="69">
        <v>6.4764596250000009E-3</v>
      </c>
      <c r="Z97" s="69">
        <v>6.4764596250000009E-3</v>
      </c>
      <c r="AA97" s="69">
        <v>0.32945932779711457</v>
      </c>
      <c r="AB97" s="69">
        <v>0.32945932779711457</v>
      </c>
      <c r="AC97" s="69">
        <v>126.3673</v>
      </c>
      <c r="AD97" s="69">
        <v>0</v>
      </c>
      <c r="AE97" s="69">
        <v>0</v>
      </c>
      <c r="AF97" s="69">
        <v>3.0959988499999976E-2</v>
      </c>
      <c r="AG97" s="69">
        <v>190.55299027694852</v>
      </c>
      <c r="AH97" s="69">
        <v>0.22914502931526354</v>
      </c>
      <c r="AI97" s="1436"/>
      <c r="AJ97" s="1436"/>
      <c r="AK97" s="1436"/>
      <c r="AL97" s="1436"/>
      <c r="AM97" s="1436"/>
      <c r="AN97" s="1436"/>
      <c r="AO97" s="1436"/>
      <c r="AP97" s="1436"/>
      <c r="AQ97" s="1436"/>
      <c r="AR97" s="1436"/>
      <c r="AS97" s="1436"/>
      <c r="AT97" s="1436"/>
      <c r="AU97" s="1436"/>
      <c r="AV97" s="1436"/>
      <c r="AW97" s="1436"/>
      <c r="AX97" s="1435">
        <v>0</v>
      </c>
      <c r="AY97" s="1435">
        <v>0</v>
      </c>
      <c r="AZ97" s="1435">
        <v>9.51</v>
      </c>
      <c r="BA97" s="1435">
        <v>0</v>
      </c>
      <c r="BB97" s="1435">
        <v>0</v>
      </c>
      <c r="BC97" s="1435">
        <v>0</v>
      </c>
    </row>
    <row r="98" spans="2:55" ht="55.2" x14ac:dyDescent="0.25">
      <c r="B9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98" s="69" t="s">
        <v>1873</v>
      </c>
      <c r="D98" s="69" t="s">
        <v>1874</v>
      </c>
      <c r="E98" s="69" t="s">
        <v>766</v>
      </c>
      <c r="F98" s="1127" t="str">
        <f>VLOOKUP(TBL4_OptApp[[#This Row],[Option type
Defined List]],'Option Typs_Grps'!B$2:C$47, 2, FALSE)</f>
        <v>Resource Options</v>
      </c>
      <c r="G98" s="70" t="s">
        <v>1954</v>
      </c>
      <c r="H98" s="70" t="s">
        <v>1959</v>
      </c>
      <c r="I98" s="70" t="s">
        <v>1676</v>
      </c>
      <c r="J98" s="1436"/>
      <c r="K98" s="1436"/>
      <c r="L98" s="1436"/>
      <c r="M98" s="1436"/>
      <c r="N98" s="1436"/>
      <c r="O98" s="1436"/>
      <c r="P98" s="1436"/>
      <c r="Q98" s="1436"/>
      <c r="R98" s="69" t="s">
        <v>1980</v>
      </c>
      <c r="S98" s="1436" t="s">
        <v>761</v>
      </c>
      <c r="T98" s="1436" t="s">
        <v>761</v>
      </c>
      <c r="U98" s="1436"/>
      <c r="V98" s="1436"/>
      <c r="W98" s="1436"/>
      <c r="X98" s="1436"/>
      <c r="Y98" s="1436"/>
      <c r="Z98" s="1436"/>
      <c r="AA98" s="1436"/>
      <c r="AB98" s="1436"/>
      <c r="AC98" s="1436"/>
      <c r="AD98" s="1436"/>
      <c r="AE98" s="1436"/>
      <c r="AF98" s="1436"/>
      <c r="AG98" s="1436"/>
      <c r="AH98" s="1442"/>
      <c r="AI98" s="1436"/>
      <c r="AJ98" s="1436"/>
      <c r="AK98" s="1436"/>
      <c r="AL98" s="1436"/>
      <c r="AM98" s="1436"/>
      <c r="AN98" s="1436"/>
      <c r="AO98" s="1436"/>
      <c r="AP98" s="1436"/>
      <c r="AQ98" s="1436"/>
      <c r="AR98" s="1436"/>
      <c r="AS98" s="1436"/>
      <c r="AT98" s="1436"/>
      <c r="AU98" s="1436"/>
      <c r="AV98" s="1436"/>
      <c r="AW98" s="1436"/>
      <c r="AX98" s="1435"/>
      <c r="AY98" s="1434"/>
      <c r="AZ98" s="1434"/>
      <c r="BA98" s="1435"/>
      <c r="BB98" s="1434"/>
      <c r="BC98" s="1434"/>
    </row>
    <row r="99" spans="2:55" ht="69" x14ac:dyDescent="0.25">
      <c r="B9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69" t="s">
        <v>1875</v>
      </c>
      <c r="D99" s="69" t="s">
        <v>1876</v>
      </c>
      <c r="E99" s="69" t="s">
        <v>778</v>
      </c>
      <c r="F99" s="1127" t="str">
        <f>VLOOKUP(TBL4_OptApp[[#This Row],[Option type
Defined List]],'Option Typs_Grps'!B$2:C$47, 2, FALSE)</f>
        <v>Customer Options</v>
      </c>
      <c r="G99" s="70" t="s">
        <v>1954</v>
      </c>
      <c r="H99" s="70" t="s">
        <v>1959</v>
      </c>
      <c r="I99" s="70" t="s">
        <v>1676</v>
      </c>
      <c r="J99" s="1436"/>
      <c r="K99" s="1436"/>
      <c r="L99" s="1436"/>
      <c r="M99" s="1436"/>
      <c r="N99" s="1436"/>
      <c r="O99" s="1436"/>
      <c r="P99" s="1436"/>
      <c r="Q99" s="1436"/>
      <c r="R99" s="69" t="s">
        <v>1981</v>
      </c>
      <c r="S99" s="1436" t="s">
        <v>761</v>
      </c>
      <c r="T99" s="1436" t="s">
        <v>761</v>
      </c>
      <c r="U99" s="1436"/>
      <c r="V99" s="1436"/>
      <c r="W99" s="1436"/>
      <c r="X99" s="1436"/>
      <c r="Y99" s="1436"/>
      <c r="Z99" s="1436"/>
      <c r="AA99" s="1436"/>
      <c r="AB99" s="1436"/>
      <c r="AC99" s="1436"/>
      <c r="AD99" s="1436"/>
      <c r="AE99" s="1436"/>
      <c r="AF99" s="1436"/>
      <c r="AG99" s="1436"/>
      <c r="AH99" s="1442"/>
      <c r="AI99" s="1436"/>
      <c r="AJ99" s="1436"/>
      <c r="AK99" s="1436"/>
      <c r="AL99" s="1436"/>
      <c r="AM99" s="1436"/>
      <c r="AN99" s="1436"/>
      <c r="AO99" s="1436"/>
      <c r="AP99" s="1436"/>
      <c r="AQ99" s="1436"/>
      <c r="AR99" s="1436"/>
      <c r="AS99" s="1436"/>
      <c r="AT99" s="1436"/>
      <c r="AU99" s="1436"/>
      <c r="AV99" s="1436"/>
      <c r="AW99" s="1436"/>
      <c r="AX99" s="1435"/>
      <c r="AY99" s="1434"/>
      <c r="AZ99" s="1434"/>
      <c r="BA99" s="1435"/>
      <c r="BB99" s="1434"/>
      <c r="BC99" s="1434"/>
    </row>
    <row r="100" spans="2:55" ht="124.2" x14ac:dyDescent="0.25">
      <c r="B10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69" t="s">
        <v>1877</v>
      </c>
      <c r="D100" s="69" t="s">
        <v>1878</v>
      </c>
      <c r="E100" s="69" t="s">
        <v>777</v>
      </c>
      <c r="F100" s="1127" t="str">
        <f>VLOOKUP(TBL4_OptApp[[#This Row],[Option type
Defined List]],'Option Typs_Grps'!B$2:C$47, 2, FALSE)</f>
        <v>Customer Options</v>
      </c>
      <c r="G100" s="70" t="s">
        <v>1954</v>
      </c>
      <c r="H100" s="70" t="s">
        <v>1959</v>
      </c>
      <c r="I100" s="70" t="s">
        <v>1676</v>
      </c>
      <c r="J100" s="1436"/>
      <c r="K100" s="1436"/>
      <c r="L100" s="1436"/>
      <c r="M100" s="1436"/>
      <c r="N100" s="1436"/>
      <c r="O100" s="1436"/>
      <c r="P100" s="1436"/>
      <c r="Q100" s="1436"/>
      <c r="R100" s="69" t="s">
        <v>1982</v>
      </c>
      <c r="S100" s="1436" t="s">
        <v>761</v>
      </c>
      <c r="T100" s="1436" t="s">
        <v>761</v>
      </c>
      <c r="U100" s="1436"/>
      <c r="V100" s="1436"/>
      <c r="W100" s="1436"/>
      <c r="X100" s="1436"/>
      <c r="Y100" s="1436"/>
      <c r="Z100" s="1436"/>
      <c r="AA100" s="1436"/>
      <c r="AB100" s="1436"/>
      <c r="AC100" s="1436"/>
      <c r="AD100" s="1436"/>
      <c r="AE100" s="1436"/>
      <c r="AF100" s="1436"/>
      <c r="AG100" s="1436"/>
      <c r="AH100" s="1442"/>
      <c r="AI100" s="1436"/>
      <c r="AJ100" s="1436"/>
      <c r="AK100" s="1436"/>
      <c r="AL100" s="1436"/>
      <c r="AM100" s="1436"/>
      <c r="AN100" s="1436"/>
      <c r="AO100" s="1436"/>
      <c r="AP100" s="1436"/>
      <c r="AQ100" s="1436"/>
      <c r="AR100" s="1436"/>
      <c r="AS100" s="1436"/>
      <c r="AT100" s="1436"/>
      <c r="AU100" s="1436"/>
      <c r="AV100" s="1436"/>
      <c r="AW100" s="1436"/>
      <c r="AX100" s="1435"/>
      <c r="AY100" s="1434"/>
      <c r="AZ100" s="1434"/>
      <c r="BA100" s="1435"/>
      <c r="BB100" s="1434"/>
      <c r="BC100" s="1434"/>
    </row>
    <row r="101" spans="2:55" ht="82.8" x14ac:dyDescent="0.25">
      <c r="B10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69" t="s">
        <v>1879</v>
      </c>
      <c r="D101" s="69" t="s">
        <v>1880</v>
      </c>
      <c r="E101" s="69" t="s">
        <v>777</v>
      </c>
      <c r="F101" s="1127" t="str">
        <f>VLOOKUP(TBL4_OptApp[[#This Row],[Option type
Defined List]],'Option Typs_Grps'!B$2:C$47, 2, FALSE)</f>
        <v>Customer Options</v>
      </c>
      <c r="G101" s="70" t="s">
        <v>1954</v>
      </c>
      <c r="H101" s="70" t="s">
        <v>1959</v>
      </c>
      <c r="I101" s="70" t="s">
        <v>1676</v>
      </c>
      <c r="J101" s="1436"/>
      <c r="K101" s="1436"/>
      <c r="L101" s="1436"/>
      <c r="M101" s="1436"/>
      <c r="N101" s="1436"/>
      <c r="O101" s="1436"/>
      <c r="P101" s="1436"/>
      <c r="Q101" s="1436"/>
      <c r="R101" s="69" t="s">
        <v>1983</v>
      </c>
      <c r="S101" s="1436" t="s">
        <v>761</v>
      </c>
      <c r="T101" s="1436" t="s">
        <v>761</v>
      </c>
      <c r="U101" s="1436"/>
      <c r="V101" s="1436"/>
      <c r="W101" s="1436"/>
      <c r="X101" s="1436"/>
      <c r="Y101" s="1436"/>
      <c r="Z101" s="1436"/>
      <c r="AA101" s="1436"/>
      <c r="AB101" s="1436"/>
      <c r="AC101" s="1436"/>
      <c r="AD101" s="1436"/>
      <c r="AE101" s="1436"/>
      <c r="AF101" s="1436"/>
      <c r="AG101" s="1436"/>
      <c r="AH101" s="1442"/>
      <c r="AI101" s="1436"/>
      <c r="AJ101" s="1436"/>
      <c r="AK101" s="1436"/>
      <c r="AL101" s="1436"/>
      <c r="AM101" s="1436"/>
      <c r="AN101" s="1436"/>
      <c r="AO101" s="1436"/>
      <c r="AP101" s="1436"/>
      <c r="AQ101" s="1436"/>
      <c r="AR101" s="1436"/>
      <c r="AS101" s="1436"/>
      <c r="AT101" s="1436"/>
      <c r="AU101" s="1436"/>
      <c r="AV101" s="1436"/>
      <c r="AW101" s="1436"/>
      <c r="AX101" s="1435"/>
      <c r="AY101" s="1434"/>
      <c r="AZ101" s="1434"/>
      <c r="BA101" s="1435"/>
      <c r="BB101" s="1434"/>
      <c r="BC101" s="1434"/>
    </row>
    <row r="102" spans="2:55" ht="27.6" x14ac:dyDescent="0.25">
      <c r="B10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2" s="69" t="s">
        <v>1881</v>
      </c>
      <c r="D102" s="69" t="s">
        <v>1882</v>
      </c>
      <c r="E102" s="69" t="s">
        <v>777</v>
      </c>
      <c r="F102" s="1127" t="str">
        <f>VLOOKUP(TBL4_OptApp[[#This Row],[Option type
Defined List]],'Option Typs_Grps'!B$2:C$47, 2, FALSE)</f>
        <v>Customer Options</v>
      </c>
      <c r="G102" s="70" t="s">
        <v>1954</v>
      </c>
      <c r="H102" s="70" t="s">
        <v>1955</v>
      </c>
      <c r="I102" s="70" t="s">
        <v>1676</v>
      </c>
      <c r="J102" s="69" t="s">
        <v>1956</v>
      </c>
      <c r="K102" s="69">
        <v>0</v>
      </c>
      <c r="L102" s="69" t="s">
        <v>1957</v>
      </c>
      <c r="M102" s="69" t="s">
        <v>1957</v>
      </c>
      <c r="N102" s="69" t="s">
        <v>1957</v>
      </c>
      <c r="O102" s="69" t="s">
        <v>1676</v>
      </c>
      <c r="P102" s="69" t="s">
        <v>1676</v>
      </c>
      <c r="Q102" s="69" t="s">
        <v>1676</v>
      </c>
      <c r="R102" s="1436"/>
      <c r="S102" s="69" t="s">
        <v>761</v>
      </c>
      <c r="T102" s="69" t="s">
        <v>761</v>
      </c>
      <c r="U102" s="69">
        <v>6.1489423683637703E-2</v>
      </c>
      <c r="V102" s="69">
        <v>0</v>
      </c>
      <c r="W102" s="69">
        <v>2030</v>
      </c>
      <c r="X102" s="69">
        <v>0</v>
      </c>
      <c r="Y102" s="69">
        <v>2.2797499999999998E-2</v>
      </c>
      <c r="Z102" s="69">
        <v>2.2797499999999998E-2</v>
      </c>
      <c r="AA102" s="69">
        <v>6.1489423683637703E-2</v>
      </c>
      <c r="AB102" s="69">
        <v>6.1489423683637703E-2</v>
      </c>
      <c r="AC102" s="69">
        <v>0</v>
      </c>
      <c r="AD102" s="69">
        <v>0</v>
      </c>
      <c r="AE102" s="69">
        <v>0</v>
      </c>
      <c r="AF102" s="69">
        <v>0</v>
      </c>
      <c r="AG102" s="69">
        <v>5495.8017386018819</v>
      </c>
      <c r="AH102" s="69">
        <v>1.2334579377894979</v>
      </c>
      <c r="AI102" s="1436"/>
      <c r="AJ102" s="1436"/>
      <c r="AK102" s="1436"/>
      <c r="AL102" s="1436"/>
      <c r="AM102" s="1436"/>
      <c r="AN102" s="1436"/>
      <c r="AO102" s="1436"/>
      <c r="AP102" s="1436"/>
      <c r="AQ102" s="1436"/>
      <c r="AR102" s="1436"/>
      <c r="AS102" s="1436"/>
      <c r="AT102" s="1436"/>
      <c r="AU102" s="1436"/>
      <c r="AV102" s="1436"/>
      <c r="AW102" s="1436"/>
      <c r="AX102" s="1435">
        <v>0</v>
      </c>
      <c r="AY102" s="1435">
        <v>0</v>
      </c>
      <c r="AZ102" s="1435">
        <v>6.34</v>
      </c>
      <c r="BA102" s="1435">
        <v>0</v>
      </c>
      <c r="BB102" s="1435">
        <v>0</v>
      </c>
      <c r="BC102" s="1435">
        <v>0</v>
      </c>
    </row>
    <row r="103" spans="2:55" ht="69" x14ac:dyDescent="0.25">
      <c r="B10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69" t="s">
        <v>1883</v>
      </c>
      <c r="D103" s="69" t="s">
        <v>1884</v>
      </c>
      <c r="E103" s="69" t="s">
        <v>777</v>
      </c>
      <c r="F103" s="1127" t="str">
        <f>VLOOKUP(TBL4_OptApp[[#This Row],[Option type
Defined List]],'Option Typs_Grps'!B$2:C$47, 2, FALSE)</f>
        <v>Customer Options</v>
      </c>
      <c r="G103" s="70" t="s">
        <v>1954</v>
      </c>
      <c r="H103" s="70" t="s">
        <v>1959</v>
      </c>
      <c r="I103" s="70" t="s">
        <v>1676</v>
      </c>
      <c r="J103" s="1436"/>
      <c r="K103" s="1436"/>
      <c r="L103" s="1436"/>
      <c r="M103" s="1436"/>
      <c r="N103" s="1436"/>
      <c r="O103" s="1436"/>
      <c r="P103" s="1436"/>
      <c r="Q103" s="1436"/>
      <c r="R103" s="69" t="s">
        <v>1984</v>
      </c>
      <c r="S103" s="1436" t="s">
        <v>761</v>
      </c>
      <c r="T103" s="1436" t="s">
        <v>761</v>
      </c>
      <c r="U103" s="1436"/>
      <c r="V103" s="1436"/>
      <c r="W103" s="1436"/>
      <c r="X103" s="1436"/>
      <c r="Y103" s="1436"/>
      <c r="Z103" s="1436"/>
      <c r="AA103" s="1436"/>
      <c r="AB103" s="1436"/>
      <c r="AC103" s="1436"/>
      <c r="AD103" s="1436"/>
      <c r="AE103" s="1436"/>
      <c r="AF103" s="1436"/>
      <c r="AG103" s="1436"/>
      <c r="AH103" s="1442"/>
      <c r="AI103" s="1436"/>
      <c r="AJ103" s="1436"/>
      <c r="AK103" s="1436"/>
      <c r="AL103" s="1436"/>
      <c r="AM103" s="1436"/>
      <c r="AN103" s="1436"/>
      <c r="AO103" s="1436"/>
      <c r="AP103" s="1436"/>
      <c r="AQ103" s="1436"/>
      <c r="AR103" s="1436"/>
      <c r="AS103" s="1436"/>
      <c r="AT103" s="1436"/>
      <c r="AU103" s="1436"/>
      <c r="AV103" s="1436"/>
      <c r="AW103" s="1436"/>
      <c r="AX103" s="1435"/>
      <c r="AY103" s="1434"/>
      <c r="AZ103" s="1434"/>
      <c r="BA103" s="1435"/>
      <c r="BB103" s="1434"/>
      <c r="BC103" s="1434"/>
    </row>
    <row r="104" spans="2:55" ht="41.4" x14ac:dyDescent="0.25">
      <c r="B10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51bF</v>
      </c>
      <c r="C104" s="69" t="s">
        <v>1885</v>
      </c>
      <c r="D104" s="69" t="s">
        <v>1886</v>
      </c>
      <c r="E104" s="69" t="s">
        <v>1240</v>
      </c>
      <c r="F104" s="1127" t="str">
        <f>VLOOKUP(TBL4_OptApp[[#This Row],[Option type
Defined List]],'Option Typs_Grps'!B$2:C$47, 2, FALSE)</f>
        <v>Production Options</v>
      </c>
      <c r="G104" s="70" t="s">
        <v>1954</v>
      </c>
      <c r="H104" s="70" t="s">
        <v>1958</v>
      </c>
      <c r="I104" s="70" t="s">
        <v>1676</v>
      </c>
      <c r="J104" s="69" t="s">
        <v>1956</v>
      </c>
      <c r="K104" s="69">
        <v>0</v>
      </c>
      <c r="L104" s="69" t="s">
        <v>1676</v>
      </c>
      <c r="M104" s="69" t="s">
        <v>1676</v>
      </c>
      <c r="N104" s="69" t="s">
        <v>1676</v>
      </c>
      <c r="O104" s="69" t="s">
        <v>1676</v>
      </c>
      <c r="P104" s="69" t="s">
        <v>1676</v>
      </c>
      <c r="Q104" s="69" t="s">
        <v>1676</v>
      </c>
      <c r="R104" s="1436"/>
      <c r="S104" s="69" t="s">
        <v>761</v>
      </c>
      <c r="T104" s="69" t="s">
        <v>761</v>
      </c>
      <c r="U104" s="69">
        <v>0.7</v>
      </c>
      <c r="V104" s="69">
        <v>2</v>
      </c>
      <c r="W104" s="69" t="s">
        <v>1956</v>
      </c>
      <c r="X104" s="69">
        <v>0.88734247070329475</v>
      </c>
      <c r="Y104" s="69">
        <v>9.0908455940309954E-2</v>
      </c>
      <c r="Z104" s="69">
        <v>9.0908455940309954E-2</v>
      </c>
      <c r="AA104" s="69">
        <v>0.7</v>
      </c>
      <c r="AB104" s="69">
        <v>0.7</v>
      </c>
      <c r="AC104" s="69">
        <v>180.50424999999998</v>
      </c>
      <c r="AD104" s="69">
        <v>1398.8315041155199</v>
      </c>
      <c r="AE104" s="69">
        <v>1398.8315041155199</v>
      </c>
      <c r="AF104" s="69">
        <v>4.1270638637884476</v>
      </c>
      <c r="AG104" s="69">
        <v>5.956000568770361</v>
      </c>
      <c r="AH104" s="69">
        <v>3.0526338831534225</v>
      </c>
      <c r="AI104" s="1436"/>
      <c r="AJ104" s="1436"/>
      <c r="AK104" s="1436"/>
      <c r="AL104" s="1436"/>
      <c r="AM104" s="1436"/>
      <c r="AN104" s="1436"/>
      <c r="AO104" s="1436"/>
      <c r="AP104" s="1436"/>
      <c r="AQ104" s="1436"/>
      <c r="AR104" s="1436"/>
      <c r="AS104" s="1436"/>
      <c r="AT104" s="1436"/>
      <c r="AU104" s="1436"/>
      <c r="AV104" s="1436"/>
      <c r="AW104" s="1436"/>
      <c r="AX104" s="1435">
        <v>7.9749999999999996</v>
      </c>
      <c r="AY104" s="1435">
        <v>-21</v>
      </c>
      <c r="AZ104" s="1435">
        <v>3.17</v>
      </c>
      <c r="BA104" s="1435">
        <v>-13.98</v>
      </c>
      <c r="BB104" s="1435">
        <v>2.17</v>
      </c>
      <c r="BC104" s="1435">
        <v>-2.91</v>
      </c>
    </row>
    <row r="105" spans="2:55" ht="41.4" x14ac:dyDescent="0.25">
      <c r="B10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51bF</v>
      </c>
      <c r="C105" s="69" t="s">
        <v>1887</v>
      </c>
      <c r="D105" s="69" t="s">
        <v>1888</v>
      </c>
      <c r="E105" s="69" t="s">
        <v>1240</v>
      </c>
      <c r="F105" s="1127" t="str">
        <f>VLOOKUP(TBL4_OptApp[[#This Row],[Option type
Defined List]],'Option Typs_Grps'!B$2:C$47, 2, FALSE)</f>
        <v>Production Options</v>
      </c>
      <c r="G105" s="70" t="s">
        <v>1954</v>
      </c>
      <c r="H105" s="70" t="s">
        <v>1958</v>
      </c>
      <c r="I105" s="70" t="s">
        <v>1676</v>
      </c>
      <c r="J105" s="69" t="s">
        <v>1956</v>
      </c>
      <c r="K105" s="69">
        <v>0</v>
      </c>
      <c r="L105" s="69" t="s">
        <v>1676</v>
      </c>
      <c r="M105" s="69" t="s">
        <v>1676</v>
      </c>
      <c r="N105" s="69" t="s">
        <v>1676</v>
      </c>
      <c r="O105" s="69" t="s">
        <v>1676</v>
      </c>
      <c r="P105" s="69" t="s">
        <v>1676</v>
      </c>
      <c r="Q105" s="69" t="s">
        <v>1676</v>
      </c>
      <c r="R105" s="1436"/>
      <c r="S105" s="69" t="s">
        <v>761</v>
      </c>
      <c r="T105" s="69" t="s">
        <v>761</v>
      </c>
      <c r="U105" s="69">
        <v>1.59</v>
      </c>
      <c r="V105" s="69">
        <v>2</v>
      </c>
      <c r="W105" s="69" t="s">
        <v>1956</v>
      </c>
      <c r="X105" s="69">
        <v>1.4807155748206242</v>
      </c>
      <c r="Y105" s="69">
        <v>0.18860558956710133</v>
      </c>
      <c r="Z105" s="69">
        <v>0.18860558956710133</v>
      </c>
      <c r="AA105" s="69">
        <v>1.59</v>
      </c>
      <c r="AB105" s="69">
        <v>1.59</v>
      </c>
      <c r="AC105" s="69">
        <v>345.16950000000003</v>
      </c>
      <c r="AD105" s="69">
        <v>833.12433734031993</v>
      </c>
      <c r="AE105" s="69">
        <v>833.12433734031993</v>
      </c>
      <c r="AF105" s="69">
        <v>2.6037365051933627</v>
      </c>
      <c r="AG105" s="69">
        <v>2.6221386151819197</v>
      </c>
      <c r="AH105" s="69">
        <v>6.0323177458190846</v>
      </c>
      <c r="AI105" s="1436"/>
      <c r="AJ105" s="1436"/>
      <c r="AK105" s="1436"/>
      <c r="AL105" s="1436"/>
      <c r="AM105" s="1436"/>
      <c r="AN105" s="1436"/>
      <c r="AO105" s="1436"/>
      <c r="AP105" s="1436"/>
      <c r="AQ105" s="1436"/>
      <c r="AR105" s="1436"/>
      <c r="AS105" s="1436"/>
      <c r="AT105" s="1436"/>
      <c r="AU105" s="1436"/>
      <c r="AV105" s="1436"/>
      <c r="AW105" s="1436"/>
      <c r="AX105" s="1435">
        <v>5.9812500000000002</v>
      </c>
      <c r="AY105" s="1435">
        <v>-19.5</v>
      </c>
      <c r="AZ105" s="1435">
        <v>3.17</v>
      </c>
      <c r="BA105" s="1435">
        <v>-13.98</v>
      </c>
      <c r="BB105" s="1435">
        <v>4.34</v>
      </c>
      <c r="BC105" s="1435">
        <v>0</v>
      </c>
    </row>
    <row r="106" spans="2:55" ht="41.4" x14ac:dyDescent="0.25">
      <c r="B10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6" s="69" t="s">
        <v>1889</v>
      </c>
      <c r="D106" s="69" t="s">
        <v>1890</v>
      </c>
      <c r="E106" s="69" t="s">
        <v>762</v>
      </c>
      <c r="F106" s="1127" t="str">
        <f>VLOOKUP(TBL4_OptApp[[#This Row],[Option type
Defined List]],'Option Typs_Grps'!B$2:C$47, 2, FALSE)</f>
        <v>Resource Options</v>
      </c>
      <c r="G106" s="70" t="s">
        <v>1954</v>
      </c>
      <c r="H106" s="70" t="s">
        <v>1958</v>
      </c>
      <c r="I106" s="70" t="s">
        <v>1676</v>
      </c>
      <c r="J106" s="69" t="s">
        <v>1956</v>
      </c>
      <c r="K106" s="69">
        <v>0</v>
      </c>
      <c r="L106" s="69" t="s">
        <v>1676</v>
      </c>
      <c r="M106" s="69" t="s">
        <v>1676</v>
      </c>
      <c r="N106" s="69" t="s">
        <v>1676</v>
      </c>
      <c r="O106" s="69" t="s">
        <v>1676</v>
      </c>
      <c r="P106" s="69" t="s">
        <v>1676</v>
      </c>
      <c r="Q106" s="69" t="s">
        <v>1676</v>
      </c>
      <c r="R106" s="1436"/>
      <c r="S106" s="69" t="s">
        <v>761</v>
      </c>
      <c r="T106" s="69" t="s">
        <v>761</v>
      </c>
      <c r="U106" s="69">
        <v>0.7</v>
      </c>
      <c r="V106" s="69">
        <v>5</v>
      </c>
      <c r="W106" s="69" t="s">
        <v>1956</v>
      </c>
      <c r="X106" s="69">
        <v>1.2985097337467142</v>
      </c>
      <c r="Y106" s="69">
        <v>2.3999999999999998E-3</v>
      </c>
      <c r="Z106" s="69">
        <v>2.3999999999999998E-3</v>
      </c>
      <c r="AA106" s="69">
        <v>0.7</v>
      </c>
      <c r="AB106" s="69">
        <v>0.7</v>
      </c>
      <c r="AC106" s="69">
        <v>19381.487639999999</v>
      </c>
      <c r="AD106" s="69">
        <v>0</v>
      </c>
      <c r="AE106" s="69">
        <v>0</v>
      </c>
      <c r="AF106" s="69">
        <v>5.0391867864000002</v>
      </c>
      <c r="AG106" s="69">
        <v>22.577295177330399</v>
      </c>
      <c r="AH106" s="69">
        <v>1.0350187556649273</v>
      </c>
      <c r="AI106" s="1436"/>
      <c r="AJ106" s="1436"/>
      <c r="AK106" s="1436"/>
      <c r="AL106" s="1436"/>
      <c r="AM106" s="1436"/>
      <c r="AN106" s="1436"/>
      <c r="AO106" s="1436"/>
      <c r="AP106" s="1436"/>
      <c r="AQ106" s="1436"/>
      <c r="AR106" s="1436"/>
      <c r="AS106" s="1436"/>
      <c r="AT106" s="1436"/>
      <c r="AU106" s="1436"/>
      <c r="AV106" s="1436"/>
      <c r="AW106" s="1436"/>
      <c r="AX106" s="1435">
        <v>11.9625</v>
      </c>
      <c r="AY106" s="1435">
        <v>-9</v>
      </c>
      <c r="AZ106" s="1435">
        <v>15.85</v>
      </c>
      <c r="BA106" s="1435">
        <v>-4.66</v>
      </c>
      <c r="BB106" s="1435">
        <v>6.51</v>
      </c>
      <c r="BC106" s="1435">
        <v>0</v>
      </c>
    </row>
    <row r="107" spans="2:55" ht="55.2" x14ac:dyDescent="0.25">
      <c r="B10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51bF</v>
      </c>
      <c r="C107" s="69" t="s">
        <v>1891</v>
      </c>
      <c r="D107" s="69" t="s">
        <v>1892</v>
      </c>
      <c r="E107" s="69" t="s">
        <v>1893</v>
      </c>
      <c r="F107" s="1127" t="str">
        <f>VLOOKUP(TBL4_OptApp[[#This Row],[Option type
Defined List]],'Option Typs_Grps'!B$2:C$47, 2, FALSE)</f>
        <v>Production Options</v>
      </c>
      <c r="G107" s="70" t="s">
        <v>1954</v>
      </c>
      <c r="H107" s="70" t="s">
        <v>1958</v>
      </c>
      <c r="I107" s="70" t="s">
        <v>1676</v>
      </c>
      <c r="J107" s="69" t="s">
        <v>1956</v>
      </c>
      <c r="K107" s="69">
        <v>0</v>
      </c>
      <c r="L107" s="69" t="s">
        <v>1676</v>
      </c>
      <c r="M107" s="69" t="s">
        <v>1676</v>
      </c>
      <c r="N107" s="69" t="s">
        <v>1676</v>
      </c>
      <c r="O107" s="69" t="s">
        <v>1676</v>
      </c>
      <c r="P107" s="69" t="s">
        <v>1676</v>
      </c>
      <c r="Q107" s="69" t="s">
        <v>1676</v>
      </c>
      <c r="R107" s="1436"/>
      <c r="S107" s="69" t="s">
        <v>761</v>
      </c>
      <c r="T107" s="69" t="s">
        <v>761</v>
      </c>
      <c r="U107" s="69">
        <v>7</v>
      </c>
      <c r="V107" s="69">
        <v>3</v>
      </c>
      <c r="W107" s="69" t="s">
        <v>1956</v>
      </c>
      <c r="X107" s="69">
        <v>1.0000035594562369</v>
      </c>
      <c r="Y107" s="69">
        <v>6.2374907255997578E-2</v>
      </c>
      <c r="Z107" s="69">
        <v>6.2374907255997578E-2</v>
      </c>
      <c r="AA107" s="69">
        <v>7</v>
      </c>
      <c r="AB107" s="69">
        <v>7</v>
      </c>
      <c r="AC107" s="69">
        <v>93.5</v>
      </c>
      <c r="AD107" s="69">
        <v>33.033171600000003</v>
      </c>
      <c r="AE107" s="69">
        <v>33.033171600000003</v>
      </c>
      <c r="AF107" s="69">
        <v>0.23095687666837136</v>
      </c>
      <c r="AG107" s="69">
        <v>6.1528261068147259E-2</v>
      </c>
      <c r="AH107" s="69">
        <v>2.3913974861854128</v>
      </c>
      <c r="AI107" s="1436"/>
      <c r="AJ107" s="1436"/>
      <c r="AK107" s="1436"/>
      <c r="AL107" s="1436"/>
      <c r="AM107" s="1436"/>
      <c r="AN107" s="1436"/>
      <c r="AO107" s="1436"/>
      <c r="AP107" s="1436"/>
      <c r="AQ107" s="1436"/>
      <c r="AR107" s="1436"/>
      <c r="AS107" s="1436"/>
      <c r="AT107" s="1436"/>
      <c r="AU107" s="1436"/>
      <c r="AV107" s="1436"/>
      <c r="AW107" s="1436"/>
      <c r="AX107" s="1435">
        <v>7.9749999999999996</v>
      </c>
      <c r="AY107" s="1435">
        <v>-12</v>
      </c>
      <c r="AZ107" s="1435">
        <v>3.17</v>
      </c>
      <c r="BA107" s="1435">
        <v>-16.309999999999999</v>
      </c>
      <c r="BB107" s="1435">
        <v>8.68</v>
      </c>
      <c r="BC107" s="1435">
        <v>0</v>
      </c>
    </row>
    <row r="108" spans="2:55" ht="69" x14ac:dyDescent="0.25">
      <c r="B10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108" s="69" t="s">
        <v>1894</v>
      </c>
      <c r="D108" s="69" t="s">
        <v>1895</v>
      </c>
      <c r="E108" s="69" t="s">
        <v>1893</v>
      </c>
      <c r="F108" s="1127" t="str">
        <f>VLOOKUP(TBL4_OptApp[[#This Row],[Option type
Defined List]],'Option Typs_Grps'!B$2:C$47, 2, FALSE)</f>
        <v>Production Options</v>
      </c>
      <c r="G108" s="70" t="s">
        <v>1954</v>
      </c>
      <c r="H108" s="70" t="s">
        <v>1959</v>
      </c>
      <c r="I108" s="70" t="s">
        <v>1676</v>
      </c>
      <c r="J108" s="1436"/>
      <c r="K108" s="1436"/>
      <c r="L108" s="1436"/>
      <c r="M108" s="1436"/>
      <c r="N108" s="1436"/>
      <c r="O108" s="1436"/>
      <c r="P108" s="1436"/>
      <c r="Q108" s="1436"/>
      <c r="R108" s="69" t="s">
        <v>1985</v>
      </c>
      <c r="S108" s="1436" t="s">
        <v>761</v>
      </c>
      <c r="T108" s="1436" t="s">
        <v>761</v>
      </c>
      <c r="U108" s="1436"/>
      <c r="V108" s="1436"/>
      <c r="W108" s="1436"/>
      <c r="X108" s="1436"/>
      <c r="Y108" s="1436"/>
      <c r="Z108" s="1436"/>
      <c r="AA108" s="1436"/>
      <c r="AB108" s="1436"/>
      <c r="AC108" s="1436"/>
      <c r="AD108" s="1436"/>
      <c r="AE108" s="1436"/>
      <c r="AF108" s="1436"/>
      <c r="AG108" s="1436"/>
      <c r="AH108" s="1442"/>
      <c r="AI108" s="1436"/>
      <c r="AJ108" s="1436"/>
      <c r="AK108" s="1436"/>
      <c r="AL108" s="1436"/>
      <c r="AM108" s="1436"/>
      <c r="AN108" s="1436"/>
      <c r="AO108" s="1436"/>
      <c r="AP108" s="1436"/>
      <c r="AQ108" s="1436"/>
      <c r="AR108" s="1436"/>
      <c r="AS108" s="1436"/>
      <c r="AT108" s="1436"/>
      <c r="AU108" s="1436"/>
      <c r="AV108" s="1436"/>
      <c r="AW108" s="1436"/>
      <c r="AX108" s="1435"/>
      <c r="AY108" s="1434"/>
      <c r="AZ108" s="1434"/>
      <c r="BA108" s="1435"/>
      <c r="BB108" s="1434"/>
      <c r="BC108" s="1434"/>
    </row>
    <row r="109" spans="2:55" ht="82.8" x14ac:dyDescent="0.25">
      <c r="B10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9" s="69" t="s">
        <v>1896</v>
      </c>
      <c r="D109" s="69" t="s">
        <v>1897</v>
      </c>
      <c r="E109" s="69" t="s">
        <v>767</v>
      </c>
      <c r="F109" s="1127" t="str">
        <f>VLOOKUP(TBL4_OptApp[[#This Row],[Option type
Defined List]],'Option Typs_Grps'!B$2:C$47, 2, FALSE)</f>
        <v>Resource Options</v>
      </c>
      <c r="G109" s="70" t="s">
        <v>1954</v>
      </c>
      <c r="H109" s="70" t="s">
        <v>1959</v>
      </c>
      <c r="I109" s="70" t="s">
        <v>1676</v>
      </c>
      <c r="J109" s="1436"/>
      <c r="K109" s="1436"/>
      <c r="L109" s="1436"/>
      <c r="M109" s="1436"/>
      <c r="N109" s="1436"/>
      <c r="O109" s="1436"/>
      <c r="P109" s="1436"/>
      <c r="Q109" s="1436"/>
      <c r="R109" s="69" t="s">
        <v>1986</v>
      </c>
      <c r="S109" s="1436" t="s">
        <v>761</v>
      </c>
      <c r="T109" s="1436" t="s">
        <v>761</v>
      </c>
      <c r="U109" s="1436"/>
      <c r="V109" s="1436"/>
      <c r="W109" s="1436"/>
      <c r="X109" s="1436"/>
      <c r="Y109" s="1436"/>
      <c r="Z109" s="1436"/>
      <c r="AA109" s="1436"/>
      <c r="AB109" s="1436"/>
      <c r="AC109" s="1436"/>
      <c r="AD109" s="1436"/>
      <c r="AE109" s="1436"/>
      <c r="AF109" s="1436"/>
      <c r="AG109" s="1436"/>
      <c r="AH109" s="1442"/>
      <c r="AI109" s="1436"/>
      <c r="AJ109" s="1436"/>
      <c r="AK109" s="1436"/>
      <c r="AL109" s="1436"/>
      <c r="AM109" s="1436"/>
      <c r="AN109" s="1436"/>
      <c r="AO109" s="1436"/>
      <c r="AP109" s="1436"/>
      <c r="AQ109" s="1436"/>
      <c r="AR109" s="1436"/>
      <c r="AS109" s="1436"/>
      <c r="AT109" s="1436"/>
      <c r="AU109" s="1436"/>
      <c r="AV109" s="1436"/>
      <c r="AW109" s="1436"/>
      <c r="AX109" s="1435"/>
      <c r="AY109" s="1434"/>
      <c r="AZ109" s="1434"/>
      <c r="BA109" s="1435"/>
      <c r="BB109" s="1434"/>
      <c r="BC109" s="1434"/>
    </row>
    <row r="110" spans="2:55" ht="55.2" x14ac:dyDescent="0.25">
      <c r="B11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0" s="69" t="s">
        <v>1898</v>
      </c>
      <c r="D110" s="69" t="s">
        <v>1899</v>
      </c>
      <c r="E110" s="69" t="s">
        <v>768</v>
      </c>
      <c r="F110" s="1127" t="str">
        <f>VLOOKUP(TBL4_OptApp[[#This Row],[Option type
Defined List]],'Option Typs_Grps'!B$2:C$47, 2, FALSE)</f>
        <v>Resource Options</v>
      </c>
      <c r="G110" s="70" t="s">
        <v>1954</v>
      </c>
      <c r="H110" s="70" t="s">
        <v>1959</v>
      </c>
      <c r="I110" s="70" t="s">
        <v>1676</v>
      </c>
      <c r="J110" s="1436"/>
      <c r="K110" s="1436"/>
      <c r="L110" s="1436"/>
      <c r="M110" s="1436"/>
      <c r="N110" s="1436"/>
      <c r="O110" s="1436"/>
      <c r="P110" s="1436"/>
      <c r="Q110" s="1436"/>
      <c r="R110" s="69" t="s">
        <v>1987</v>
      </c>
      <c r="S110" s="1436" t="s">
        <v>761</v>
      </c>
      <c r="T110" s="1436" t="s">
        <v>761</v>
      </c>
      <c r="U110" s="1436"/>
      <c r="V110" s="1436"/>
      <c r="W110" s="1436"/>
      <c r="X110" s="1436"/>
      <c r="Y110" s="1436"/>
      <c r="Z110" s="1436"/>
      <c r="AA110" s="1436"/>
      <c r="AB110" s="1436"/>
      <c r="AC110" s="1436"/>
      <c r="AD110" s="1436"/>
      <c r="AE110" s="1436"/>
      <c r="AF110" s="1436"/>
      <c r="AG110" s="1436"/>
      <c r="AH110" s="1442"/>
      <c r="AI110" s="1436"/>
      <c r="AJ110" s="1436"/>
      <c r="AK110" s="1436"/>
      <c r="AL110" s="1436"/>
      <c r="AM110" s="1436"/>
      <c r="AN110" s="1436"/>
      <c r="AO110" s="1436"/>
      <c r="AP110" s="1436"/>
      <c r="AQ110" s="1436"/>
      <c r="AR110" s="1436"/>
      <c r="AS110" s="1436"/>
      <c r="AT110" s="1436"/>
      <c r="AU110" s="1436"/>
      <c r="AV110" s="1436"/>
      <c r="AW110" s="1436"/>
      <c r="AX110" s="1435"/>
      <c r="AY110" s="1434"/>
      <c r="AZ110" s="1434"/>
      <c r="BA110" s="1435"/>
      <c r="BB110" s="1434"/>
      <c r="BC110" s="1434"/>
    </row>
    <row r="111" spans="2:55" ht="138" x14ac:dyDescent="0.25">
      <c r="B11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1" s="69" t="s">
        <v>1900</v>
      </c>
      <c r="D111" s="69" t="s">
        <v>1901</v>
      </c>
      <c r="E111" s="69" t="s">
        <v>763</v>
      </c>
      <c r="F111" s="1127" t="str">
        <f>VLOOKUP(TBL4_OptApp[[#This Row],[Option type
Defined List]],'Option Typs_Grps'!B$2:C$47, 2, FALSE)</f>
        <v>Resource Options</v>
      </c>
      <c r="G111" s="70" t="s">
        <v>1954</v>
      </c>
      <c r="H111" s="70" t="s">
        <v>1959</v>
      </c>
      <c r="I111" s="70" t="s">
        <v>1676</v>
      </c>
      <c r="J111" s="1436"/>
      <c r="K111" s="1436"/>
      <c r="L111" s="1436"/>
      <c r="M111" s="1436"/>
      <c r="N111" s="1436"/>
      <c r="O111" s="1436"/>
      <c r="P111" s="1436"/>
      <c r="Q111" s="1436"/>
      <c r="R111" s="69" t="s">
        <v>1988</v>
      </c>
      <c r="S111" s="1436" t="s">
        <v>761</v>
      </c>
      <c r="T111" s="1436" t="s">
        <v>761</v>
      </c>
      <c r="U111" s="1436"/>
      <c r="V111" s="1436"/>
      <c r="W111" s="1436"/>
      <c r="X111" s="1436"/>
      <c r="Y111" s="1436"/>
      <c r="Z111" s="1436"/>
      <c r="AA111" s="1436"/>
      <c r="AB111" s="1436"/>
      <c r="AC111" s="1436"/>
      <c r="AD111" s="1436"/>
      <c r="AE111" s="1436"/>
      <c r="AF111" s="1436"/>
      <c r="AG111" s="1436"/>
      <c r="AH111" s="1442"/>
      <c r="AI111" s="1436"/>
      <c r="AJ111" s="1436"/>
      <c r="AK111" s="1436"/>
      <c r="AL111" s="1436"/>
      <c r="AM111" s="1436"/>
      <c r="AN111" s="1436"/>
      <c r="AO111" s="1436"/>
      <c r="AP111" s="1436"/>
      <c r="AQ111" s="1436"/>
      <c r="AR111" s="1436"/>
      <c r="AS111" s="1436"/>
      <c r="AT111" s="1436"/>
      <c r="AU111" s="1436"/>
      <c r="AV111" s="1436"/>
      <c r="AW111" s="1436"/>
      <c r="AX111" s="1435"/>
      <c r="AY111" s="1434"/>
      <c r="AZ111" s="1434"/>
      <c r="BA111" s="1435"/>
      <c r="BB111" s="1434"/>
      <c r="BC111" s="1434"/>
    </row>
    <row r="112" spans="2:55" ht="220.8" x14ac:dyDescent="0.25">
      <c r="B11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2" s="69" t="s">
        <v>1902</v>
      </c>
      <c r="D112" s="69" t="s">
        <v>1903</v>
      </c>
      <c r="E112" s="69" t="s">
        <v>763</v>
      </c>
      <c r="F112" s="1127" t="str">
        <f>VLOOKUP(TBL4_OptApp[[#This Row],[Option type
Defined List]],'Option Typs_Grps'!B$2:C$47, 2, FALSE)</f>
        <v>Resource Options</v>
      </c>
      <c r="G112" s="70" t="s">
        <v>1954</v>
      </c>
      <c r="H112" s="70" t="s">
        <v>1959</v>
      </c>
      <c r="I112" s="70" t="s">
        <v>1676</v>
      </c>
      <c r="J112" s="1436"/>
      <c r="K112" s="1436"/>
      <c r="L112" s="1436"/>
      <c r="M112" s="1436"/>
      <c r="N112" s="1436"/>
      <c r="O112" s="1436"/>
      <c r="P112" s="1436"/>
      <c r="Q112" s="1436"/>
      <c r="R112" s="69" t="s">
        <v>1989</v>
      </c>
      <c r="S112" s="1436" t="s">
        <v>761</v>
      </c>
      <c r="T112" s="1436" t="s">
        <v>761</v>
      </c>
      <c r="U112" s="1436"/>
      <c r="V112" s="1436"/>
      <c r="W112" s="1436"/>
      <c r="X112" s="1436"/>
      <c r="Y112" s="1436"/>
      <c r="Z112" s="1436"/>
      <c r="AA112" s="1436"/>
      <c r="AB112" s="1436"/>
      <c r="AC112" s="1436"/>
      <c r="AD112" s="1436"/>
      <c r="AE112" s="1436"/>
      <c r="AF112" s="1436"/>
      <c r="AG112" s="1436"/>
      <c r="AH112" s="1442"/>
      <c r="AI112" s="1436"/>
      <c r="AJ112" s="1436"/>
      <c r="AK112" s="1436"/>
      <c r="AL112" s="1436"/>
      <c r="AM112" s="1436"/>
      <c r="AN112" s="1436"/>
      <c r="AO112" s="1436"/>
      <c r="AP112" s="1436"/>
      <c r="AQ112" s="1436"/>
      <c r="AR112" s="1436"/>
      <c r="AS112" s="1436"/>
      <c r="AT112" s="1436"/>
      <c r="AU112" s="1436"/>
      <c r="AV112" s="1436"/>
      <c r="AW112" s="1436"/>
      <c r="AX112" s="1435"/>
      <c r="AY112" s="1434"/>
      <c r="AZ112" s="1434"/>
      <c r="BA112" s="1435"/>
      <c r="BB112" s="1434"/>
      <c r="BC112" s="1434"/>
    </row>
    <row r="113" spans="2:95" ht="151.80000000000001" x14ac:dyDescent="0.25">
      <c r="B11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3" s="69" t="s">
        <v>1904</v>
      </c>
      <c r="D113" s="69" t="s">
        <v>1905</v>
      </c>
      <c r="E113" s="69" t="s">
        <v>1202</v>
      </c>
      <c r="F113" s="1127" t="str">
        <f>VLOOKUP(TBL4_OptApp[[#This Row],[Option type
Defined List]],'Option Typs_Grps'!B$2:C$47, 2, FALSE)</f>
        <v>Resource Options</v>
      </c>
      <c r="G113" s="70" t="s">
        <v>1954</v>
      </c>
      <c r="H113" s="70" t="s">
        <v>1959</v>
      </c>
      <c r="I113" s="70" t="s">
        <v>1676</v>
      </c>
      <c r="J113" s="1436"/>
      <c r="K113" s="1436"/>
      <c r="L113" s="1436"/>
      <c r="M113" s="1436"/>
      <c r="N113" s="1436"/>
      <c r="O113" s="1436"/>
      <c r="P113" s="1436"/>
      <c r="Q113" s="1436"/>
      <c r="R113" s="69" t="s">
        <v>2065</v>
      </c>
      <c r="S113" s="1436" t="s">
        <v>761</v>
      </c>
      <c r="T113" s="1436" t="s">
        <v>761</v>
      </c>
      <c r="U113" s="1436"/>
      <c r="V113" s="1436"/>
      <c r="W113" s="1436"/>
      <c r="X113" s="1436"/>
      <c r="Y113" s="1436"/>
      <c r="Z113" s="1436"/>
      <c r="AA113" s="1436"/>
      <c r="AB113" s="1436"/>
      <c r="AC113" s="1436"/>
      <c r="AD113" s="1436"/>
      <c r="AE113" s="1436"/>
      <c r="AF113" s="1436"/>
      <c r="AG113" s="1436"/>
      <c r="AH113" s="1442"/>
      <c r="AI113" s="1436"/>
      <c r="AJ113" s="1436"/>
      <c r="AK113" s="1436"/>
      <c r="AL113" s="1436"/>
      <c r="AM113" s="1436"/>
      <c r="AN113" s="1436"/>
      <c r="AO113" s="1436"/>
      <c r="AP113" s="1436"/>
      <c r="AQ113" s="1436"/>
      <c r="AR113" s="1436"/>
      <c r="AS113" s="1436"/>
      <c r="AT113" s="1436"/>
      <c r="AU113" s="1436"/>
      <c r="AV113" s="1436"/>
      <c r="AW113" s="1436"/>
      <c r="AX113" s="69"/>
      <c r="AY113" s="1434"/>
      <c r="AZ113" s="1434"/>
      <c r="BA113" s="69"/>
      <c r="BB113" s="1434"/>
      <c r="BC113" s="1434"/>
    </row>
    <row r="114" spans="2:95" ht="110.4" x14ac:dyDescent="0.25">
      <c r="B11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4" s="69" t="s">
        <v>1906</v>
      </c>
      <c r="D114" s="69" t="s">
        <v>1907</v>
      </c>
      <c r="E114" s="69" t="s">
        <v>1202</v>
      </c>
      <c r="F114" s="1127" t="str">
        <f>VLOOKUP(TBL4_OptApp[[#This Row],[Option type
Defined List]],'Option Typs_Grps'!B$2:C$47, 2, FALSE)</f>
        <v>Resource Options</v>
      </c>
      <c r="G114" s="70" t="s">
        <v>1954</v>
      </c>
      <c r="H114" s="70" t="s">
        <v>1959</v>
      </c>
      <c r="I114" s="70" t="s">
        <v>1676</v>
      </c>
      <c r="J114" s="1436"/>
      <c r="K114" s="1436"/>
      <c r="L114" s="1436"/>
      <c r="M114" s="1436"/>
      <c r="N114" s="1436"/>
      <c r="O114" s="1436"/>
      <c r="P114" s="1436"/>
      <c r="Q114" s="1436"/>
      <c r="R114" s="69" t="s">
        <v>1990</v>
      </c>
      <c r="S114" s="1436" t="s">
        <v>761</v>
      </c>
      <c r="T114" s="1436" t="s">
        <v>761</v>
      </c>
      <c r="U114" s="1436"/>
      <c r="V114" s="1436"/>
      <c r="W114" s="1436"/>
      <c r="X114" s="1436"/>
      <c r="Y114" s="1436"/>
      <c r="Z114" s="1436"/>
      <c r="AA114" s="1436"/>
      <c r="AB114" s="1436"/>
      <c r="AC114" s="1436"/>
      <c r="AD114" s="1436"/>
      <c r="AE114" s="1436"/>
      <c r="AF114" s="1436"/>
      <c r="AG114" s="1436"/>
      <c r="AH114" s="1442"/>
      <c r="AI114" s="1436"/>
      <c r="AJ114" s="1436"/>
      <c r="AK114" s="1436"/>
      <c r="AL114" s="1436"/>
      <c r="AM114" s="1436"/>
      <c r="AN114" s="1436"/>
      <c r="AO114" s="1436"/>
      <c r="AP114" s="1436"/>
      <c r="AQ114" s="1436"/>
      <c r="AR114" s="1436"/>
      <c r="AS114" s="1436"/>
      <c r="AT114" s="1436"/>
      <c r="AU114" s="1436"/>
      <c r="AV114" s="1436"/>
      <c r="AW114" s="1436"/>
      <c r="AX114" s="1435"/>
      <c r="AY114" s="1434"/>
      <c r="AZ114" s="1434"/>
      <c r="BA114" s="1435"/>
      <c r="BB114" s="1434"/>
      <c r="BC114" s="1434"/>
    </row>
    <row r="115" spans="2:95" ht="28.2" thickBot="1" x14ac:dyDescent="0.3">
      <c r="B11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5" s="69" t="s">
        <v>1908</v>
      </c>
      <c r="D115" s="69" t="s">
        <v>1909</v>
      </c>
      <c r="E115" s="69" t="s">
        <v>1221</v>
      </c>
      <c r="F115" s="1127" t="str">
        <f>VLOOKUP(TBL4_OptApp[[#This Row],[Option type
Defined List]],'Option Typs_Grps'!B$2:C$47, 2, FALSE)</f>
        <v>Resource Options</v>
      </c>
      <c r="G115" s="70" t="s">
        <v>1954</v>
      </c>
      <c r="H115" s="70" t="s">
        <v>1958</v>
      </c>
      <c r="I115" s="70" t="s">
        <v>1676</v>
      </c>
      <c r="J115" s="69" t="s">
        <v>1956</v>
      </c>
      <c r="K115" s="69">
        <v>0</v>
      </c>
      <c r="L115" s="69" t="s">
        <v>1676</v>
      </c>
      <c r="M115" s="69" t="s">
        <v>1676</v>
      </c>
      <c r="N115" s="69" t="s">
        <v>1676</v>
      </c>
      <c r="O115" s="69" t="s">
        <v>1676</v>
      </c>
      <c r="P115" s="69" t="s">
        <v>1676</v>
      </c>
      <c r="Q115" s="69" t="s">
        <v>1676</v>
      </c>
      <c r="R115" s="1436"/>
      <c r="S115" s="69" t="s">
        <v>761</v>
      </c>
      <c r="T115" s="69" t="s">
        <v>761</v>
      </c>
      <c r="U115" s="69">
        <v>25</v>
      </c>
      <c r="V115" s="69">
        <v>10</v>
      </c>
      <c r="W115" s="69" t="s">
        <v>1956</v>
      </c>
      <c r="X115" s="69">
        <v>59.688075940476871</v>
      </c>
      <c r="Y115" s="69">
        <v>1.7424927491890991</v>
      </c>
      <c r="Z115" s="69">
        <v>1.7424927491890991</v>
      </c>
      <c r="AA115" s="69">
        <v>25</v>
      </c>
      <c r="AB115" s="69">
        <v>25</v>
      </c>
      <c r="AC115" s="69">
        <v>5256.6340156370134</v>
      </c>
      <c r="AD115" s="69">
        <v>6303.0061718999987</v>
      </c>
      <c r="AE115" s="69">
        <v>6303.0061718999987</v>
      </c>
      <c r="AF115" s="69">
        <v>19.268505287632358</v>
      </c>
      <c r="AG115" s="69">
        <v>0.21529259395671269</v>
      </c>
      <c r="AH115" s="69">
        <v>81.622738722055701</v>
      </c>
      <c r="AI115" s="1436"/>
      <c r="AJ115" s="1436"/>
      <c r="AK115" s="1436"/>
      <c r="AL115" s="1436"/>
      <c r="AM115" s="1436"/>
      <c r="AN115" s="1436"/>
      <c r="AO115" s="1436"/>
      <c r="AP115" s="1436"/>
      <c r="AQ115" s="1436"/>
      <c r="AR115" s="1436"/>
      <c r="AS115" s="1436"/>
      <c r="AT115" s="1436"/>
      <c r="AU115" s="1436"/>
      <c r="AV115" s="1436"/>
      <c r="AW115" s="1436"/>
      <c r="AX115" s="1435">
        <v>7.9749999999999996</v>
      </c>
      <c r="AY115" s="1435">
        <v>-48.5</v>
      </c>
      <c r="AZ115" s="1435">
        <v>6.34</v>
      </c>
      <c r="BA115" s="1435">
        <v>-13.98</v>
      </c>
      <c r="BB115" s="1435">
        <v>19.53</v>
      </c>
      <c r="BC115" s="1435">
        <v>-17.46</v>
      </c>
    </row>
    <row r="116" spans="2:95" ht="262.8" thickBot="1" x14ac:dyDescent="0.3">
      <c r="B11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6" s="69" t="s">
        <v>1910</v>
      </c>
      <c r="D116" s="69" t="s">
        <v>1911</v>
      </c>
      <c r="E116" s="69" t="s">
        <v>1221</v>
      </c>
      <c r="F116" s="1127" t="str">
        <f>VLOOKUP(TBL4_OptApp[[#This Row],[Option type
Defined List]],'Option Typs_Grps'!B$2:C$47, 2, FALSE)</f>
        <v>Resource Options</v>
      </c>
      <c r="G116" s="70" t="s">
        <v>1954</v>
      </c>
      <c r="H116" s="70" t="s">
        <v>1959</v>
      </c>
      <c r="I116" s="70" t="s">
        <v>1676</v>
      </c>
      <c r="J116" s="1436"/>
      <c r="K116" s="1436"/>
      <c r="L116" s="1436"/>
      <c r="M116" s="1436"/>
      <c r="N116" s="1436"/>
      <c r="O116" s="1436"/>
      <c r="P116" s="1436"/>
      <c r="Q116" s="1436"/>
      <c r="R116" s="69" t="s">
        <v>1991</v>
      </c>
      <c r="S116" s="1436" t="s">
        <v>761</v>
      </c>
      <c r="T116" s="1436" t="s">
        <v>761</v>
      </c>
      <c r="U116" s="1436"/>
      <c r="V116" s="1436"/>
      <c r="W116" s="1436"/>
      <c r="X116" s="1436"/>
      <c r="Y116" s="1436"/>
      <c r="Z116" s="1436"/>
      <c r="AA116" s="1436"/>
      <c r="AB116" s="1436"/>
      <c r="AC116" s="1436"/>
      <c r="AD116" s="1436"/>
      <c r="AE116" s="1436"/>
      <c r="AF116" s="1436"/>
      <c r="AG116" s="1436"/>
      <c r="AH116" s="1442"/>
      <c r="AI116" s="1436"/>
      <c r="AJ116" s="1436"/>
      <c r="AK116" s="1436"/>
      <c r="AL116" s="1436"/>
      <c r="AM116" s="1436"/>
      <c r="AN116" s="1436"/>
      <c r="AO116" s="1436"/>
      <c r="AP116" s="1436"/>
      <c r="AQ116" s="1436"/>
      <c r="AR116" s="1436"/>
      <c r="AS116" s="1436"/>
      <c r="AT116" s="1436"/>
      <c r="AU116" s="1436"/>
      <c r="AV116" s="1436"/>
      <c r="AW116" s="1436"/>
      <c r="AX116" s="1435"/>
      <c r="AY116" s="1434"/>
      <c r="AZ116" s="1434"/>
      <c r="BA116" s="1435"/>
      <c r="BB116" s="1434"/>
      <c r="BC116" s="1434"/>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72"/>
    </row>
    <row r="117" spans="2:95" ht="55.2" x14ac:dyDescent="0.25">
      <c r="B11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7" s="69" t="s">
        <v>1912</v>
      </c>
      <c r="D117" s="69" t="s">
        <v>1913</v>
      </c>
      <c r="E117" s="69" t="s">
        <v>759</v>
      </c>
      <c r="F117" s="1127" t="str">
        <f>VLOOKUP(TBL4_OptApp[[#This Row],[Option type
Defined List]],'Option Typs_Grps'!B$2:C$47, 2, FALSE)</f>
        <v>Resource Options</v>
      </c>
      <c r="G117" s="70" t="s">
        <v>1954</v>
      </c>
      <c r="H117" s="70" t="s">
        <v>1959</v>
      </c>
      <c r="I117" s="70" t="s">
        <v>1676</v>
      </c>
      <c r="J117" s="1436"/>
      <c r="K117" s="1436"/>
      <c r="L117" s="1436"/>
      <c r="M117" s="1436"/>
      <c r="N117" s="1436"/>
      <c r="O117" s="1436"/>
      <c r="P117" s="1436"/>
      <c r="Q117" s="1436"/>
      <c r="R117" s="69" t="s">
        <v>1992</v>
      </c>
      <c r="S117" s="1436" t="s">
        <v>761</v>
      </c>
      <c r="T117" s="1436" t="s">
        <v>761</v>
      </c>
      <c r="U117" s="1436"/>
      <c r="V117" s="1436"/>
      <c r="W117" s="1436"/>
      <c r="X117" s="1436"/>
      <c r="Y117" s="1436"/>
      <c r="Z117" s="1436"/>
      <c r="AA117" s="1436"/>
      <c r="AB117" s="1436"/>
      <c r="AC117" s="1436"/>
      <c r="AD117" s="1436"/>
      <c r="AE117" s="1436"/>
      <c r="AF117" s="1436"/>
      <c r="AG117" s="1436"/>
      <c r="AH117" s="1442"/>
      <c r="AI117" s="1436"/>
      <c r="AJ117" s="1436"/>
      <c r="AK117" s="1436"/>
      <c r="AL117" s="1436"/>
      <c r="AM117" s="1436"/>
      <c r="AN117" s="1436"/>
      <c r="AO117" s="1436"/>
      <c r="AP117" s="1436"/>
      <c r="AQ117" s="1436"/>
      <c r="AR117" s="1436"/>
      <c r="AS117" s="1436"/>
      <c r="AT117" s="1436"/>
      <c r="AU117" s="1436"/>
      <c r="AV117" s="1436"/>
      <c r="AW117" s="1436"/>
      <c r="AX117" s="1435"/>
      <c r="AY117" s="1434"/>
      <c r="AZ117" s="1434"/>
      <c r="BA117" s="1435"/>
      <c r="BB117" s="1434"/>
      <c r="BC117" s="1434"/>
    </row>
    <row r="118" spans="2:95" ht="55.2" x14ac:dyDescent="0.25">
      <c r="B11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8" s="69" t="s">
        <v>1914</v>
      </c>
      <c r="D118" s="69" t="s">
        <v>1915</v>
      </c>
      <c r="E118" s="69" t="s">
        <v>769</v>
      </c>
      <c r="F118" s="1127" t="str">
        <f>VLOOKUP(TBL4_OptApp[[#This Row],[Option type
Defined List]],'Option Typs_Grps'!B$2:C$47, 2, FALSE)</f>
        <v>Resource Options</v>
      </c>
      <c r="G118" s="70" t="s">
        <v>1954</v>
      </c>
      <c r="H118" s="70" t="s">
        <v>1959</v>
      </c>
      <c r="I118" s="70" t="s">
        <v>1676</v>
      </c>
      <c r="J118" s="1436"/>
      <c r="K118" s="1436"/>
      <c r="L118" s="1436"/>
      <c r="M118" s="1436"/>
      <c r="N118" s="1436"/>
      <c r="O118" s="1436"/>
      <c r="P118" s="1436"/>
      <c r="Q118" s="1436"/>
      <c r="R118" s="69" t="s">
        <v>1993</v>
      </c>
      <c r="S118" s="1436" t="s">
        <v>761</v>
      </c>
      <c r="T118" s="1436" t="s">
        <v>761</v>
      </c>
      <c r="U118" s="1436"/>
      <c r="V118" s="1436"/>
      <c r="W118" s="1436"/>
      <c r="X118" s="1436"/>
      <c r="Y118" s="1436"/>
      <c r="Z118" s="1436"/>
      <c r="AA118" s="1436"/>
      <c r="AB118" s="1436"/>
      <c r="AC118" s="1436"/>
      <c r="AD118" s="1436"/>
      <c r="AE118" s="1436"/>
      <c r="AF118" s="1436"/>
      <c r="AG118" s="1436"/>
      <c r="AH118" s="1442"/>
      <c r="AI118" s="1436"/>
      <c r="AJ118" s="1436"/>
      <c r="AK118" s="1436"/>
      <c r="AL118" s="1436"/>
      <c r="AM118" s="1436"/>
      <c r="AN118" s="1436"/>
      <c r="AO118" s="1436"/>
      <c r="AP118" s="1436"/>
      <c r="AQ118" s="1436"/>
      <c r="AR118" s="1436"/>
      <c r="AS118" s="1436"/>
      <c r="AT118" s="1436"/>
      <c r="AU118" s="1436"/>
      <c r="AV118" s="1436"/>
      <c r="AW118" s="1436"/>
      <c r="AX118" s="1435"/>
      <c r="AY118" s="1434"/>
      <c r="AZ118" s="1434"/>
      <c r="BA118" s="1435"/>
      <c r="BB118" s="1434"/>
      <c r="BC118" s="1434"/>
    </row>
    <row r="119" spans="2:95" ht="110.4" x14ac:dyDescent="0.25">
      <c r="B11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9" s="69" t="s">
        <v>1916</v>
      </c>
      <c r="D119" s="69" t="s">
        <v>1917</v>
      </c>
      <c r="E119" s="69" t="s">
        <v>1209</v>
      </c>
      <c r="F119" s="1127" t="str">
        <f>VLOOKUP(TBL4_OptApp[[#This Row],[Option type
Defined List]],'Option Typs_Grps'!B$2:C$47, 2, FALSE)</f>
        <v>Resource Options</v>
      </c>
      <c r="G119" s="70" t="s">
        <v>1954</v>
      </c>
      <c r="H119" s="70" t="s">
        <v>1959</v>
      </c>
      <c r="I119" s="70" t="s">
        <v>1676</v>
      </c>
      <c r="J119" s="1436"/>
      <c r="K119" s="1436"/>
      <c r="L119" s="1436"/>
      <c r="M119" s="1436"/>
      <c r="N119" s="1436"/>
      <c r="O119" s="1436"/>
      <c r="P119" s="1436"/>
      <c r="Q119" s="1436"/>
      <c r="R119" s="69" t="s">
        <v>1994</v>
      </c>
      <c r="S119" s="1436" t="s">
        <v>761</v>
      </c>
      <c r="T119" s="1436" t="s">
        <v>761</v>
      </c>
      <c r="U119" s="1436"/>
      <c r="V119" s="1436"/>
      <c r="W119" s="1436"/>
      <c r="X119" s="1436"/>
      <c r="Y119" s="1436"/>
      <c r="Z119" s="1436"/>
      <c r="AA119" s="1436"/>
      <c r="AB119" s="1436"/>
      <c r="AC119" s="1436"/>
      <c r="AD119" s="1436"/>
      <c r="AE119" s="1436"/>
      <c r="AF119" s="1436"/>
      <c r="AG119" s="1436"/>
      <c r="AH119" s="1442"/>
      <c r="AI119" s="1436"/>
      <c r="AJ119" s="1436"/>
      <c r="AK119" s="1436"/>
      <c r="AL119" s="1436"/>
      <c r="AM119" s="1436"/>
      <c r="AN119" s="1436"/>
      <c r="AO119" s="1436"/>
      <c r="AP119" s="1436"/>
      <c r="AQ119" s="1436"/>
      <c r="AR119" s="1436"/>
      <c r="AS119" s="1436"/>
      <c r="AT119" s="1436"/>
      <c r="AU119" s="1436"/>
      <c r="AV119" s="1436"/>
      <c r="AW119" s="1436"/>
      <c r="AX119" s="1435"/>
      <c r="AY119" s="1434"/>
      <c r="AZ119" s="1434"/>
      <c r="BA119" s="1435"/>
      <c r="BB119" s="1434"/>
      <c r="BC119" s="1434"/>
    </row>
    <row r="120" spans="2:95" ht="55.2" x14ac:dyDescent="0.25">
      <c r="B12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0" s="69" t="s">
        <v>1918</v>
      </c>
      <c r="D120" s="69" t="s">
        <v>1919</v>
      </c>
      <c r="E120" s="69" t="s">
        <v>765</v>
      </c>
      <c r="F120" s="1127" t="str">
        <f>VLOOKUP(TBL4_OptApp[[#This Row],[Option type
Defined List]],'Option Typs_Grps'!B$2:C$47, 2, FALSE)</f>
        <v>Resource Options</v>
      </c>
      <c r="G120" s="70" t="s">
        <v>1954</v>
      </c>
      <c r="H120" s="70" t="s">
        <v>1959</v>
      </c>
      <c r="I120" s="70" t="s">
        <v>1676</v>
      </c>
      <c r="J120" s="1436"/>
      <c r="K120" s="1436"/>
      <c r="L120" s="1436"/>
      <c r="M120" s="1436"/>
      <c r="N120" s="1436"/>
      <c r="O120" s="1436"/>
      <c r="P120" s="1436"/>
      <c r="Q120" s="1436"/>
      <c r="R120" s="69" t="s">
        <v>1995</v>
      </c>
      <c r="S120" s="1436" t="s">
        <v>761</v>
      </c>
      <c r="T120" s="1436" t="s">
        <v>761</v>
      </c>
      <c r="U120" s="1436"/>
      <c r="V120" s="1436"/>
      <c r="W120" s="1436"/>
      <c r="X120" s="1436"/>
      <c r="Y120" s="1436"/>
      <c r="Z120" s="1436"/>
      <c r="AA120" s="1436"/>
      <c r="AB120" s="1436"/>
      <c r="AC120" s="1436"/>
      <c r="AD120" s="1436"/>
      <c r="AE120" s="1436"/>
      <c r="AF120" s="1436"/>
      <c r="AG120" s="1436"/>
      <c r="AH120" s="1442"/>
      <c r="AI120" s="1436"/>
      <c r="AJ120" s="1436"/>
      <c r="AK120" s="1436"/>
      <c r="AL120" s="1436"/>
      <c r="AM120" s="1436"/>
      <c r="AN120" s="1436"/>
      <c r="AO120" s="1436"/>
      <c r="AP120" s="1436"/>
      <c r="AQ120" s="1436"/>
      <c r="AR120" s="1436"/>
      <c r="AS120" s="1436"/>
      <c r="AT120" s="1436"/>
      <c r="AU120" s="1436"/>
      <c r="AV120" s="1436"/>
      <c r="AW120" s="1436"/>
      <c r="AX120" s="1435"/>
      <c r="AY120" s="1434"/>
      <c r="AZ120" s="1434"/>
      <c r="BA120" s="1435"/>
      <c r="BB120" s="1434"/>
      <c r="BC120" s="1434"/>
    </row>
    <row r="121" spans="2:95" ht="27.6" x14ac:dyDescent="0.25">
      <c r="B12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1" s="69" t="s">
        <v>1920</v>
      </c>
      <c r="D121" s="69" t="s">
        <v>1921</v>
      </c>
      <c r="E121" s="69" t="s">
        <v>765</v>
      </c>
      <c r="F121" s="1127" t="str">
        <f>VLOOKUP(TBL4_OptApp[[#This Row],[Option type
Defined List]],'Option Typs_Grps'!B$2:C$47, 2, FALSE)</f>
        <v>Resource Options</v>
      </c>
      <c r="G121" s="70" t="s">
        <v>1954</v>
      </c>
      <c r="H121" s="70" t="s">
        <v>1958</v>
      </c>
      <c r="I121" s="70" t="s">
        <v>1676</v>
      </c>
      <c r="J121" s="69" t="s">
        <v>1956</v>
      </c>
      <c r="K121" s="69">
        <v>0</v>
      </c>
      <c r="L121" s="69" t="s">
        <v>1676</v>
      </c>
      <c r="M121" s="69" t="s">
        <v>1676</v>
      </c>
      <c r="N121" s="69" t="s">
        <v>1676</v>
      </c>
      <c r="O121" s="69" t="s">
        <v>1676</v>
      </c>
      <c r="P121" s="69" t="s">
        <v>1676</v>
      </c>
      <c r="Q121" s="69" t="s">
        <v>1676</v>
      </c>
      <c r="R121" s="1436"/>
      <c r="S121" s="69" t="s">
        <v>761</v>
      </c>
      <c r="T121" s="69" t="s">
        <v>761</v>
      </c>
      <c r="U121" s="69">
        <v>10</v>
      </c>
      <c r="V121" s="69">
        <v>12</v>
      </c>
      <c r="W121" s="69" t="s">
        <v>1956</v>
      </c>
      <c r="X121" s="69">
        <v>6.3016102411178556</v>
      </c>
      <c r="Y121" s="69">
        <v>6.2555884057222927E-2</v>
      </c>
      <c r="Z121" s="69">
        <v>6.2555884057222927E-2</v>
      </c>
      <c r="AA121" s="69">
        <v>10</v>
      </c>
      <c r="AB121" s="69">
        <v>10</v>
      </c>
      <c r="AC121" s="69">
        <v>1296.8749720000001</v>
      </c>
      <c r="AD121" s="69">
        <v>875.81263600999989</v>
      </c>
      <c r="AE121" s="69">
        <v>875.81263600999989</v>
      </c>
      <c r="AF121" s="69">
        <v>2.9999844042507511</v>
      </c>
      <c r="AG121" s="69">
        <v>14.4095328086806</v>
      </c>
      <c r="AH121" s="69">
        <v>5.0850348883404175</v>
      </c>
      <c r="AI121" s="1436"/>
      <c r="AJ121" s="1436"/>
      <c r="AK121" s="1436"/>
      <c r="AL121" s="1436"/>
      <c r="AM121" s="1436"/>
      <c r="AN121" s="1436"/>
      <c r="AO121" s="1436"/>
      <c r="AP121" s="1436"/>
      <c r="AQ121" s="1436"/>
      <c r="AR121" s="1436"/>
      <c r="AS121" s="1436"/>
      <c r="AT121" s="1436"/>
      <c r="AU121" s="1436"/>
      <c r="AV121" s="1436"/>
      <c r="AW121" s="1436"/>
      <c r="AX121" s="1435">
        <v>7.9749999999999996</v>
      </c>
      <c r="AY121" s="1435">
        <v>-30.125</v>
      </c>
      <c r="AZ121" s="1435">
        <v>3.17</v>
      </c>
      <c r="BA121" s="1435">
        <v>-4.66</v>
      </c>
      <c r="BB121" s="1435">
        <v>10.85</v>
      </c>
      <c r="BC121" s="1435">
        <v>-8.73</v>
      </c>
    </row>
    <row r="122" spans="2:95" ht="276" x14ac:dyDescent="0.25">
      <c r="B12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2" s="69" t="s">
        <v>1922</v>
      </c>
      <c r="D122" s="69" t="s">
        <v>1923</v>
      </c>
      <c r="E122" s="69" t="s">
        <v>765</v>
      </c>
      <c r="F122" s="1127" t="str">
        <f>VLOOKUP(TBL4_OptApp[[#This Row],[Option type
Defined List]],'Option Typs_Grps'!B$2:C$47, 2, FALSE)</f>
        <v>Resource Options</v>
      </c>
      <c r="G122" s="70" t="s">
        <v>1954</v>
      </c>
      <c r="H122" s="70" t="s">
        <v>1959</v>
      </c>
      <c r="I122" s="70" t="s">
        <v>1676</v>
      </c>
      <c r="J122" s="1436"/>
      <c r="K122" s="1436"/>
      <c r="L122" s="1436"/>
      <c r="M122" s="1436"/>
      <c r="N122" s="1436"/>
      <c r="O122" s="1436"/>
      <c r="P122" s="1436"/>
      <c r="Q122" s="1436"/>
      <c r="R122" s="69" t="s">
        <v>1996</v>
      </c>
      <c r="S122" s="1436" t="s">
        <v>761</v>
      </c>
      <c r="T122" s="1436" t="s">
        <v>761</v>
      </c>
      <c r="U122" s="1436"/>
      <c r="V122" s="1436"/>
      <c r="W122" s="1436"/>
      <c r="X122" s="1436"/>
      <c r="Y122" s="1436"/>
      <c r="Z122" s="1436"/>
      <c r="AA122" s="1436"/>
      <c r="AB122" s="1436"/>
      <c r="AC122" s="1436"/>
      <c r="AD122" s="1436"/>
      <c r="AE122" s="1436"/>
      <c r="AF122" s="1436"/>
      <c r="AG122" s="1436"/>
      <c r="AH122" s="1442"/>
      <c r="AI122" s="1436"/>
      <c r="AJ122" s="1436"/>
      <c r="AK122" s="1436"/>
      <c r="AL122" s="1436"/>
      <c r="AM122" s="1436"/>
      <c r="AN122" s="1436"/>
      <c r="AO122" s="1436"/>
      <c r="AP122" s="1436"/>
      <c r="AQ122" s="1436"/>
      <c r="AR122" s="1436"/>
      <c r="AS122" s="1436"/>
      <c r="AT122" s="1436"/>
      <c r="AU122" s="1436"/>
      <c r="AV122" s="1436"/>
      <c r="AW122" s="1436"/>
      <c r="AX122" s="1435"/>
      <c r="AY122" s="1434"/>
      <c r="AZ122" s="1434"/>
      <c r="BA122" s="1435"/>
      <c r="BB122" s="1434"/>
      <c r="BC122" s="1434"/>
    </row>
    <row r="123" spans="2:95" ht="27.6" x14ac:dyDescent="0.25">
      <c r="B12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3" s="69" t="s">
        <v>1924</v>
      </c>
      <c r="D123" s="69" t="s">
        <v>1925</v>
      </c>
      <c r="E123" s="69" t="s">
        <v>768</v>
      </c>
      <c r="F123" s="1127" t="str">
        <f>VLOOKUP(TBL4_OptApp[[#This Row],[Option type
Defined List]],'Option Typs_Grps'!B$2:C$47, 2, FALSE)</f>
        <v>Resource Options</v>
      </c>
      <c r="G123" s="70" t="s">
        <v>1954</v>
      </c>
      <c r="H123" s="70" t="s">
        <v>1958</v>
      </c>
      <c r="I123" s="70" t="s">
        <v>1676</v>
      </c>
      <c r="J123" s="69" t="s">
        <v>1956</v>
      </c>
      <c r="K123" s="69">
        <v>0</v>
      </c>
      <c r="L123" s="69" t="s">
        <v>1676</v>
      </c>
      <c r="M123" s="69" t="s">
        <v>1676</v>
      </c>
      <c r="N123" s="69" t="s">
        <v>1676</v>
      </c>
      <c r="O123" s="69" t="s">
        <v>1676</v>
      </c>
      <c r="P123" s="69" t="s">
        <v>1676</v>
      </c>
      <c r="Q123" s="69" t="s">
        <v>1676</v>
      </c>
      <c r="R123" s="1436"/>
      <c r="S123" s="69" t="s">
        <v>761</v>
      </c>
      <c r="T123" s="69" t="s">
        <v>761</v>
      </c>
      <c r="U123" s="69">
        <v>20</v>
      </c>
      <c r="V123" s="69">
        <v>8</v>
      </c>
      <c r="W123" s="69" t="s">
        <v>1956</v>
      </c>
      <c r="X123" s="69">
        <v>34.46454363583225</v>
      </c>
      <c r="Y123" s="69">
        <v>0.218052087918541</v>
      </c>
      <c r="Z123" s="69">
        <v>0.218052087918541</v>
      </c>
      <c r="AA123" s="69">
        <v>20</v>
      </c>
      <c r="AB123" s="69">
        <v>20</v>
      </c>
      <c r="AC123" s="69">
        <v>1537.2109753333332</v>
      </c>
      <c r="AD123" s="69">
        <v>38.489771949999998</v>
      </c>
      <c r="AE123" s="69">
        <v>38.489771949999998</v>
      </c>
      <c r="AF123" s="69">
        <v>0.56862251460106872</v>
      </c>
      <c r="AG123" s="69">
        <v>0.26986282806088685</v>
      </c>
      <c r="AH123" s="69">
        <v>28.620360397531993</v>
      </c>
      <c r="AI123" s="1436"/>
      <c r="AJ123" s="1436"/>
      <c r="AK123" s="1436"/>
      <c r="AL123" s="1436"/>
      <c r="AM123" s="1436"/>
      <c r="AN123" s="1436"/>
      <c r="AO123" s="1436"/>
      <c r="AP123" s="1436"/>
      <c r="AQ123" s="1436"/>
      <c r="AR123" s="1436"/>
      <c r="AS123" s="1436"/>
      <c r="AT123" s="1436"/>
      <c r="AU123" s="1436"/>
      <c r="AV123" s="1436"/>
      <c r="AW123" s="1436"/>
      <c r="AX123" s="1435">
        <v>7.9749999999999996</v>
      </c>
      <c r="AY123" s="1435">
        <v>-39.3125</v>
      </c>
      <c r="AZ123" s="1435">
        <v>3.17</v>
      </c>
      <c r="BA123" s="1435">
        <v>-11.65</v>
      </c>
      <c r="BB123" s="1435">
        <v>13.02</v>
      </c>
      <c r="BC123" s="1435">
        <v>-14.55</v>
      </c>
    </row>
    <row r="124" spans="2:95" ht="151.80000000000001" x14ac:dyDescent="0.25">
      <c r="B12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4" s="69" t="s">
        <v>1926</v>
      </c>
      <c r="D124" s="69" t="s">
        <v>1927</v>
      </c>
      <c r="E124" s="69" t="s">
        <v>766</v>
      </c>
      <c r="F124" s="1127" t="str">
        <f>VLOOKUP(TBL4_OptApp[[#This Row],[Option type
Defined List]],'Option Typs_Grps'!B$2:C$47, 2, FALSE)</f>
        <v>Resource Options</v>
      </c>
      <c r="G124" s="70" t="s">
        <v>1954</v>
      </c>
      <c r="H124" s="70" t="s">
        <v>1959</v>
      </c>
      <c r="I124" s="70" t="s">
        <v>1957</v>
      </c>
      <c r="J124" s="1436"/>
      <c r="K124" s="1436"/>
      <c r="L124" s="1436"/>
      <c r="M124" s="1436"/>
      <c r="N124" s="1436"/>
      <c r="O124" s="1436"/>
      <c r="P124" s="1436"/>
      <c r="Q124" s="1436"/>
      <c r="R124" s="69" t="s">
        <v>1997</v>
      </c>
      <c r="S124" s="1436" t="s">
        <v>761</v>
      </c>
      <c r="T124" s="1436" t="s">
        <v>761</v>
      </c>
      <c r="U124" s="1436"/>
      <c r="V124" s="1436"/>
      <c r="W124" s="1436"/>
      <c r="X124" s="1436"/>
      <c r="Y124" s="1436"/>
      <c r="Z124" s="1436"/>
      <c r="AA124" s="1436"/>
      <c r="AB124" s="1436"/>
      <c r="AC124" s="1436"/>
      <c r="AD124" s="1436"/>
      <c r="AE124" s="1436"/>
      <c r="AF124" s="1436"/>
      <c r="AG124" s="1436"/>
      <c r="AH124" s="1442"/>
      <c r="AI124" s="1436"/>
      <c r="AJ124" s="1436"/>
      <c r="AK124" s="1436"/>
      <c r="AL124" s="1436"/>
      <c r="AM124" s="1436"/>
      <c r="AN124" s="1436"/>
      <c r="AO124" s="1436"/>
      <c r="AP124" s="1436"/>
      <c r="AQ124" s="1436"/>
      <c r="AR124" s="1436"/>
      <c r="AS124" s="1436"/>
      <c r="AT124" s="1436"/>
      <c r="AU124" s="1436"/>
      <c r="AV124" s="1436"/>
      <c r="AW124" s="1436"/>
      <c r="AX124" s="1435"/>
      <c r="AY124" s="1434"/>
      <c r="AZ124" s="1434"/>
      <c r="BA124" s="1435"/>
      <c r="BB124" s="1434"/>
      <c r="BC124" s="1434"/>
    </row>
    <row r="125" spans="2:95" ht="110.4" x14ac:dyDescent="0.25">
      <c r="B12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5" s="69" t="s">
        <v>1928</v>
      </c>
      <c r="D125" s="69" t="s">
        <v>1929</v>
      </c>
      <c r="E125" s="69" t="s">
        <v>766</v>
      </c>
      <c r="F125" s="1127" t="str">
        <f>VLOOKUP(TBL4_OptApp[[#This Row],[Option type
Defined List]],'Option Typs_Grps'!B$2:C$47, 2, FALSE)</f>
        <v>Resource Options</v>
      </c>
      <c r="G125" s="70" t="s">
        <v>1954</v>
      </c>
      <c r="H125" s="70" t="s">
        <v>1959</v>
      </c>
      <c r="I125" s="70" t="s">
        <v>1676</v>
      </c>
      <c r="J125" s="1436"/>
      <c r="K125" s="1436"/>
      <c r="L125" s="1436"/>
      <c r="M125" s="1436"/>
      <c r="N125" s="1436"/>
      <c r="O125" s="1436"/>
      <c r="P125" s="1436"/>
      <c r="Q125" s="1436"/>
      <c r="R125" s="69" t="s">
        <v>1998</v>
      </c>
      <c r="S125" s="1436" t="s">
        <v>761</v>
      </c>
      <c r="T125" s="1436" t="s">
        <v>761</v>
      </c>
      <c r="U125" s="1436"/>
      <c r="V125" s="1436"/>
      <c r="W125" s="1436"/>
      <c r="X125" s="1436"/>
      <c r="Y125" s="1436"/>
      <c r="Z125" s="1436"/>
      <c r="AA125" s="1436"/>
      <c r="AB125" s="1436"/>
      <c r="AC125" s="1436"/>
      <c r="AD125" s="1436"/>
      <c r="AE125" s="1436"/>
      <c r="AF125" s="1436"/>
      <c r="AG125" s="1436"/>
      <c r="AH125" s="1442"/>
      <c r="AI125" s="1436"/>
      <c r="AJ125" s="1436"/>
      <c r="AK125" s="1436"/>
      <c r="AL125" s="1436"/>
      <c r="AM125" s="1436"/>
      <c r="AN125" s="1436"/>
      <c r="AO125" s="1436"/>
      <c r="AP125" s="1436"/>
      <c r="AQ125" s="1436"/>
      <c r="AR125" s="1436"/>
      <c r="AS125" s="1436"/>
      <c r="AT125" s="1436"/>
      <c r="AU125" s="1436"/>
      <c r="AV125" s="1436"/>
      <c r="AW125" s="1436"/>
      <c r="AX125" s="1435"/>
      <c r="AY125" s="1434"/>
      <c r="AZ125" s="1434"/>
      <c r="BA125" s="1435"/>
      <c r="BB125" s="1434"/>
      <c r="BC125" s="1434"/>
    </row>
    <row r="126" spans="2:95" ht="82.8" x14ac:dyDescent="0.25">
      <c r="B12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6" s="69" t="s">
        <v>1930</v>
      </c>
      <c r="D126" s="69" t="s">
        <v>1931</v>
      </c>
      <c r="E126" s="69" t="s">
        <v>1256</v>
      </c>
      <c r="F126" s="1127" t="str">
        <f>VLOOKUP(TBL4_OptApp[[#This Row],[Option type
Defined List]],'Option Typs_Grps'!B$2:C$47, 2, FALSE)</f>
        <v>Distribution Options</v>
      </c>
      <c r="G126" s="70" t="s">
        <v>1954</v>
      </c>
      <c r="H126" s="70" t="s">
        <v>1959</v>
      </c>
      <c r="I126" s="70" t="s">
        <v>1957</v>
      </c>
      <c r="J126" s="1436"/>
      <c r="K126" s="1436"/>
      <c r="L126" s="1436"/>
      <c r="M126" s="1436"/>
      <c r="N126" s="1436"/>
      <c r="O126" s="1436"/>
      <c r="P126" s="1436"/>
      <c r="Q126" s="1436"/>
      <c r="R126" s="69" t="s">
        <v>1999</v>
      </c>
      <c r="S126" s="1436" t="s">
        <v>761</v>
      </c>
      <c r="T126" s="1436" t="s">
        <v>761</v>
      </c>
      <c r="U126" s="1436"/>
      <c r="V126" s="1436"/>
      <c r="W126" s="1436"/>
      <c r="X126" s="1436"/>
      <c r="Y126" s="1436"/>
      <c r="Z126" s="1436"/>
      <c r="AA126" s="1436"/>
      <c r="AB126" s="1436"/>
      <c r="AC126" s="1436"/>
      <c r="AD126" s="1436"/>
      <c r="AE126" s="1436"/>
      <c r="AF126" s="1436"/>
      <c r="AG126" s="1436"/>
      <c r="AH126" s="1442"/>
      <c r="AI126" s="1436"/>
      <c r="AJ126" s="1436"/>
      <c r="AK126" s="1436"/>
      <c r="AL126" s="1436"/>
      <c r="AM126" s="1436"/>
      <c r="AN126" s="1436"/>
      <c r="AO126" s="1436"/>
      <c r="AP126" s="1436"/>
      <c r="AQ126" s="1436"/>
      <c r="AR126" s="1436"/>
      <c r="AS126" s="1436"/>
      <c r="AT126" s="1436"/>
      <c r="AU126" s="1436"/>
      <c r="AV126" s="1436"/>
      <c r="AW126" s="1436"/>
      <c r="AX126" s="1435"/>
      <c r="AY126" s="1434"/>
      <c r="AZ126" s="1434"/>
      <c r="BA126" s="1435"/>
      <c r="BB126" s="1434"/>
      <c r="BC126" s="1434"/>
    </row>
    <row r="127" spans="2:95" ht="41.4" x14ac:dyDescent="0.25">
      <c r="B12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7" s="69" t="s">
        <v>1932</v>
      </c>
      <c r="D127" s="69" t="s">
        <v>1933</v>
      </c>
      <c r="E127" s="69" t="s">
        <v>766</v>
      </c>
      <c r="F127" s="1127" t="str">
        <f>VLOOKUP(TBL4_OptApp[[#This Row],[Option type
Defined List]],'Option Typs_Grps'!B$2:C$47, 2, FALSE)</f>
        <v>Resource Options</v>
      </c>
      <c r="G127" s="70" t="s">
        <v>1954</v>
      </c>
      <c r="H127" s="70" t="s">
        <v>1959</v>
      </c>
      <c r="I127" s="70" t="s">
        <v>1957</v>
      </c>
      <c r="J127" s="1436"/>
      <c r="K127" s="1436"/>
      <c r="L127" s="1436"/>
      <c r="M127" s="1436"/>
      <c r="N127" s="1436"/>
      <c r="O127" s="1436"/>
      <c r="P127" s="1436"/>
      <c r="Q127" s="1436"/>
      <c r="R127" s="69" t="s">
        <v>2000</v>
      </c>
      <c r="S127" s="1436" t="s">
        <v>761</v>
      </c>
      <c r="T127" s="1436" t="s">
        <v>761</v>
      </c>
      <c r="U127" s="1436"/>
      <c r="V127" s="1436"/>
      <c r="W127" s="1436"/>
      <c r="X127" s="1436"/>
      <c r="Y127" s="1436"/>
      <c r="Z127" s="1436"/>
      <c r="AA127" s="1436"/>
      <c r="AB127" s="1436"/>
      <c r="AC127" s="1436"/>
      <c r="AD127" s="1436"/>
      <c r="AE127" s="1436"/>
      <c r="AF127" s="1436"/>
      <c r="AG127" s="1436"/>
      <c r="AH127" s="1442"/>
      <c r="AI127" s="1436"/>
      <c r="AJ127" s="1436"/>
      <c r="AK127" s="1436"/>
      <c r="AL127" s="1436"/>
      <c r="AM127" s="1436"/>
      <c r="AN127" s="1436"/>
      <c r="AO127" s="1436"/>
      <c r="AP127" s="1436"/>
      <c r="AQ127" s="1436"/>
      <c r="AR127" s="1436"/>
      <c r="AS127" s="1436"/>
      <c r="AT127" s="1436"/>
      <c r="AU127" s="1436"/>
      <c r="AV127" s="1436"/>
      <c r="AW127" s="1436"/>
      <c r="AX127" s="1435"/>
      <c r="AY127" s="1434"/>
      <c r="AZ127" s="1434"/>
      <c r="BA127" s="1435"/>
      <c r="BB127" s="1434"/>
      <c r="BC127" s="1434"/>
    </row>
    <row r="128" spans="2:95" ht="96.6" x14ac:dyDescent="0.25">
      <c r="B12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8" s="69" t="s">
        <v>1934</v>
      </c>
      <c r="D128" s="69" t="s">
        <v>1935</v>
      </c>
      <c r="E128" s="69" t="s">
        <v>770</v>
      </c>
      <c r="F128" s="1127" t="str">
        <f>VLOOKUP(TBL4_OptApp[[#This Row],[Option type
Defined List]],'Option Typs_Grps'!B$2:C$47, 2, FALSE)</f>
        <v>Resource Options</v>
      </c>
      <c r="G128" s="70" t="s">
        <v>1954</v>
      </c>
      <c r="H128" s="70" t="s">
        <v>1959</v>
      </c>
      <c r="I128" s="70" t="s">
        <v>1676</v>
      </c>
      <c r="J128" s="1436"/>
      <c r="K128" s="1436"/>
      <c r="L128" s="1436"/>
      <c r="M128" s="1436"/>
      <c r="N128" s="1436"/>
      <c r="O128" s="1436"/>
      <c r="P128" s="1436"/>
      <c r="Q128" s="1436"/>
      <c r="R128" s="69" t="s">
        <v>2001</v>
      </c>
      <c r="S128" s="1436" t="s">
        <v>761</v>
      </c>
      <c r="T128" s="1436" t="s">
        <v>761</v>
      </c>
      <c r="U128" s="1436"/>
      <c r="V128" s="1436"/>
      <c r="W128" s="1436"/>
      <c r="X128" s="1436"/>
      <c r="Y128" s="1436"/>
      <c r="Z128" s="1436"/>
      <c r="AA128" s="1436"/>
      <c r="AB128" s="1436"/>
      <c r="AC128" s="1436"/>
      <c r="AD128" s="1436"/>
      <c r="AE128" s="1436"/>
      <c r="AF128" s="1436"/>
      <c r="AG128" s="1436"/>
      <c r="AH128" s="1442"/>
      <c r="AI128" s="1436"/>
      <c r="AJ128" s="1436"/>
      <c r="AK128" s="1436"/>
      <c r="AL128" s="1436"/>
      <c r="AM128" s="1436"/>
      <c r="AN128" s="1436"/>
      <c r="AO128" s="1436"/>
      <c r="AP128" s="1436"/>
      <c r="AQ128" s="1436"/>
      <c r="AR128" s="1436"/>
      <c r="AS128" s="1436"/>
      <c r="AT128" s="1436"/>
      <c r="AU128" s="1436"/>
      <c r="AV128" s="1436"/>
      <c r="AW128" s="1436"/>
      <c r="AX128" s="1435"/>
      <c r="AY128" s="1434"/>
      <c r="AZ128" s="1434"/>
      <c r="BA128" s="1435"/>
      <c r="BB128" s="1434"/>
      <c r="BC128" s="1434"/>
    </row>
    <row r="129" spans="2:55" ht="96.6" x14ac:dyDescent="0.25">
      <c r="B12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9" s="69" t="s">
        <v>1936</v>
      </c>
      <c r="D129" s="69" t="s">
        <v>1937</v>
      </c>
      <c r="E129" s="69" t="s">
        <v>1938</v>
      </c>
      <c r="F129" s="1127" t="str">
        <f>VLOOKUP(TBL4_OptApp[[#This Row],[Option type
Defined List]],'Option Typs_Grps'!B$2:C$47, 2, FALSE)</f>
        <v>Resource Options</v>
      </c>
      <c r="G129" s="70" t="s">
        <v>1954</v>
      </c>
      <c r="H129" s="70" t="s">
        <v>1959</v>
      </c>
      <c r="I129" s="70" t="s">
        <v>1957</v>
      </c>
      <c r="J129" s="1436"/>
      <c r="K129" s="1436"/>
      <c r="L129" s="1436"/>
      <c r="M129" s="1436"/>
      <c r="N129" s="1436"/>
      <c r="O129" s="1436"/>
      <c r="P129" s="1436"/>
      <c r="Q129" s="1436"/>
      <c r="R129" s="69" t="s">
        <v>2002</v>
      </c>
      <c r="S129" s="1436" t="s">
        <v>761</v>
      </c>
      <c r="T129" s="1436" t="s">
        <v>761</v>
      </c>
      <c r="U129" s="1436"/>
      <c r="V129" s="1436"/>
      <c r="W129" s="1436"/>
      <c r="X129" s="1436"/>
      <c r="Y129" s="1436"/>
      <c r="Z129" s="1436"/>
      <c r="AA129" s="1436"/>
      <c r="AB129" s="1436"/>
      <c r="AC129" s="1436"/>
      <c r="AD129" s="1436"/>
      <c r="AE129" s="1436"/>
      <c r="AF129" s="1436"/>
      <c r="AG129" s="1436"/>
      <c r="AH129" s="1442"/>
      <c r="AI129" s="1436"/>
      <c r="AJ129" s="1436"/>
      <c r="AK129" s="1436"/>
      <c r="AL129" s="1436"/>
      <c r="AM129" s="1436"/>
      <c r="AN129" s="1436"/>
      <c r="AO129" s="1436"/>
      <c r="AP129" s="1436"/>
      <c r="AQ129" s="1436"/>
      <c r="AR129" s="1436"/>
      <c r="AS129" s="1436"/>
      <c r="AT129" s="1436"/>
      <c r="AU129" s="1436"/>
      <c r="AV129" s="1436"/>
      <c r="AW129" s="1436"/>
      <c r="AX129" s="1435"/>
      <c r="AY129" s="1434"/>
      <c r="AZ129" s="1434"/>
      <c r="BA129" s="1435"/>
      <c r="BB129" s="1434"/>
      <c r="BC129" s="1434"/>
    </row>
    <row r="130" spans="2:55" ht="82.8" x14ac:dyDescent="0.25">
      <c r="B13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0" s="69" t="s">
        <v>1939</v>
      </c>
      <c r="D130" s="69" t="s">
        <v>1940</v>
      </c>
      <c r="E130" s="69" t="s">
        <v>766</v>
      </c>
      <c r="F130" s="1127" t="str">
        <f>VLOOKUP(TBL4_OptApp[[#This Row],[Option type
Defined List]],'Option Typs_Grps'!B$2:C$47, 2, FALSE)</f>
        <v>Resource Options</v>
      </c>
      <c r="G130" s="70" t="s">
        <v>1954</v>
      </c>
      <c r="H130" s="70" t="s">
        <v>1959</v>
      </c>
      <c r="I130" s="70" t="s">
        <v>1957</v>
      </c>
      <c r="J130" s="1436"/>
      <c r="K130" s="1436"/>
      <c r="L130" s="1436"/>
      <c r="M130" s="1436"/>
      <c r="N130" s="1436"/>
      <c r="O130" s="1436"/>
      <c r="P130" s="1436"/>
      <c r="Q130" s="1436"/>
      <c r="R130" s="69" t="s">
        <v>2003</v>
      </c>
      <c r="S130" s="1436" t="s">
        <v>761</v>
      </c>
      <c r="T130" s="1436" t="s">
        <v>761</v>
      </c>
      <c r="U130" s="1436"/>
      <c r="V130" s="1436"/>
      <c r="W130" s="1436"/>
      <c r="X130" s="1436"/>
      <c r="Y130" s="1436"/>
      <c r="Z130" s="1436"/>
      <c r="AA130" s="1436"/>
      <c r="AB130" s="1436"/>
      <c r="AC130" s="1436"/>
      <c r="AD130" s="1436"/>
      <c r="AE130" s="1436"/>
      <c r="AF130" s="1436"/>
      <c r="AG130" s="1436"/>
      <c r="AH130" s="1442"/>
      <c r="AI130" s="1436"/>
      <c r="AJ130" s="1436"/>
      <c r="AK130" s="1436"/>
      <c r="AL130" s="1436"/>
      <c r="AM130" s="1436"/>
      <c r="AN130" s="1436"/>
      <c r="AO130" s="1436"/>
      <c r="AP130" s="1436"/>
      <c r="AQ130" s="1436"/>
      <c r="AR130" s="1436"/>
      <c r="AS130" s="1436"/>
      <c r="AT130" s="1436"/>
      <c r="AU130" s="1436"/>
      <c r="AV130" s="1436"/>
      <c r="AW130" s="1436"/>
      <c r="AX130" s="1435"/>
      <c r="AY130" s="1434"/>
      <c r="AZ130" s="1434"/>
      <c r="BA130" s="1435"/>
      <c r="BB130" s="1434"/>
      <c r="BC130" s="1434"/>
    </row>
    <row r="131" spans="2:55" ht="82.8" x14ac:dyDescent="0.25">
      <c r="B13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1" s="69" t="s">
        <v>1941</v>
      </c>
      <c r="D131" s="69" t="s">
        <v>1940</v>
      </c>
      <c r="E131" s="69" t="s">
        <v>766</v>
      </c>
      <c r="F131" s="1127" t="str">
        <f>VLOOKUP(TBL4_OptApp[[#This Row],[Option type
Defined List]],'Option Typs_Grps'!B$2:C$47, 2, FALSE)</f>
        <v>Resource Options</v>
      </c>
      <c r="G131" s="70" t="s">
        <v>1954</v>
      </c>
      <c r="H131" s="70" t="s">
        <v>1959</v>
      </c>
      <c r="I131" s="70" t="s">
        <v>1957</v>
      </c>
      <c r="J131" s="1436"/>
      <c r="K131" s="1436"/>
      <c r="L131" s="1436"/>
      <c r="M131" s="1436"/>
      <c r="N131" s="1436"/>
      <c r="O131" s="1436"/>
      <c r="P131" s="1436"/>
      <c r="Q131" s="1436"/>
      <c r="R131" s="69" t="s">
        <v>2003</v>
      </c>
      <c r="S131" s="1436" t="s">
        <v>761</v>
      </c>
      <c r="T131" s="1436" t="s">
        <v>761</v>
      </c>
      <c r="U131" s="1436"/>
      <c r="V131" s="1436"/>
      <c r="W131" s="1436"/>
      <c r="X131" s="1436"/>
      <c r="Y131" s="1436"/>
      <c r="Z131" s="1436"/>
      <c r="AA131" s="1436"/>
      <c r="AB131" s="1436"/>
      <c r="AC131" s="1436"/>
      <c r="AD131" s="1436"/>
      <c r="AE131" s="1436"/>
      <c r="AF131" s="1436"/>
      <c r="AG131" s="1436"/>
      <c r="AH131" s="1442"/>
      <c r="AI131" s="1436"/>
      <c r="AJ131" s="1436"/>
      <c r="AK131" s="1436"/>
      <c r="AL131" s="1436"/>
      <c r="AM131" s="1436"/>
      <c r="AN131" s="1436"/>
      <c r="AO131" s="1436"/>
      <c r="AP131" s="1436"/>
      <c r="AQ131" s="1436"/>
      <c r="AR131" s="1436"/>
      <c r="AS131" s="1436"/>
      <c r="AT131" s="1436"/>
      <c r="AU131" s="1436"/>
      <c r="AV131" s="1436"/>
      <c r="AW131" s="1436"/>
      <c r="AX131" s="1435"/>
      <c r="AY131" s="1434"/>
      <c r="AZ131" s="1434"/>
      <c r="BA131" s="1435"/>
      <c r="BB131" s="1434"/>
      <c r="BC131" s="1434"/>
    </row>
    <row r="132" spans="2:55" ht="69" x14ac:dyDescent="0.25">
      <c r="B13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2" s="69" t="s">
        <v>1942</v>
      </c>
      <c r="D132" s="69" t="s">
        <v>1943</v>
      </c>
      <c r="E132" s="69" t="s">
        <v>1202</v>
      </c>
      <c r="F132" s="1127" t="str">
        <f>VLOOKUP(TBL4_OptApp[[#This Row],[Option type
Defined List]],'Option Typs_Grps'!B$2:C$47, 2, FALSE)</f>
        <v>Resource Options</v>
      </c>
      <c r="G132" s="70" t="s">
        <v>1954</v>
      </c>
      <c r="H132" s="70" t="s">
        <v>1959</v>
      </c>
      <c r="I132" s="70" t="s">
        <v>1676</v>
      </c>
      <c r="J132" s="1436"/>
      <c r="K132" s="1436"/>
      <c r="L132" s="1436"/>
      <c r="M132" s="1436"/>
      <c r="N132" s="1436"/>
      <c r="O132" s="1436"/>
      <c r="P132" s="1436"/>
      <c r="Q132" s="1436"/>
      <c r="R132" s="69" t="s">
        <v>2004</v>
      </c>
      <c r="S132" s="1436" t="s">
        <v>761</v>
      </c>
      <c r="T132" s="1436" t="s">
        <v>761</v>
      </c>
      <c r="U132" s="1436"/>
      <c r="V132" s="1436"/>
      <c r="W132" s="1436"/>
      <c r="X132" s="1436"/>
      <c r="Y132" s="1436"/>
      <c r="Z132" s="1436"/>
      <c r="AA132" s="1436"/>
      <c r="AB132" s="1436"/>
      <c r="AC132" s="1436"/>
      <c r="AD132" s="1436"/>
      <c r="AE132" s="1436"/>
      <c r="AF132" s="1436"/>
      <c r="AG132" s="1436"/>
      <c r="AH132" s="1442"/>
      <c r="AI132" s="1436"/>
      <c r="AJ132" s="1436"/>
      <c r="AK132" s="1436"/>
      <c r="AL132" s="1436"/>
      <c r="AM132" s="1436"/>
      <c r="AN132" s="1436"/>
      <c r="AO132" s="1436"/>
      <c r="AP132" s="1436"/>
      <c r="AQ132" s="1436"/>
      <c r="AR132" s="1436"/>
      <c r="AS132" s="1436"/>
      <c r="AT132" s="1436"/>
      <c r="AU132" s="1436"/>
      <c r="AV132" s="1436"/>
      <c r="AW132" s="1436"/>
      <c r="AX132" s="1435"/>
      <c r="AY132" s="1434"/>
      <c r="AZ132" s="1434"/>
      <c r="BA132" s="1435"/>
      <c r="BB132" s="1434"/>
      <c r="BC132" s="1434"/>
    </row>
    <row r="133" spans="2:55" ht="41.4" x14ac:dyDescent="0.25">
      <c r="B13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3" s="69" t="s">
        <v>1944</v>
      </c>
      <c r="D133" s="69" t="s">
        <v>1945</v>
      </c>
      <c r="E133" s="69" t="s">
        <v>770</v>
      </c>
      <c r="F133" s="1127" t="str">
        <f>VLOOKUP(TBL4_OptApp[[#This Row],[Option type
Defined List]],'Option Typs_Grps'!B$2:C$47, 2, FALSE)</f>
        <v>Resource Options</v>
      </c>
      <c r="G133" s="70" t="s">
        <v>1954</v>
      </c>
      <c r="H133" s="70" t="s">
        <v>1958</v>
      </c>
      <c r="I133" s="70" t="s">
        <v>1676</v>
      </c>
      <c r="J133" s="69" t="s">
        <v>1956</v>
      </c>
      <c r="K133" s="69">
        <v>0</v>
      </c>
      <c r="L133" s="69" t="s">
        <v>1676</v>
      </c>
      <c r="M133" s="69" t="s">
        <v>1676</v>
      </c>
      <c r="N133" s="69" t="s">
        <v>1676</v>
      </c>
      <c r="O133" s="69" t="s">
        <v>1676</v>
      </c>
      <c r="P133" s="69" t="s">
        <v>1676</v>
      </c>
      <c r="Q133" s="69" t="s">
        <v>1676</v>
      </c>
      <c r="R133" s="1436"/>
      <c r="S133" s="69" t="s">
        <v>761</v>
      </c>
      <c r="T133" s="69" t="s">
        <v>761</v>
      </c>
      <c r="U133" s="69">
        <v>1.4</v>
      </c>
      <c r="V133" s="69">
        <v>7</v>
      </c>
      <c r="W133" s="69" t="s">
        <v>1956</v>
      </c>
      <c r="X133" s="69">
        <v>9.1322940803640602</v>
      </c>
      <c r="Y133" s="69">
        <v>0.39332017004252401</v>
      </c>
      <c r="Z133" s="69">
        <v>0.39332017004252401</v>
      </c>
      <c r="AA133" s="69">
        <v>1.4</v>
      </c>
      <c r="AB133" s="69">
        <v>1.4</v>
      </c>
      <c r="AC133" s="69">
        <v>2231.6285280000002</v>
      </c>
      <c r="AD133" s="69">
        <v>3631.8315336999999</v>
      </c>
      <c r="AE133" s="69">
        <v>3631.8315336999999</v>
      </c>
      <c r="AF133" s="69">
        <v>10.192848936940296</v>
      </c>
      <c r="AG133" s="69">
        <v>13.025180762405078</v>
      </c>
      <c r="AH133" s="69">
        <v>16.339081856099138</v>
      </c>
      <c r="AI133" s="1436"/>
      <c r="AJ133" s="1436"/>
      <c r="AK133" s="1436"/>
      <c r="AL133" s="1436"/>
      <c r="AM133" s="1436"/>
      <c r="AN133" s="1436"/>
      <c r="AO133" s="1436"/>
      <c r="AP133" s="1436"/>
      <c r="AQ133" s="1436"/>
      <c r="AR133" s="1436"/>
      <c r="AS133" s="1436"/>
      <c r="AT133" s="1436"/>
      <c r="AU133" s="1436"/>
      <c r="AV133" s="1436"/>
      <c r="AW133" s="1436"/>
      <c r="AX133" s="1435">
        <v>5.9812500000000002</v>
      </c>
      <c r="AY133" s="1435">
        <v>-30.125</v>
      </c>
      <c r="AZ133" s="1435">
        <v>3.17</v>
      </c>
      <c r="BA133" s="1435">
        <v>-11.65</v>
      </c>
      <c r="BB133" s="1435">
        <v>6.51</v>
      </c>
      <c r="BC133" s="1435">
        <v>-11.64</v>
      </c>
    </row>
    <row r="134" spans="2:55" ht="41.4" x14ac:dyDescent="0.25">
      <c r="B134"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4" s="69" t="s">
        <v>1946</v>
      </c>
      <c r="D134" s="69" t="s">
        <v>1947</v>
      </c>
      <c r="E134" s="69" t="s">
        <v>770</v>
      </c>
      <c r="F134" s="1127" t="str">
        <f>VLOOKUP(TBL4_OptApp[[#This Row],[Option type
Defined List]],'Option Typs_Grps'!B$2:C$47, 2, FALSE)</f>
        <v>Resource Options</v>
      </c>
      <c r="G134" s="70" t="s">
        <v>1954</v>
      </c>
      <c r="H134" s="70" t="s">
        <v>1958</v>
      </c>
      <c r="I134" s="70" t="s">
        <v>1676</v>
      </c>
      <c r="J134" s="69" t="s">
        <v>1956</v>
      </c>
      <c r="K134" s="69">
        <v>0</v>
      </c>
      <c r="L134" s="69" t="s">
        <v>1676</v>
      </c>
      <c r="M134" s="69" t="s">
        <v>1676</v>
      </c>
      <c r="N134" s="69" t="s">
        <v>1676</v>
      </c>
      <c r="O134" s="69" t="s">
        <v>1676</v>
      </c>
      <c r="P134" s="69" t="s">
        <v>1676</v>
      </c>
      <c r="Q134" s="69" t="s">
        <v>1676</v>
      </c>
      <c r="R134" s="1436"/>
      <c r="S134" s="69" t="s">
        <v>761</v>
      </c>
      <c r="T134" s="69" t="s">
        <v>761</v>
      </c>
      <c r="U134" s="69">
        <v>1.1000000000000001</v>
      </c>
      <c r="V134" s="69">
        <v>5</v>
      </c>
      <c r="W134" s="69" t="s">
        <v>1956</v>
      </c>
      <c r="X134" s="69">
        <v>14.186953225739664</v>
      </c>
      <c r="Y134" s="69">
        <v>0.21632898164196349</v>
      </c>
      <c r="Z134" s="69">
        <v>0.21632898164196349</v>
      </c>
      <c r="AA134" s="69">
        <v>1.1000000000000001</v>
      </c>
      <c r="AB134" s="69">
        <v>1.1000000000000001</v>
      </c>
      <c r="AC134" s="69">
        <v>4819.8082453333327</v>
      </c>
      <c r="AD134" s="69">
        <v>284.33662059999995</v>
      </c>
      <c r="AE134" s="69">
        <v>284.33662059999995</v>
      </c>
      <c r="AF134" s="69">
        <v>2.5251135307527526</v>
      </c>
      <c r="AG134" s="69">
        <v>29.732404615829456</v>
      </c>
      <c r="AH134" s="69">
        <v>16.141806259556134</v>
      </c>
      <c r="AI134" s="1436"/>
      <c r="AJ134" s="1436"/>
      <c r="AK134" s="1436"/>
      <c r="AL134" s="1436"/>
      <c r="AM134" s="1436"/>
      <c r="AN134" s="1436"/>
      <c r="AO134" s="1436"/>
      <c r="AP134" s="1436"/>
      <c r="AQ134" s="1436"/>
      <c r="AR134" s="1436"/>
      <c r="AS134" s="1436"/>
      <c r="AT134" s="1436"/>
      <c r="AU134" s="1436"/>
      <c r="AV134" s="1436"/>
      <c r="AW134" s="1436"/>
      <c r="AX134" s="1435">
        <v>5.9812500000000002</v>
      </c>
      <c r="AY134" s="1435">
        <v>-30.125</v>
      </c>
      <c r="AZ134" s="1435">
        <v>3.17</v>
      </c>
      <c r="BA134" s="1435">
        <v>-9.32</v>
      </c>
      <c r="BB134" s="1435">
        <v>8.68</v>
      </c>
      <c r="BC134" s="1435">
        <v>-17.46</v>
      </c>
    </row>
    <row r="135" spans="2:55" ht="41.4" x14ac:dyDescent="0.25">
      <c r="B135"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5" s="69" t="s">
        <v>1948</v>
      </c>
      <c r="D135" s="69" t="s">
        <v>1949</v>
      </c>
      <c r="E135" s="69" t="s">
        <v>773</v>
      </c>
      <c r="F135" s="1127" t="str">
        <f>VLOOKUP(TBL4_OptApp[[#This Row],[Option type
Defined List]],'Option Typs_Grps'!B$2:C$47, 2, FALSE)</f>
        <v>Resource Options</v>
      </c>
      <c r="G135" s="70" t="s">
        <v>1954</v>
      </c>
      <c r="H135" s="70" t="s">
        <v>1959</v>
      </c>
      <c r="I135" s="70" t="s">
        <v>1957</v>
      </c>
      <c r="J135" s="1436"/>
      <c r="K135" s="1436"/>
      <c r="L135" s="1436"/>
      <c r="M135" s="1436"/>
      <c r="N135" s="1436"/>
      <c r="O135" s="1436"/>
      <c r="P135" s="1436"/>
      <c r="Q135" s="1436"/>
      <c r="R135" s="69" t="s">
        <v>2005</v>
      </c>
      <c r="S135" s="1436" t="s">
        <v>761</v>
      </c>
      <c r="T135" s="1436" t="s">
        <v>761</v>
      </c>
      <c r="U135" s="1436"/>
      <c r="V135" s="1436"/>
      <c r="W135" s="1436"/>
      <c r="X135" s="1436"/>
      <c r="Y135" s="1436"/>
      <c r="Z135" s="1436"/>
      <c r="AA135" s="1436"/>
      <c r="AB135" s="1436"/>
      <c r="AC135" s="1436"/>
      <c r="AD135" s="1436"/>
      <c r="AE135" s="1436"/>
      <c r="AF135" s="1436"/>
      <c r="AG135" s="1436"/>
      <c r="AH135" s="1442"/>
      <c r="AI135" s="1436"/>
      <c r="AJ135" s="1436"/>
      <c r="AK135" s="1436"/>
      <c r="AL135" s="1436"/>
      <c r="AM135" s="1436"/>
      <c r="AN135" s="1436"/>
      <c r="AO135" s="1436"/>
      <c r="AP135" s="1436"/>
      <c r="AQ135" s="1436"/>
      <c r="AR135" s="1436"/>
      <c r="AS135" s="1436"/>
      <c r="AT135" s="1436"/>
      <c r="AU135" s="1436"/>
      <c r="AV135" s="1436"/>
      <c r="AW135" s="1436"/>
      <c r="AX135" s="1435"/>
      <c r="AY135" s="1434"/>
      <c r="AZ135" s="1434"/>
      <c r="BA135" s="1435"/>
      <c r="BB135" s="1434"/>
      <c r="BC135" s="1434"/>
    </row>
    <row r="136" spans="2:55" ht="69" x14ac:dyDescent="0.25">
      <c r="B136"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6" s="69" t="s">
        <v>1950</v>
      </c>
      <c r="D136" s="69" t="s">
        <v>1951</v>
      </c>
      <c r="E136" s="69" t="s">
        <v>778</v>
      </c>
      <c r="F136" s="1127" t="str">
        <f>VLOOKUP(TBL4_OptApp[[#This Row],[Option type
Defined List]],'Option Typs_Grps'!B$2:C$47, 2, FALSE)</f>
        <v>Customer Options</v>
      </c>
      <c r="G136" s="70" t="s">
        <v>1954</v>
      </c>
      <c r="H136" s="70" t="s">
        <v>1959</v>
      </c>
      <c r="I136" s="70" t="s">
        <v>1676</v>
      </c>
      <c r="J136" s="1436"/>
      <c r="K136" s="1436"/>
      <c r="L136" s="1436"/>
      <c r="M136" s="1436"/>
      <c r="N136" s="1436"/>
      <c r="O136" s="1436"/>
      <c r="P136" s="1436"/>
      <c r="Q136" s="1436"/>
      <c r="R136" s="69" t="s">
        <v>2006</v>
      </c>
      <c r="S136" s="1436" t="s">
        <v>761</v>
      </c>
      <c r="T136" s="1436" t="s">
        <v>761</v>
      </c>
      <c r="U136" s="1436"/>
      <c r="V136" s="1436"/>
      <c r="W136" s="1436"/>
      <c r="X136" s="1436"/>
      <c r="Y136" s="1436"/>
      <c r="Z136" s="1436"/>
      <c r="AA136" s="1436"/>
      <c r="AB136" s="1436"/>
      <c r="AC136" s="1436"/>
      <c r="AD136" s="1436"/>
      <c r="AE136" s="1436"/>
      <c r="AF136" s="1436"/>
      <c r="AG136" s="1436"/>
      <c r="AH136" s="1442"/>
      <c r="AI136" s="1436"/>
      <c r="AJ136" s="1436"/>
      <c r="AK136" s="1436"/>
      <c r="AL136" s="1436"/>
      <c r="AM136" s="1436"/>
      <c r="AN136" s="1436"/>
      <c r="AO136" s="1436"/>
      <c r="AP136" s="1436"/>
      <c r="AQ136" s="1436"/>
      <c r="AR136" s="1436"/>
      <c r="AS136" s="1436"/>
      <c r="AT136" s="1436"/>
      <c r="AU136" s="1436"/>
      <c r="AV136" s="1436"/>
      <c r="AW136" s="1436"/>
      <c r="AX136" s="1435"/>
      <c r="AY136" s="1434"/>
      <c r="AZ136" s="1434"/>
      <c r="BA136" s="1435"/>
      <c r="BB136" s="1434"/>
      <c r="BC136" s="1434"/>
    </row>
    <row r="137" spans="2:55" ht="27.6" x14ac:dyDescent="0.25">
      <c r="B137"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7" s="69" t="s">
        <v>1952</v>
      </c>
      <c r="D137" s="69" t="s">
        <v>1953</v>
      </c>
      <c r="E137" s="69" t="s">
        <v>769</v>
      </c>
      <c r="F137" s="1127" t="str">
        <f>VLOOKUP(TBL4_OptApp[[#This Row],[Option type
Defined List]],'Option Typs_Grps'!B$2:C$47, 2, FALSE)</f>
        <v>Resource Options</v>
      </c>
      <c r="G137" s="70" t="s">
        <v>1954</v>
      </c>
      <c r="H137" s="70" t="s">
        <v>1958</v>
      </c>
      <c r="I137" s="70" t="s">
        <v>1676</v>
      </c>
      <c r="J137" s="69" t="s">
        <v>1956</v>
      </c>
      <c r="K137" s="69">
        <v>0</v>
      </c>
      <c r="L137" s="69" t="s">
        <v>1676</v>
      </c>
      <c r="M137" s="69" t="s">
        <v>1676</v>
      </c>
      <c r="N137" s="69" t="s">
        <v>1676</v>
      </c>
      <c r="O137" s="69" t="s">
        <v>1676</v>
      </c>
      <c r="P137" s="69" t="s">
        <v>1676</v>
      </c>
      <c r="Q137" s="69" t="s">
        <v>1676</v>
      </c>
      <c r="R137" s="1436"/>
      <c r="S137" s="69" t="s">
        <v>761</v>
      </c>
      <c r="T137" s="69" t="s">
        <v>761</v>
      </c>
      <c r="U137" s="69">
        <v>2.4</v>
      </c>
      <c r="V137" s="69">
        <v>3</v>
      </c>
      <c r="W137" s="69" t="s">
        <v>1956</v>
      </c>
      <c r="X137" s="69">
        <v>5.553841524206482</v>
      </c>
      <c r="Y137" s="69">
        <v>0.10712690241525945</v>
      </c>
      <c r="Z137" s="69">
        <v>0.10712690241525945</v>
      </c>
      <c r="AA137" s="69">
        <v>2.4</v>
      </c>
      <c r="AB137" s="69">
        <v>2.4</v>
      </c>
      <c r="AC137" s="69">
        <v>382.72865466666667</v>
      </c>
      <c r="AD137" s="69">
        <v>14.414361</v>
      </c>
      <c r="AE137" s="69">
        <v>14.414361</v>
      </c>
      <c r="AF137" s="69">
        <v>0.18223876272972991</v>
      </c>
      <c r="AG137" s="69">
        <v>7.5387461939177669</v>
      </c>
      <c r="AH137" s="69">
        <v>7.1971961810834673</v>
      </c>
      <c r="AI137" s="1436"/>
      <c r="AJ137" s="1436"/>
      <c r="AK137" s="1436"/>
      <c r="AL137" s="1436"/>
      <c r="AM137" s="1436"/>
      <c r="AN137" s="1436"/>
      <c r="AO137" s="1436"/>
      <c r="AP137" s="1436"/>
      <c r="AQ137" s="1436"/>
      <c r="AR137" s="1436"/>
      <c r="AS137" s="1436"/>
      <c r="AT137" s="1436"/>
      <c r="AU137" s="1436"/>
      <c r="AV137" s="1436"/>
      <c r="AW137" s="1436"/>
      <c r="AX137" s="1435">
        <v>5.9812500000000002</v>
      </c>
      <c r="AY137" s="1435">
        <v>-22.5</v>
      </c>
      <c r="AZ137" s="1435">
        <v>3.17</v>
      </c>
      <c r="BA137" s="1435">
        <v>-6.99</v>
      </c>
      <c r="BB137" s="1435">
        <v>6.51</v>
      </c>
      <c r="BC137" s="1435">
        <v>-20.37</v>
      </c>
    </row>
    <row r="138" spans="2:55" ht="55.2" x14ac:dyDescent="0.25">
      <c r="B138"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38" s="1453" t="s">
        <v>2013</v>
      </c>
      <c r="D138" s="66" t="s">
        <v>2027</v>
      </c>
      <c r="E138" s="69" t="s">
        <v>776</v>
      </c>
      <c r="F138" s="1209" t="str">
        <f>VLOOKUP(TBL4_OptApp[[#This Row],[Option type
Defined List]],'Option Typs_Grps'!B$2:C$47, 2, FALSE)</f>
        <v>Customer Options</v>
      </c>
      <c r="G138" s="70" t="s">
        <v>1954</v>
      </c>
      <c r="H138" s="70" t="s">
        <v>1958</v>
      </c>
      <c r="I138" s="1455" t="s">
        <v>1676</v>
      </c>
      <c r="J138" s="69" t="s">
        <v>1956</v>
      </c>
      <c r="K138" s="69">
        <v>0</v>
      </c>
      <c r="L138" s="69" t="s">
        <v>1957</v>
      </c>
      <c r="M138" s="69" t="s">
        <v>1957</v>
      </c>
      <c r="N138" s="69" t="s">
        <v>1957</v>
      </c>
      <c r="O138" s="69" t="s">
        <v>1676</v>
      </c>
      <c r="P138" s="69" t="s">
        <v>1676</v>
      </c>
      <c r="Q138" s="69" t="s">
        <v>1676</v>
      </c>
      <c r="R138" s="1436"/>
      <c r="S138" s="69" t="s">
        <v>761</v>
      </c>
      <c r="T138" s="69" t="s">
        <v>761</v>
      </c>
      <c r="U138" s="69">
        <v>0.15</v>
      </c>
      <c r="V138" s="69">
        <v>0</v>
      </c>
      <c r="W138" s="69" t="s">
        <v>1956</v>
      </c>
      <c r="X138" s="69">
        <v>0</v>
      </c>
      <c r="Y138" s="69">
        <v>2.1874999999999999E-2</v>
      </c>
      <c r="Z138" s="69">
        <v>2.1874999999999999E-2</v>
      </c>
      <c r="AA138" s="69">
        <v>0.15</v>
      </c>
      <c r="AB138" s="69">
        <v>0.3</v>
      </c>
      <c r="AC138" s="69">
        <v>0</v>
      </c>
      <c r="AD138" s="69">
        <v>0</v>
      </c>
      <c r="AE138" s="69">
        <v>0</v>
      </c>
      <c r="AF138" s="69">
        <v>0</v>
      </c>
      <c r="AG138" s="69">
        <v>2180.9785063216905</v>
      </c>
      <c r="AH138" s="69">
        <v>1.1940857322111256</v>
      </c>
      <c r="AI138" s="1436"/>
      <c r="AJ138" s="1436"/>
      <c r="AK138" s="1436"/>
      <c r="AL138" s="1436"/>
      <c r="AM138" s="1436"/>
      <c r="AN138" s="1436"/>
      <c r="AO138" s="1436"/>
      <c r="AP138" s="1436"/>
      <c r="AQ138" s="1436"/>
      <c r="AR138" s="1436"/>
      <c r="AS138" s="1436"/>
      <c r="AT138" s="1436"/>
      <c r="AU138" s="1436"/>
      <c r="AV138" s="1436"/>
      <c r="AW138" s="1436"/>
      <c r="AX138" s="1435">
        <v>1.9937499999999999</v>
      </c>
      <c r="AY138" s="1435">
        <v>0</v>
      </c>
      <c r="AZ138" s="1435">
        <v>6.34</v>
      </c>
      <c r="BA138" s="1435">
        <v>0</v>
      </c>
      <c r="BB138" s="1435">
        <v>0</v>
      </c>
      <c r="BC138" s="1435">
        <v>0</v>
      </c>
    </row>
    <row r="139" spans="2:55" ht="27.6" x14ac:dyDescent="0.25">
      <c r="B139"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39" s="1453" t="s">
        <v>2014</v>
      </c>
      <c r="D139" s="66" t="s">
        <v>2028</v>
      </c>
      <c r="E139" s="69" t="s">
        <v>1280</v>
      </c>
      <c r="F139" s="1209" t="str">
        <f>VLOOKUP(TBL4_OptApp[[#This Row],[Option type
Defined List]],'Option Typs_Grps'!B$2:C$47, 2, FALSE)</f>
        <v>Customer Options</v>
      </c>
      <c r="G139" s="70" t="s">
        <v>1954</v>
      </c>
      <c r="H139" s="70" t="s">
        <v>1958</v>
      </c>
      <c r="I139" s="70" t="s">
        <v>1676</v>
      </c>
      <c r="J139" s="69" t="s">
        <v>1956</v>
      </c>
      <c r="K139" s="69">
        <v>0</v>
      </c>
      <c r="L139" s="1454" t="s">
        <v>1957</v>
      </c>
      <c r="M139" s="1454" t="s">
        <v>1957</v>
      </c>
      <c r="N139" s="1454" t="s">
        <v>1957</v>
      </c>
      <c r="O139" s="69" t="s">
        <v>1676</v>
      </c>
      <c r="P139" s="69" t="s">
        <v>1676</v>
      </c>
      <c r="Q139" s="69" t="s">
        <v>1676</v>
      </c>
      <c r="R139" s="1436"/>
      <c r="S139" s="69" t="s">
        <v>761</v>
      </c>
      <c r="T139" s="69" t="s">
        <v>761</v>
      </c>
      <c r="U139" s="69">
        <v>8.4784211052244657E-4</v>
      </c>
      <c r="V139" s="69">
        <v>0</v>
      </c>
      <c r="W139" s="69" t="s">
        <v>1956</v>
      </c>
      <c r="X139" s="69">
        <v>0</v>
      </c>
      <c r="Y139" s="69">
        <v>0.15431281250000001</v>
      </c>
      <c r="Z139" s="69">
        <v>0.15431281250000001</v>
      </c>
      <c r="AA139" s="69">
        <v>8.4784211052244657E-4</v>
      </c>
      <c r="AB139" s="69">
        <v>0.67374999999999996</v>
      </c>
      <c r="AC139" s="69">
        <v>9760.8774999999951</v>
      </c>
      <c r="AD139" s="69">
        <v>58.044489059678568</v>
      </c>
      <c r="AE139" s="69">
        <v>18.317869586877613</v>
      </c>
      <c r="AF139" s="69">
        <v>2.5036119387196281</v>
      </c>
      <c r="AG139" s="69">
        <v>3141741.7042054855</v>
      </c>
      <c r="AH139" s="69">
        <v>9.7225083478163796</v>
      </c>
      <c r="AI139" s="1436"/>
      <c r="AJ139" s="1436"/>
      <c r="AK139" s="1436"/>
      <c r="AL139" s="1436"/>
      <c r="AM139" s="1436"/>
      <c r="AN139" s="1436"/>
      <c r="AO139" s="1436"/>
      <c r="AP139" s="1436"/>
      <c r="AQ139" s="1436"/>
      <c r="AR139" s="1436"/>
      <c r="AS139" s="1436"/>
      <c r="AT139" s="1436"/>
      <c r="AU139" s="1436"/>
      <c r="AV139" s="1436"/>
      <c r="AW139" s="1436"/>
      <c r="AX139" s="1435">
        <v>0</v>
      </c>
      <c r="AY139" s="1435">
        <v>-7.5</v>
      </c>
      <c r="AZ139" s="1435">
        <v>6.34</v>
      </c>
      <c r="BA139" s="1435">
        <v>0</v>
      </c>
      <c r="BB139" s="1435">
        <v>0</v>
      </c>
      <c r="BC139" s="1435">
        <v>-2.91</v>
      </c>
    </row>
    <row r="140" spans="2:55" ht="55.2" x14ac:dyDescent="0.25">
      <c r="B140"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0" s="1453" t="s">
        <v>2015</v>
      </c>
      <c r="D140" s="66" t="s">
        <v>2029</v>
      </c>
      <c r="E140" s="69" t="s">
        <v>776</v>
      </c>
      <c r="F140" s="1209" t="str">
        <f>VLOOKUP(TBL4_OptApp[[#This Row],[Option type
Defined List]],'Option Typs_Grps'!B$2:C$47, 2, FALSE)</f>
        <v>Customer Options</v>
      </c>
      <c r="G140" s="70" t="s">
        <v>1954</v>
      </c>
      <c r="H140" s="70" t="s">
        <v>1958</v>
      </c>
      <c r="I140" s="70" t="s">
        <v>1676</v>
      </c>
      <c r="J140" s="69" t="s">
        <v>1956</v>
      </c>
      <c r="K140" s="69">
        <v>0</v>
      </c>
      <c r="L140" s="1454" t="s">
        <v>1957</v>
      </c>
      <c r="M140" s="1454" t="s">
        <v>1957</v>
      </c>
      <c r="N140" s="1454" t="s">
        <v>1957</v>
      </c>
      <c r="O140" s="69" t="s">
        <v>1676</v>
      </c>
      <c r="P140" s="69" t="s">
        <v>1676</v>
      </c>
      <c r="Q140" s="69" t="s">
        <v>1676</v>
      </c>
      <c r="R140" s="1436"/>
      <c r="S140" s="69" t="s">
        <v>761</v>
      </c>
      <c r="T140" s="69" t="s">
        <v>761</v>
      </c>
      <c r="U140" s="69">
        <v>1.7464180616127041E-2</v>
      </c>
      <c r="V140" s="69">
        <v>0</v>
      </c>
      <c r="W140" s="69" t="s">
        <v>1956</v>
      </c>
      <c r="X140" s="69">
        <v>0</v>
      </c>
      <c r="Y140" s="69">
        <v>6.9712499999999997E-2</v>
      </c>
      <c r="Z140" s="69">
        <v>6.9712499999999997E-2</v>
      </c>
      <c r="AA140" s="69">
        <v>1.7464180616127041E-2</v>
      </c>
      <c r="AB140" s="69">
        <v>0.11</v>
      </c>
      <c r="AC140" s="69">
        <v>0</v>
      </c>
      <c r="AD140" s="69">
        <v>0</v>
      </c>
      <c r="AE140" s="69">
        <v>0</v>
      </c>
      <c r="AF140" s="69">
        <v>0</v>
      </c>
      <c r="AG140" s="69">
        <v>60981.897347907543</v>
      </c>
      <c r="AH140" s="69">
        <v>3.8872458740326126</v>
      </c>
      <c r="AI140" s="1436"/>
      <c r="AJ140" s="1436"/>
      <c r="AK140" s="1436"/>
      <c r="AL140" s="1436"/>
      <c r="AM140" s="1436"/>
      <c r="AN140" s="1436"/>
      <c r="AO140" s="1436"/>
      <c r="AP140" s="1436"/>
      <c r="AQ140" s="1436"/>
      <c r="AR140" s="1436"/>
      <c r="AS140" s="1436"/>
      <c r="AT140" s="1436"/>
      <c r="AU140" s="1436"/>
      <c r="AV140" s="1436"/>
      <c r="AW140" s="1436"/>
      <c r="AX140" s="1435">
        <v>1.9937499999999999</v>
      </c>
      <c r="AY140" s="1435">
        <v>0</v>
      </c>
      <c r="AZ140" s="1435">
        <v>6.34</v>
      </c>
      <c r="BA140" s="1435">
        <v>0</v>
      </c>
      <c r="BB140" s="1435">
        <v>0</v>
      </c>
      <c r="BC140" s="1435">
        <v>0</v>
      </c>
    </row>
    <row r="141" spans="2:55" ht="55.2" x14ac:dyDescent="0.25">
      <c r="B141"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1" s="1453" t="s">
        <v>2016</v>
      </c>
      <c r="D141" s="66" t="s">
        <v>2030</v>
      </c>
      <c r="E141" s="69" t="s">
        <v>776</v>
      </c>
      <c r="F141" s="1209" t="str">
        <f>VLOOKUP(TBL4_OptApp[[#This Row],[Option type
Defined List]],'Option Typs_Grps'!B$2:C$47, 2, FALSE)</f>
        <v>Customer Options</v>
      </c>
      <c r="G141" s="70" t="s">
        <v>1954</v>
      </c>
      <c r="H141" s="70" t="s">
        <v>1958</v>
      </c>
      <c r="I141" s="70" t="s">
        <v>1676</v>
      </c>
      <c r="J141" s="69" t="s">
        <v>1956</v>
      </c>
      <c r="K141" s="69">
        <v>0</v>
      </c>
      <c r="L141" s="1454" t="s">
        <v>1957</v>
      </c>
      <c r="M141" s="1454" t="s">
        <v>1957</v>
      </c>
      <c r="N141" s="1454" t="s">
        <v>1957</v>
      </c>
      <c r="O141" s="69" t="s">
        <v>1676</v>
      </c>
      <c r="P141" s="69" t="s">
        <v>1676</v>
      </c>
      <c r="Q141" s="69" t="s">
        <v>1676</v>
      </c>
      <c r="R141" s="1436"/>
      <c r="S141" s="69" t="s">
        <v>761</v>
      </c>
      <c r="T141" s="69" t="s">
        <v>761</v>
      </c>
      <c r="U141" s="69">
        <v>8.9774740238543398</v>
      </c>
      <c r="V141" s="69">
        <v>0</v>
      </c>
      <c r="W141" s="69" t="s">
        <v>1956</v>
      </c>
      <c r="X141" s="69">
        <v>0</v>
      </c>
      <c r="Y141" s="69">
        <v>0.12024375</v>
      </c>
      <c r="Z141" s="69">
        <v>0.12024375</v>
      </c>
      <c r="AA141" s="69">
        <v>8.9774740238543398</v>
      </c>
      <c r="AB141" s="69">
        <v>8.9774740238543398</v>
      </c>
      <c r="AC141" s="69">
        <v>2931.6429999999968</v>
      </c>
      <c r="AD141" s="69">
        <v>2.2205199356785568</v>
      </c>
      <c r="AE141" s="69">
        <v>0.97574638844539363</v>
      </c>
      <c r="AF141" s="69">
        <v>0.72422898162922777</v>
      </c>
      <c r="AG141" s="69">
        <v>231.20212866161242</v>
      </c>
      <c r="AH141" s="69">
        <v>7.5759805307660093</v>
      </c>
      <c r="AI141" s="1436"/>
      <c r="AJ141" s="1436"/>
      <c r="AK141" s="1436"/>
      <c r="AL141" s="1436"/>
      <c r="AM141" s="1436"/>
      <c r="AN141" s="1436"/>
      <c r="AO141" s="1436"/>
      <c r="AP141" s="1436"/>
      <c r="AQ141" s="1436"/>
      <c r="AR141" s="1436"/>
      <c r="AS141" s="1436"/>
      <c r="AT141" s="1436"/>
      <c r="AU141" s="1436"/>
      <c r="AV141" s="1436"/>
      <c r="AW141" s="1436"/>
      <c r="AX141" s="1435">
        <v>0</v>
      </c>
      <c r="AY141" s="1435">
        <v>-4.5</v>
      </c>
      <c r="AZ141" s="1435">
        <v>6.34</v>
      </c>
      <c r="BA141" s="1435">
        <v>0</v>
      </c>
      <c r="BB141" s="1435">
        <v>4.34</v>
      </c>
      <c r="BC141" s="1435">
        <v>-2.91</v>
      </c>
    </row>
    <row r="142" spans="2:55" ht="55.2" x14ac:dyDescent="0.25">
      <c r="B142"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2" s="1453" t="s">
        <v>2017</v>
      </c>
      <c r="D142" s="66" t="s">
        <v>2031</v>
      </c>
      <c r="E142" s="69" t="s">
        <v>776</v>
      </c>
      <c r="F142" s="1209" t="str">
        <f>VLOOKUP(TBL4_OptApp[[#This Row],[Option type
Defined List]],'Option Typs_Grps'!B$2:C$47, 2, FALSE)</f>
        <v>Customer Options</v>
      </c>
      <c r="G142" s="70" t="s">
        <v>1954</v>
      </c>
      <c r="H142" s="70" t="s">
        <v>1958</v>
      </c>
      <c r="I142" s="70" t="s">
        <v>1676</v>
      </c>
      <c r="J142" s="69" t="s">
        <v>1956</v>
      </c>
      <c r="K142" s="69">
        <v>0</v>
      </c>
      <c r="L142" s="1454" t="s">
        <v>1957</v>
      </c>
      <c r="M142" s="1454" t="s">
        <v>1957</v>
      </c>
      <c r="N142" s="1454" t="s">
        <v>1957</v>
      </c>
      <c r="O142" s="69" t="s">
        <v>1676</v>
      </c>
      <c r="P142" s="69" t="s">
        <v>1676</v>
      </c>
      <c r="Q142" s="69" t="s">
        <v>1676</v>
      </c>
      <c r="R142" s="1436"/>
      <c r="S142" s="69" t="s">
        <v>761</v>
      </c>
      <c r="T142" s="69" t="s">
        <v>761</v>
      </c>
      <c r="U142" s="69">
        <v>21.631689493827057</v>
      </c>
      <c r="V142" s="69">
        <v>0</v>
      </c>
      <c r="W142" s="69" t="s">
        <v>1956</v>
      </c>
      <c r="X142" s="69">
        <v>0</v>
      </c>
      <c r="Y142" s="69">
        <v>0.18263437500000002</v>
      </c>
      <c r="Z142" s="69">
        <v>0.18263437500000002</v>
      </c>
      <c r="AA142" s="69">
        <v>21.631689493827057</v>
      </c>
      <c r="AB142" s="69">
        <v>21.631689493827057</v>
      </c>
      <c r="AC142" s="69">
        <v>8300.4349999999922</v>
      </c>
      <c r="AD142" s="69">
        <v>0</v>
      </c>
      <c r="AE142" s="69">
        <v>0</v>
      </c>
      <c r="AF142" s="69">
        <v>2.0336065750000016</v>
      </c>
      <c r="AG142" s="69">
        <v>132.35537104908443</v>
      </c>
      <c r="AH142" s="69">
        <v>10.450206556215324</v>
      </c>
      <c r="AI142" s="1436"/>
      <c r="AJ142" s="1436"/>
      <c r="AK142" s="1436"/>
      <c r="AL142" s="1436"/>
      <c r="AM142" s="1436"/>
      <c r="AN142" s="1436"/>
      <c r="AO142" s="1436"/>
      <c r="AP142" s="1436"/>
      <c r="AQ142" s="1436"/>
      <c r="AR142" s="1436"/>
      <c r="AS142" s="1436"/>
      <c r="AT142" s="1436"/>
      <c r="AU142" s="1436"/>
      <c r="AV142" s="1436"/>
      <c r="AW142" s="1436"/>
      <c r="AX142" s="1435">
        <v>0</v>
      </c>
      <c r="AY142" s="1435">
        <v>-4.5</v>
      </c>
      <c r="AZ142" s="1435">
        <v>6.34</v>
      </c>
      <c r="BA142" s="1435">
        <v>0</v>
      </c>
      <c r="BB142" s="1435">
        <v>0</v>
      </c>
      <c r="BC142" s="1435">
        <v>0</v>
      </c>
    </row>
    <row r="143" spans="2:55" ht="55.2" x14ac:dyDescent="0.25">
      <c r="B143" s="120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3" s="1453" t="s">
        <v>2018</v>
      </c>
      <c r="D143" s="66" t="s">
        <v>2032</v>
      </c>
      <c r="E143" s="69" t="s">
        <v>776</v>
      </c>
      <c r="F143" s="1209" t="str">
        <f>VLOOKUP(TBL4_OptApp[[#This Row],[Option type
Defined List]],'Option Typs_Grps'!B$2:C$47, 2, FALSE)</f>
        <v>Customer Options</v>
      </c>
      <c r="G143" s="70" t="s">
        <v>1954</v>
      </c>
      <c r="H143" s="70" t="s">
        <v>1958</v>
      </c>
      <c r="I143" s="70" t="s">
        <v>1676</v>
      </c>
      <c r="J143" s="69" t="s">
        <v>1956</v>
      </c>
      <c r="K143" s="69">
        <v>0</v>
      </c>
      <c r="L143" s="1454" t="s">
        <v>1676</v>
      </c>
      <c r="M143" s="1454" t="s">
        <v>1676</v>
      </c>
      <c r="N143" s="1454" t="s">
        <v>1676</v>
      </c>
      <c r="O143" s="69" t="s">
        <v>1676</v>
      </c>
      <c r="P143" s="69" t="s">
        <v>1676</v>
      </c>
      <c r="Q143" s="69" t="s">
        <v>1676</v>
      </c>
      <c r="R143" s="1436"/>
      <c r="S143" s="69" t="s">
        <v>761</v>
      </c>
      <c r="T143" s="69" t="s">
        <v>761</v>
      </c>
      <c r="U143" s="69">
        <v>3.1206934315170055E-2</v>
      </c>
      <c r="V143" s="69">
        <v>0</v>
      </c>
      <c r="W143" s="69" t="s">
        <v>1956</v>
      </c>
      <c r="X143" s="69">
        <v>0</v>
      </c>
      <c r="Y143" s="69">
        <v>0.19348656249999999</v>
      </c>
      <c r="Z143" s="69">
        <v>0.19348656249999999</v>
      </c>
      <c r="AA143" s="69">
        <v>3.1206934315170055E-2</v>
      </c>
      <c r="AB143" s="69">
        <v>0.58574999999999999</v>
      </c>
      <c r="AC143" s="69">
        <v>2578.4329999999968</v>
      </c>
      <c r="AD143" s="69">
        <v>2.1930897166071341</v>
      </c>
      <c r="AE143" s="69">
        <v>0.86109207328017279</v>
      </c>
      <c r="AF143" s="69">
        <v>0.63699027394884289</v>
      </c>
      <c r="AG143" s="69">
        <v>102377.24051214076</v>
      </c>
      <c r="AH143" s="69">
        <v>11.661311343112216</v>
      </c>
      <c r="AI143" s="1436"/>
      <c r="AJ143" s="1436"/>
      <c r="AK143" s="1436"/>
      <c r="AL143" s="1436"/>
      <c r="AM143" s="1436"/>
      <c r="AN143" s="1436"/>
      <c r="AO143" s="1436"/>
      <c r="AP143" s="1436"/>
      <c r="AQ143" s="1436"/>
      <c r="AR143" s="1436"/>
      <c r="AS143" s="1436"/>
      <c r="AT143" s="1436"/>
      <c r="AU143" s="1436"/>
      <c r="AV143" s="1436"/>
      <c r="AW143" s="1436"/>
      <c r="AX143" s="1435">
        <v>0</v>
      </c>
      <c r="AY143" s="1435">
        <v>-4.5</v>
      </c>
      <c r="AZ143" s="1435">
        <v>6.34</v>
      </c>
      <c r="BA143" s="1435">
        <v>0</v>
      </c>
      <c r="BB143" s="1435">
        <v>0</v>
      </c>
      <c r="BC143" s="1435">
        <v>-2.91</v>
      </c>
    </row>
    <row r="144" spans="2:55" ht="15" thickBot="1" x14ac:dyDescent="0.35">
      <c r="B144" s="1448"/>
      <c r="C144" s="1446"/>
      <c r="D144" s="1446"/>
      <c r="E144" s="1449"/>
      <c r="F144" s="1446"/>
      <c r="G144" s="1447"/>
      <c r="H144" s="1450"/>
      <c r="I144" s="1450"/>
      <c r="J144" s="1450"/>
      <c r="K144" s="1450"/>
      <c r="L144" s="1450"/>
      <c r="M144" s="66"/>
      <c r="N144" s="1450"/>
      <c r="O144" s="1450"/>
      <c r="P144" s="1450"/>
      <c r="Q144" s="1450"/>
      <c r="R144" s="1446"/>
      <c r="S144" s="1446"/>
      <c r="T144" s="1446"/>
      <c r="U144" s="1446"/>
      <c r="V144" s="1446"/>
      <c r="W144" s="1446"/>
      <c r="X144" s="1446"/>
      <c r="Y144" s="1446"/>
      <c r="Z144" s="1446"/>
      <c r="AA144" s="1446"/>
      <c r="AB144" s="1446"/>
      <c r="AC144" s="1446"/>
      <c r="AD144" s="1446"/>
      <c r="AE144" s="1446"/>
      <c r="AF144" s="1446"/>
      <c r="AG144" s="1446"/>
      <c r="AH144" s="1451"/>
      <c r="AI144" s="1446"/>
      <c r="AJ144" s="1446"/>
      <c r="AK144" s="1452"/>
      <c r="AL144" s="1446"/>
      <c r="AM144" s="1452"/>
      <c r="AN144" s="1446"/>
      <c r="AO144" s="1452"/>
      <c r="AP144" s="1446"/>
      <c r="AQ144" s="1452"/>
      <c r="AR144" s="1446"/>
      <c r="AS144" s="1452"/>
      <c r="AT144" s="1446"/>
      <c r="AU144" s="1452"/>
      <c r="AV144" s="1446"/>
      <c r="AW144" s="1446"/>
      <c r="AX144" s="1446"/>
      <c r="AY144" s="1446"/>
      <c r="AZ144" s="1446"/>
      <c r="BA144" s="1446"/>
      <c r="BB144" s="1446"/>
      <c r="BC144" s="1446"/>
    </row>
    <row r="145" spans="2:53" ht="14.4" thickBot="1" x14ac:dyDescent="0.3">
      <c r="C145" s="1" t="s">
        <v>514</v>
      </c>
      <c r="H145" s="71"/>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BA145" s="67"/>
    </row>
    <row r="146" spans="2:53" ht="27.6" x14ac:dyDescent="0.25">
      <c r="B146" s="73"/>
      <c r="C146" s="74" t="s">
        <v>779</v>
      </c>
      <c r="D146" s="74"/>
      <c r="E146" s="74" t="s">
        <v>533</v>
      </c>
      <c r="F146" s="74" t="s">
        <v>146</v>
      </c>
      <c r="G146" s="75">
        <v>2</v>
      </c>
    </row>
    <row r="147" spans="2:53" x14ac:dyDescent="0.25">
      <c r="B147" s="76"/>
      <c r="C147" s="1" t="s">
        <v>693</v>
      </c>
      <c r="E147" s="1" t="s">
        <v>521</v>
      </c>
      <c r="F147" s="1" t="s">
        <v>146</v>
      </c>
      <c r="G147" s="77">
        <v>2</v>
      </c>
    </row>
    <row r="148" spans="2:53" ht="27.6" x14ac:dyDescent="0.25">
      <c r="B148" s="76"/>
      <c r="C148" s="1" t="s">
        <v>780</v>
      </c>
      <c r="E148" s="1" t="s">
        <v>524</v>
      </c>
      <c r="F148" s="1" t="s">
        <v>146</v>
      </c>
      <c r="G148" s="77">
        <v>2</v>
      </c>
    </row>
    <row r="149" spans="2:53" ht="55.2" x14ac:dyDescent="0.25">
      <c r="B149" s="76"/>
      <c r="C149" s="1" t="s">
        <v>781</v>
      </c>
      <c r="E149" s="1" t="s">
        <v>545</v>
      </c>
      <c r="F149" s="1" t="s">
        <v>146</v>
      </c>
      <c r="G149" s="77">
        <v>2</v>
      </c>
    </row>
    <row r="150" spans="2:53" ht="41.4" x14ac:dyDescent="0.25">
      <c r="B150" s="76"/>
      <c r="C150" s="1" t="s">
        <v>782</v>
      </c>
      <c r="E150" s="1" t="s">
        <v>527</v>
      </c>
      <c r="F150" s="1" t="s">
        <v>146</v>
      </c>
      <c r="G150" s="77">
        <v>2</v>
      </c>
    </row>
    <row r="151" spans="2:53" ht="27.6" x14ac:dyDescent="0.25">
      <c r="B151" s="76"/>
      <c r="C151" s="1" t="s">
        <v>783</v>
      </c>
      <c r="E151" s="1" t="s">
        <v>530</v>
      </c>
      <c r="F151" s="1" t="s">
        <v>146</v>
      </c>
      <c r="G151" s="77">
        <v>2</v>
      </c>
    </row>
    <row r="152" spans="2:53" ht="41.4" x14ac:dyDescent="0.25">
      <c r="B152" s="76"/>
      <c r="C152" s="1" t="s">
        <v>535</v>
      </c>
      <c r="E152" s="1" t="s">
        <v>536</v>
      </c>
      <c r="F152" s="1" t="s">
        <v>146</v>
      </c>
      <c r="G152" s="77">
        <v>2</v>
      </c>
    </row>
    <row r="153" spans="2:53" ht="27.6" x14ac:dyDescent="0.25">
      <c r="B153" s="76"/>
      <c r="C153" s="1" t="s">
        <v>784</v>
      </c>
      <c r="E153" s="1" t="s">
        <v>548</v>
      </c>
      <c r="F153" s="1" t="s">
        <v>146</v>
      </c>
      <c r="G153" s="77">
        <v>2</v>
      </c>
    </row>
    <row r="154" spans="2:53" ht="28.2" thickBot="1" x14ac:dyDescent="0.3">
      <c r="B154" s="78"/>
      <c r="C154" s="79" t="s">
        <v>785</v>
      </c>
      <c r="D154" s="79"/>
      <c r="E154" s="79" t="s">
        <v>551</v>
      </c>
      <c r="F154" s="79" t="s">
        <v>146</v>
      </c>
      <c r="G154" s="80">
        <v>2</v>
      </c>
    </row>
  </sheetData>
  <mergeCells count="7">
    <mergeCell ref="AV4:AW4"/>
    <mergeCell ref="AT4:AU4"/>
    <mergeCell ref="AJ4:AK4"/>
    <mergeCell ref="AL4:AM4"/>
    <mergeCell ref="AN4:AO4"/>
    <mergeCell ref="AP4:AQ4"/>
    <mergeCell ref="AR4:AS4"/>
  </mergeCells>
  <phoneticPr fontId="38" type="noConversion"/>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0F882768-48DA-43E0-BCF4-D6A7FD1C4815}">
            <xm:f>NOT(IFERROR(MATCH($E60,'Option Typs_Grps'!$B$3:$B$132,0)&gt;0,FALSE))</xm:f>
            <x14:dxf>
              <font>
                <b/>
                <i val="0"/>
                <color theme="0"/>
              </font>
              <fill>
                <patternFill>
                  <bgColor rgb="FFFF0000"/>
                </patternFill>
              </fill>
            </x14:dxf>
          </x14:cfRule>
          <xm:sqref>B60</xm:sqref>
        </x14:conditionalFormatting>
        <x14:conditionalFormatting xmlns:xm="http://schemas.microsoft.com/office/excel/2006/main">
          <x14:cfRule type="expression" priority="175" id="{ACBE9C1C-3ED6-45D2-BF93-074D4D95608D}">
            <xm:f>NOT(IFERROR(MATCH($E6,'Option Typs_Grps'!$B$3:$B$132,0)&gt;0,FALSE))</xm:f>
            <x14:dxf>
              <font>
                <b/>
                <i val="0"/>
                <color theme="0"/>
              </font>
              <fill>
                <patternFill>
                  <bgColor rgb="FFFF0000"/>
                </patternFill>
              </fill>
            </x14:dxf>
          </x14:cfRule>
          <xm:sqref>F6:F137 F144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BT41"/>
  <sheetViews>
    <sheetView zoomScale="70" zoomScaleNormal="70" workbookViewId="0">
      <selection activeCell="T27" sqref="T27"/>
    </sheetView>
  </sheetViews>
  <sheetFormatPr defaultColWidth="8.81640625" defaultRowHeight="13.8" x14ac:dyDescent="0.25"/>
  <cols>
    <col min="1" max="1" width="2.1796875" style="7" customWidth="1"/>
    <col min="2" max="2" width="18.08984375" style="7" customWidth="1"/>
    <col min="3" max="3" width="51.81640625" style="7" customWidth="1"/>
    <col min="4" max="4" width="13" style="7" customWidth="1"/>
    <col min="5" max="5" width="17.81640625" style="7" customWidth="1"/>
    <col min="6" max="6" width="24.1796875" style="7" customWidth="1"/>
    <col min="7" max="7" width="11" style="7" customWidth="1"/>
    <col min="8" max="8" width="23.08984375" style="7" customWidth="1"/>
    <col min="9" max="11" width="16.1796875" style="7" customWidth="1"/>
    <col min="12" max="14" width="8.81640625" style="7" customWidth="1"/>
    <col min="15" max="16384" width="8.81640625" style="7"/>
  </cols>
  <sheetData>
    <row r="1" spans="2:72" ht="14.4" thickBot="1" x14ac:dyDescent="0.3"/>
    <row r="2" spans="2:72" ht="35.1" customHeight="1" thickBot="1" x14ac:dyDescent="0.3">
      <c r="B2" s="425" t="s">
        <v>57</v>
      </c>
      <c r="C2" s="426" t="str">
        <f>'TITLE PAGE'!$D$18</f>
        <v>Bristol Water</v>
      </c>
      <c r="D2" s="425" t="s">
        <v>2</v>
      </c>
      <c r="E2" s="427"/>
      <c r="G2" s="1197" t="s">
        <v>56</v>
      </c>
      <c r="K2" s="1477"/>
    </row>
    <row r="3" spans="2:72" ht="14.4" thickBot="1" x14ac:dyDescent="0.3"/>
    <row r="4" spans="2:72" ht="42" customHeight="1" thickBot="1" x14ac:dyDescent="0.3">
      <c r="B4" s="210" t="s">
        <v>786</v>
      </c>
      <c r="C4" s="81" t="s">
        <v>760</v>
      </c>
      <c r="D4" s="82" t="s">
        <v>760</v>
      </c>
      <c r="E4" s="82" t="s">
        <v>760</v>
      </c>
      <c r="F4" s="82" t="s">
        <v>760</v>
      </c>
      <c r="G4" s="82"/>
      <c r="H4" s="82"/>
      <c r="I4" s="82"/>
      <c r="J4" s="82"/>
      <c r="K4" s="82"/>
      <c r="L4" s="1528" t="s">
        <v>787</v>
      </c>
      <c r="M4" s="1529"/>
      <c r="N4" s="1529"/>
      <c r="O4" s="1529"/>
      <c r="P4" s="1529"/>
      <c r="Q4" s="1529"/>
      <c r="R4" s="1529"/>
      <c r="S4" s="1529"/>
      <c r="T4" s="1529"/>
      <c r="U4" s="1529"/>
      <c r="V4" s="1529"/>
      <c r="W4" s="1529"/>
      <c r="X4" s="1529"/>
      <c r="Y4" s="1529"/>
      <c r="Z4" s="1529"/>
      <c r="AA4" s="1529"/>
      <c r="AB4" s="1529"/>
      <c r="AC4" s="1529"/>
      <c r="AD4" s="1529"/>
      <c r="AE4" s="1529"/>
      <c r="AF4" s="1529"/>
      <c r="AG4" s="1529"/>
      <c r="AH4" s="1529"/>
      <c r="AI4" s="1529"/>
      <c r="AJ4" s="1529"/>
      <c r="AK4" s="1529"/>
      <c r="AL4" s="1529"/>
      <c r="AM4" s="1529"/>
      <c r="AN4" s="1529"/>
      <c r="AO4" s="1529"/>
      <c r="AP4" s="1529"/>
      <c r="AQ4" s="1529"/>
      <c r="AR4" s="1529"/>
      <c r="AS4" s="1529"/>
      <c r="AT4" s="1529"/>
      <c r="AU4" s="1529"/>
      <c r="AV4" s="1529"/>
      <c r="AW4" s="1529"/>
      <c r="AX4" s="1529"/>
      <c r="AY4" s="1529"/>
      <c r="AZ4" s="1529"/>
      <c r="BA4" s="1529"/>
      <c r="BB4" s="1529"/>
      <c r="BC4" s="1529"/>
      <c r="BD4" s="1529"/>
      <c r="BE4" s="1529"/>
      <c r="BF4" s="1529"/>
      <c r="BG4" s="1529"/>
      <c r="BH4" s="1529"/>
      <c r="BI4" s="1529"/>
      <c r="BJ4" s="1529"/>
      <c r="BK4" s="1529"/>
      <c r="BL4" s="1529"/>
      <c r="BM4" s="1529"/>
      <c r="BN4" s="1529"/>
      <c r="BO4" s="1529"/>
      <c r="BP4" s="1529"/>
      <c r="BQ4" s="1529"/>
      <c r="BR4" s="1529"/>
      <c r="BS4" s="1529"/>
      <c r="BT4" s="1529"/>
    </row>
    <row r="5" spans="2:72" ht="42" thickBot="1" x14ac:dyDescent="0.3">
      <c r="B5" s="261" t="s">
        <v>63</v>
      </c>
      <c r="C5" s="262" t="s">
        <v>788</v>
      </c>
      <c r="D5" s="262" t="s">
        <v>714</v>
      </c>
      <c r="E5" s="262" t="s">
        <v>789</v>
      </c>
      <c r="F5" s="262" t="s">
        <v>717</v>
      </c>
      <c r="G5" s="92" t="s">
        <v>790</v>
      </c>
      <c r="H5" s="262" t="s">
        <v>791</v>
      </c>
      <c r="I5" s="92" t="s">
        <v>792</v>
      </c>
      <c r="J5" s="92" t="s">
        <v>117</v>
      </c>
      <c r="K5" s="263" t="s">
        <v>118</v>
      </c>
      <c r="L5" s="1438" t="s">
        <v>119</v>
      </c>
      <c r="M5" s="1438" t="s">
        <v>120</v>
      </c>
      <c r="N5" s="1438" t="s">
        <v>121</v>
      </c>
      <c r="O5" s="1438" t="s">
        <v>122</v>
      </c>
      <c r="P5" s="1438" t="s">
        <v>123</v>
      </c>
      <c r="Q5" s="1438" t="s">
        <v>124</v>
      </c>
      <c r="R5" s="83" t="s">
        <v>125</v>
      </c>
      <c r="S5" s="83" t="s">
        <v>126</v>
      </c>
      <c r="T5" s="83" t="s">
        <v>127</v>
      </c>
      <c r="U5" s="83" t="s">
        <v>128</v>
      </c>
      <c r="V5" s="83" t="s">
        <v>129</v>
      </c>
      <c r="W5" s="83" t="s">
        <v>130</v>
      </c>
      <c r="X5" s="83" t="s">
        <v>157</v>
      </c>
      <c r="Y5" s="83" t="s">
        <v>158</v>
      </c>
      <c r="Z5" s="83" t="s">
        <v>159</v>
      </c>
      <c r="AA5" s="83" t="s">
        <v>160</v>
      </c>
      <c r="AB5" s="83" t="s">
        <v>131</v>
      </c>
      <c r="AC5" s="83" t="s">
        <v>161</v>
      </c>
      <c r="AD5" s="83" t="s">
        <v>162</v>
      </c>
      <c r="AE5" s="83" t="s">
        <v>163</v>
      </c>
      <c r="AF5" s="83" t="s">
        <v>164</v>
      </c>
      <c r="AG5" s="83" t="s">
        <v>132</v>
      </c>
      <c r="AH5" s="83" t="s">
        <v>165</v>
      </c>
      <c r="AI5" s="83" t="s">
        <v>166</v>
      </c>
      <c r="AJ5" s="83" t="s">
        <v>167</v>
      </c>
      <c r="AK5" s="83" t="s">
        <v>168</v>
      </c>
      <c r="AL5" s="83" t="s">
        <v>133</v>
      </c>
      <c r="AM5" s="83" t="s">
        <v>169</v>
      </c>
      <c r="AN5" s="83" t="s">
        <v>170</v>
      </c>
      <c r="AO5" s="83" t="s">
        <v>171</v>
      </c>
      <c r="AP5" s="83" t="s">
        <v>172</v>
      </c>
      <c r="AQ5" s="83" t="s">
        <v>134</v>
      </c>
      <c r="AR5" s="83" t="s">
        <v>173</v>
      </c>
      <c r="AS5" s="83" t="s">
        <v>174</v>
      </c>
      <c r="AT5" s="83" t="s">
        <v>175</v>
      </c>
      <c r="AU5" s="83" t="s">
        <v>176</v>
      </c>
      <c r="AV5" s="83" t="s">
        <v>135</v>
      </c>
      <c r="AW5" s="83" t="s">
        <v>177</v>
      </c>
      <c r="AX5" s="83" t="s">
        <v>178</v>
      </c>
      <c r="AY5" s="83" t="s">
        <v>179</v>
      </c>
      <c r="AZ5" s="83" t="s">
        <v>180</v>
      </c>
      <c r="BA5" s="83" t="s">
        <v>136</v>
      </c>
      <c r="BB5" s="83" t="s">
        <v>181</v>
      </c>
      <c r="BC5" s="83" t="s">
        <v>182</v>
      </c>
      <c r="BD5" s="83" t="s">
        <v>183</v>
      </c>
      <c r="BE5" s="83" t="s">
        <v>184</v>
      </c>
      <c r="BF5" s="83" t="s">
        <v>137</v>
      </c>
      <c r="BG5" s="83" t="s">
        <v>185</v>
      </c>
      <c r="BH5" s="83" t="s">
        <v>186</v>
      </c>
      <c r="BI5" s="83" t="s">
        <v>187</v>
      </c>
      <c r="BJ5" s="83" t="s">
        <v>188</v>
      </c>
      <c r="BK5" s="83" t="s">
        <v>138</v>
      </c>
      <c r="BL5" s="83" t="s">
        <v>189</v>
      </c>
      <c r="BM5" s="83" t="s">
        <v>190</v>
      </c>
      <c r="BN5" s="83" t="s">
        <v>191</v>
      </c>
      <c r="BO5" s="83" t="s">
        <v>192</v>
      </c>
      <c r="BP5" s="84" t="s">
        <v>139</v>
      </c>
      <c r="BQ5" s="85" t="s">
        <v>193</v>
      </c>
      <c r="BR5" s="85" t="s">
        <v>194</v>
      </c>
      <c r="BS5" s="85" t="s">
        <v>195</v>
      </c>
      <c r="BT5" s="85" t="s">
        <v>196</v>
      </c>
    </row>
    <row r="6" spans="2:72" ht="14.4" thickBot="1" x14ac:dyDescent="0.3">
      <c r="B6" s="121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 s="69" t="s">
        <v>2044</v>
      </c>
      <c r="D6" s="69" t="s">
        <v>2054</v>
      </c>
      <c r="E6" s="69" t="s">
        <v>1264</v>
      </c>
      <c r="F6" s="1127" t="s">
        <v>1249</v>
      </c>
      <c r="G6" s="1213" t="s">
        <v>1676</v>
      </c>
      <c r="H6" s="1213" t="s">
        <v>1955</v>
      </c>
      <c r="I6" s="1213" t="s">
        <v>355</v>
      </c>
      <c r="J6" s="1213" t="s">
        <v>146</v>
      </c>
      <c r="K6" s="1437">
        <v>2</v>
      </c>
      <c r="L6" s="1439">
        <v>0</v>
      </c>
      <c r="M6" s="1439">
        <v>0</v>
      </c>
      <c r="N6" s="1439">
        <v>0</v>
      </c>
      <c r="O6" s="1439">
        <v>0</v>
      </c>
      <c r="P6" s="1439">
        <v>0</v>
      </c>
      <c r="Q6" s="1439">
        <v>0</v>
      </c>
      <c r="R6" s="340">
        <v>0.11816332519755564</v>
      </c>
      <c r="S6" s="340">
        <v>0.76917863108668938</v>
      </c>
      <c r="T6" s="340">
        <v>1.451219970315992</v>
      </c>
      <c r="U6" s="340">
        <v>1.9302609665400456</v>
      </c>
      <c r="V6" s="340">
        <v>2.3732168856927491</v>
      </c>
      <c r="W6" s="340">
        <v>2.9474803133962326</v>
      </c>
      <c r="X6" s="340">
        <v>3.5204560331108556</v>
      </c>
      <c r="Y6" s="340">
        <v>4.4431115933794869</v>
      </c>
      <c r="Z6" s="340">
        <v>5.1196349878965526</v>
      </c>
      <c r="AA6" s="340">
        <v>5.7799628589170382</v>
      </c>
      <c r="AB6" s="340">
        <v>6.2410728674324059</v>
      </c>
      <c r="AC6" s="340">
        <v>6.5245793932012344</v>
      </c>
      <c r="AD6" s="340">
        <v>6.8656539202900104</v>
      </c>
      <c r="AE6" s="340">
        <v>7.167416250705176</v>
      </c>
      <c r="AF6" s="340">
        <v>7.6170462291997616</v>
      </c>
      <c r="AG6" s="340">
        <v>7.8762584860039819</v>
      </c>
      <c r="AH6" s="340">
        <v>8.0959845950602016</v>
      </c>
      <c r="AI6" s="340">
        <v>8.2083231038079489</v>
      </c>
      <c r="AJ6" s="340">
        <v>8.3976063523161528</v>
      </c>
      <c r="AK6" s="340">
        <v>8.6457380598996068</v>
      </c>
      <c r="AL6" s="340">
        <v>8.7916537210517376</v>
      </c>
      <c r="AM6" s="340">
        <v>8.9751290556285941</v>
      </c>
      <c r="AN6" s="340">
        <v>9.2092751863506184</v>
      </c>
      <c r="AO6" s="340">
        <v>9.5421329111757469</v>
      </c>
      <c r="AP6" s="340">
        <v>9.8866183552152496</v>
      </c>
      <c r="AQ6" s="340">
        <v>9.8866183552152496</v>
      </c>
      <c r="AR6" s="340">
        <v>9.8866183552152496</v>
      </c>
      <c r="AS6" s="340">
        <v>9.8866183552152496</v>
      </c>
      <c r="AT6" s="340">
        <v>9.8866183552152496</v>
      </c>
      <c r="AU6" s="340">
        <v>9.8866183552152496</v>
      </c>
      <c r="AV6" s="340">
        <v>9.8866183552152496</v>
      </c>
      <c r="AW6" s="340">
        <v>9.8866183552152496</v>
      </c>
      <c r="AX6" s="340">
        <v>9.8866183552152496</v>
      </c>
      <c r="AY6" s="340">
        <v>9.8866183552152496</v>
      </c>
      <c r="AZ6" s="340">
        <v>9.8866183552152496</v>
      </c>
      <c r="BA6" s="340">
        <v>9.8866183552152496</v>
      </c>
      <c r="BB6" s="340">
        <v>9.8866183552152496</v>
      </c>
      <c r="BC6" s="340">
        <v>9.8866183552152496</v>
      </c>
      <c r="BD6" s="340">
        <v>9.8866183552152496</v>
      </c>
      <c r="BE6" s="340">
        <v>9.8866183552152496</v>
      </c>
      <c r="BF6" s="340">
        <v>9.8866183552152496</v>
      </c>
      <c r="BG6" s="340">
        <v>9.8866183552152496</v>
      </c>
      <c r="BH6" s="340">
        <v>9.8866183552152496</v>
      </c>
      <c r="BI6" s="340">
        <v>9.8866183552152496</v>
      </c>
      <c r="BJ6" s="340">
        <v>9.8866183552152496</v>
      </c>
      <c r="BK6" s="340">
        <v>9.8866183552152496</v>
      </c>
      <c r="BL6" s="340">
        <v>9.8866183552152496</v>
      </c>
      <c r="BM6" s="340">
        <v>9.8866183552152496</v>
      </c>
      <c r="BN6" s="340">
        <v>9.8866183552152496</v>
      </c>
      <c r="BO6" s="340">
        <v>9.8866183552152496</v>
      </c>
      <c r="BP6" s="340">
        <v>9.8866183552152496</v>
      </c>
      <c r="BQ6" s="340">
        <v>9.8866183552152496</v>
      </c>
      <c r="BR6" s="340">
        <v>9.8866183552152496</v>
      </c>
      <c r="BS6" s="340">
        <v>9.8866183552152496</v>
      </c>
      <c r="BT6" s="340">
        <v>9.8866183552152496</v>
      </c>
    </row>
    <row r="7" spans="2:72" ht="14.4" thickBot="1" x14ac:dyDescent="0.3">
      <c r="B7"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 s="69" t="s">
        <v>1711</v>
      </c>
      <c r="D7" s="69" t="s">
        <v>1710</v>
      </c>
      <c r="E7" s="69" t="s">
        <v>778</v>
      </c>
      <c r="F7" s="1127" t="s">
        <v>1276</v>
      </c>
      <c r="G7" s="1213" t="s">
        <v>1676</v>
      </c>
      <c r="H7" s="1213" t="s">
        <v>1955</v>
      </c>
      <c r="I7" s="1213" t="s">
        <v>355</v>
      </c>
      <c r="J7" s="1213" t="s">
        <v>146</v>
      </c>
      <c r="K7" s="1437">
        <v>2</v>
      </c>
      <c r="L7" s="1439">
        <v>0</v>
      </c>
      <c r="M7" s="1439">
        <v>0</v>
      </c>
      <c r="N7" s="1439">
        <v>0</v>
      </c>
      <c r="O7" s="1439">
        <v>0</v>
      </c>
      <c r="P7" s="1439">
        <v>0</v>
      </c>
      <c r="Q7" s="1439">
        <v>0</v>
      </c>
      <c r="R7" s="340">
        <v>2.016894357461892E-2</v>
      </c>
      <c r="S7" s="340">
        <v>6.0498599973307685E-2</v>
      </c>
      <c r="T7" s="340">
        <v>0.10086833687293266</v>
      </c>
      <c r="U7" s="340">
        <v>0.14134477832215156</v>
      </c>
      <c r="V7" s="340">
        <v>0.1818830328749475</v>
      </c>
      <c r="W7" s="340">
        <v>0.22248985159096007</v>
      </c>
      <c r="X7" s="340">
        <v>0.26316686489631314</v>
      </c>
      <c r="Y7" s="340">
        <v>0.30391390446634492</v>
      </c>
      <c r="Z7" s="340">
        <v>0.34478783689648401</v>
      </c>
      <c r="AA7" s="340">
        <v>0.38571770776078634</v>
      </c>
      <c r="AB7" s="340">
        <v>0.4267123558788613</v>
      </c>
      <c r="AC7" s="340">
        <v>0.46777899128017414</v>
      </c>
      <c r="AD7" s="340">
        <v>0.50890919725174899</v>
      </c>
      <c r="AE7" s="340">
        <v>0.55021381912111711</v>
      </c>
      <c r="AF7" s="340">
        <v>0.59168095639169438</v>
      </c>
      <c r="AG7" s="340">
        <v>0.59168095639169438</v>
      </c>
      <c r="AH7" s="340">
        <v>0.59168095639169438</v>
      </c>
      <c r="AI7" s="340">
        <v>0.59168095639169438</v>
      </c>
      <c r="AJ7" s="340">
        <v>0.59168095639169438</v>
      </c>
      <c r="AK7" s="340">
        <v>0.59168095639169438</v>
      </c>
      <c r="AL7" s="340">
        <v>0.59168095639169438</v>
      </c>
      <c r="AM7" s="340">
        <v>0.59168095639169438</v>
      </c>
      <c r="AN7" s="340">
        <v>0.59168095639169438</v>
      </c>
      <c r="AO7" s="340">
        <v>0.59168095639169438</v>
      </c>
      <c r="AP7" s="340">
        <v>0.59168095639169438</v>
      </c>
      <c r="AQ7" s="340">
        <v>0.59168095639169438</v>
      </c>
      <c r="AR7" s="340">
        <v>0.59168095639169438</v>
      </c>
      <c r="AS7" s="340">
        <v>0.59168095639169438</v>
      </c>
      <c r="AT7" s="340">
        <v>0.59168095639169438</v>
      </c>
      <c r="AU7" s="340">
        <v>0.59168095639169438</v>
      </c>
      <c r="AV7" s="340">
        <v>0.59168095639169438</v>
      </c>
      <c r="AW7" s="340">
        <v>0.59168095639169438</v>
      </c>
      <c r="AX7" s="340">
        <v>0.59168095639169438</v>
      </c>
      <c r="AY7" s="340">
        <v>0.59168095639169438</v>
      </c>
      <c r="AZ7" s="340">
        <v>0.59168095639169438</v>
      </c>
      <c r="BA7" s="340">
        <v>0.59168095639169438</v>
      </c>
      <c r="BB7" s="340">
        <v>0.59168095639169438</v>
      </c>
      <c r="BC7" s="340">
        <v>0.59168095639169438</v>
      </c>
      <c r="BD7" s="340">
        <v>0.59168095639169438</v>
      </c>
      <c r="BE7" s="340">
        <v>0.59168095639169438</v>
      </c>
      <c r="BF7" s="340">
        <v>0.59168095639169438</v>
      </c>
      <c r="BG7" s="340">
        <v>0.59168095639169438</v>
      </c>
      <c r="BH7" s="340">
        <v>0.59168095639169438</v>
      </c>
      <c r="BI7" s="340">
        <v>0.59168095639169438</v>
      </c>
      <c r="BJ7" s="340">
        <v>0.59168095639169438</v>
      </c>
      <c r="BK7" s="340">
        <v>0.59168095639169438</v>
      </c>
      <c r="BL7" s="340">
        <v>0.59168095639169438</v>
      </c>
      <c r="BM7" s="340">
        <v>0.59168095639169438</v>
      </c>
      <c r="BN7" s="340">
        <v>0.59168095639169438</v>
      </c>
      <c r="BO7" s="340">
        <v>0.59168095639169438</v>
      </c>
      <c r="BP7" s="340">
        <v>0.59168095639169438</v>
      </c>
      <c r="BQ7" s="340">
        <v>0.59168095639169438</v>
      </c>
      <c r="BR7" s="340">
        <v>0.59168095639169438</v>
      </c>
      <c r="BS7" s="340">
        <v>0.59168095639169438</v>
      </c>
      <c r="BT7" s="340">
        <v>0.59168095639169438</v>
      </c>
    </row>
    <row r="8" spans="2:72" ht="29.25" customHeight="1" thickBot="1" x14ac:dyDescent="0.3">
      <c r="B8"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 s="1435" t="s">
        <v>2019</v>
      </c>
      <c r="D8" s="69" t="s">
        <v>2021</v>
      </c>
      <c r="E8" s="69" t="s">
        <v>776</v>
      </c>
      <c r="F8" s="1127" t="s">
        <v>1276</v>
      </c>
      <c r="G8" s="1213" t="s">
        <v>1676</v>
      </c>
      <c r="H8" s="1213" t="s">
        <v>1955</v>
      </c>
      <c r="I8" s="1213" t="s">
        <v>355</v>
      </c>
      <c r="J8" s="1213" t="s">
        <v>146</v>
      </c>
      <c r="K8" s="1437">
        <v>2</v>
      </c>
      <c r="L8" s="1439">
        <v>0</v>
      </c>
      <c r="M8" s="1439">
        <v>0</v>
      </c>
      <c r="N8" s="1439">
        <v>0</v>
      </c>
      <c r="O8" s="1439">
        <v>0</v>
      </c>
      <c r="P8" s="1439">
        <v>0</v>
      </c>
      <c r="Q8" s="1439">
        <v>0</v>
      </c>
      <c r="R8" s="340">
        <v>0.13666656515766601</v>
      </c>
      <c r="S8" s="340">
        <v>0.27007255081391845</v>
      </c>
      <c r="T8" s="340">
        <v>0.40308625240248913</v>
      </c>
      <c r="U8" s="340">
        <v>0.53409851183187318</v>
      </c>
      <c r="V8" s="340">
        <v>0.66618227039761269</v>
      </c>
      <c r="W8" s="340">
        <v>0.79314784195143295</v>
      </c>
      <c r="X8" s="340">
        <v>0.91961333308426008</v>
      </c>
      <c r="Y8" s="340">
        <v>1.045505019981875</v>
      </c>
      <c r="Z8" s="340">
        <v>1.1707978271245445</v>
      </c>
      <c r="AA8" s="340">
        <v>1.2939539318220217</v>
      </c>
      <c r="AB8" s="340">
        <v>1.416975369989852</v>
      </c>
      <c r="AC8" s="340">
        <v>1.5368403015166439</v>
      </c>
      <c r="AD8" s="340">
        <v>1.6565529902877116</v>
      </c>
      <c r="AE8" s="340">
        <v>1.7761126496925772</v>
      </c>
      <c r="AF8" s="340">
        <v>1.8940210412678491</v>
      </c>
      <c r="AG8" s="340">
        <v>1.9481936448902786</v>
      </c>
      <c r="AH8" s="340">
        <v>2.0037949870928253</v>
      </c>
      <c r="AI8" s="340">
        <v>2.060817853582364</v>
      </c>
      <c r="AJ8" s="340">
        <v>2.1177738983309884</v>
      </c>
      <c r="AK8" s="340">
        <v>2.1761945668809792</v>
      </c>
      <c r="AL8" s="340">
        <v>2.2300829949369434</v>
      </c>
      <c r="AM8" s="340">
        <v>2.2824418493934076</v>
      </c>
      <c r="AN8" s="340">
        <v>2.3362574730811381</v>
      </c>
      <c r="AO8" s="340">
        <v>2.3900321633823496</v>
      </c>
      <c r="AP8" s="340">
        <v>2.4422752986978451</v>
      </c>
      <c r="AQ8" s="340">
        <v>2.4959670987718874</v>
      </c>
      <c r="AR8" s="340">
        <v>2.5496105803666937</v>
      </c>
      <c r="AS8" s="340">
        <v>2.6017250922474924</v>
      </c>
      <c r="AT8" s="340">
        <v>2.6552809083775823</v>
      </c>
      <c r="AU8" s="340">
        <v>2.7087880236817226</v>
      </c>
      <c r="AV8" s="340">
        <v>2.7607696681050617</v>
      </c>
      <c r="AW8" s="340">
        <v>2.8141859668765563</v>
      </c>
      <c r="AX8" s="340">
        <v>2.8660747821160197</v>
      </c>
      <c r="AY8" s="340">
        <v>2.919384111411262</v>
      </c>
      <c r="AZ8" s="340">
        <v>2.9726287992992098</v>
      </c>
      <c r="BA8" s="340">
        <v>3.0243406889636137</v>
      </c>
      <c r="BB8" s="340">
        <v>3.0774686874838793</v>
      </c>
      <c r="BC8" s="340">
        <v>3.1305327495483786</v>
      </c>
      <c r="BD8" s="340">
        <v>3.1820695499719203</v>
      </c>
      <c r="BE8" s="340">
        <v>3.2350181083738709</v>
      </c>
      <c r="BF8" s="340">
        <v>3.2864429397057648</v>
      </c>
      <c r="BG8" s="340">
        <v>3.3392767409329633</v>
      </c>
      <c r="BH8" s="340">
        <v>3.392053155595137</v>
      </c>
      <c r="BI8" s="340">
        <v>3.443311120473175</v>
      </c>
      <c r="BJ8" s="340">
        <v>3.4959739079230583</v>
      </c>
      <c r="BK8" s="340">
        <v>3.5485798793413843</v>
      </c>
      <c r="BL8" s="340">
        <v>3.599672636660209</v>
      </c>
      <c r="BM8" s="340">
        <v>3.6521687363305326</v>
      </c>
      <c r="BN8" s="340">
        <v>3.7046085779032998</v>
      </c>
      <c r="BO8" s="340">
        <v>3.7555403108858023</v>
      </c>
      <c r="BP8" s="340">
        <v>3.8078713461906117</v>
      </c>
      <c r="BQ8" s="340">
        <v>3.8587001038935287</v>
      </c>
      <c r="BR8" s="340">
        <v>3.9109255760614228</v>
      </c>
      <c r="BS8" s="340">
        <v>3.9630957067633856</v>
      </c>
      <c r="BT8" s="340">
        <v>4.0137684696662665</v>
      </c>
    </row>
    <row r="9" spans="2:72" ht="43.5" customHeight="1" thickBot="1" x14ac:dyDescent="0.3">
      <c r="B9"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9" s="69" t="s">
        <v>2020</v>
      </c>
      <c r="D9" s="69" t="s">
        <v>2022</v>
      </c>
      <c r="E9" s="69" t="s">
        <v>776</v>
      </c>
      <c r="F9" s="1127" t="s">
        <v>1276</v>
      </c>
      <c r="G9" s="1213" t="s">
        <v>1676</v>
      </c>
      <c r="H9" s="1213" t="s">
        <v>1955</v>
      </c>
      <c r="I9" s="1213" t="s">
        <v>355</v>
      </c>
      <c r="J9" s="1213" t="s">
        <v>146</v>
      </c>
      <c r="K9" s="1437">
        <v>2</v>
      </c>
      <c r="L9" s="1439">
        <v>0</v>
      </c>
      <c r="M9" s="1439">
        <v>0</v>
      </c>
      <c r="N9" s="1439">
        <v>0</v>
      </c>
      <c r="O9" s="1439">
        <v>0</v>
      </c>
      <c r="P9" s="1439">
        <v>0</v>
      </c>
      <c r="Q9" s="1439">
        <v>0</v>
      </c>
      <c r="R9" s="340">
        <v>0.67590083483410013</v>
      </c>
      <c r="S9" s="340">
        <v>2.0124677845200307</v>
      </c>
      <c r="T9" s="340">
        <v>3.3191775102725867</v>
      </c>
      <c r="U9" s="340">
        <v>4.596527597252889</v>
      </c>
      <c r="V9" s="340">
        <v>5.8460874475670472</v>
      </c>
      <c r="W9" s="340">
        <v>6.8281840013746447</v>
      </c>
      <c r="X9" s="340">
        <v>7.5471814572505505</v>
      </c>
      <c r="Y9" s="340">
        <v>8.2481938248947841</v>
      </c>
      <c r="Z9" s="340">
        <v>8.9316010225316678</v>
      </c>
      <c r="AA9" s="340">
        <v>9.5970163627296845</v>
      </c>
      <c r="AB9" s="340">
        <v>10.247633771170593</v>
      </c>
      <c r="AC9" s="340">
        <v>10.885539848450314</v>
      </c>
      <c r="AD9" s="340">
        <v>11.509740164555367</v>
      </c>
      <c r="AE9" s="340">
        <v>12.12206965338093</v>
      </c>
      <c r="AF9" s="340">
        <v>12.723658826950278</v>
      </c>
      <c r="AG9" s="340">
        <v>12.964723908011067</v>
      </c>
      <c r="AH9" s="340">
        <v>12.847531320251967</v>
      </c>
      <c r="AI9" s="340">
        <v>12.724023889631193</v>
      </c>
      <c r="AJ9" s="340">
        <v>12.592990136345545</v>
      </c>
      <c r="AK9" s="340">
        <v>12.455420640487766</v>
      </c>
      <c r="AL9" s="340">
        <v>12.465196766403405</v>
      </c>
      <c r="AM9" s="340">
        <v>12.620172684635588</v>
      </c>
      <c r="AN9" s="340">
        <v>12.766918805595839</v>
      </c>
      <c r="AO9" s="340">
        <v>12.906869945079425</v>
      </c>
      <c r="AP9" s="340">
        <v>13.039185378503891</v>
      </c>
      <c r="AQ9" s="340">
        <v>13.166392256458312</v>
      </c>
      <c r="AR9" s="340">
        <v>13.290449343818043</v>
      </c>
      <c r="AS9" s="340">
        <v>13.408267269681991</v>
      </c>
      <c r="AT9" s="340">
        <v>13.520112940585456</v>
      </c>
      <c r="AU9" s="340">
        <v>13.627904731002719</v>
      </c>
      <c r="AV9" s="340">
        <v>13.73021619633032</v>
      </c>
      <c r="AW9" s="340">
        <v>13.827275375883355</v>
      </c>
      <c r="AX9" s="340">
        <v>13.920410668914977</v>
      </c>
      <c r="AY9" s="340">
        <v>13.952880576638915</v>
      </c>
      <c r="AZ9" s="340">
        <v>13.927457273622354</v>
      </c>
      <c r="BA9" s="340">
        <v>13.903181502947497</v>
      </c>
      <c r="BB9" s="340">
        <v>13.879999133249646</v>
      </c>
      <c r="BC9" s="340">
        <v>13.858413298066653</v>
      </c>
      <c r="BD9" s="340">
        <v>13.847485833892502</v>
      </c>
      <c r="BE9" s="340">
        <v>13.846708018350009</v>
      </c>
      <c r="BF9" s="340">
        <v>13.846488739730249</v>
      </c>
      <c r="BG9" s="340">
        <v>13.846270187615033</v>
      </c>
      <c r="BH9" s="340">
        <v>13.846051414009565</v>
      </c>
      <c r="BI9" s="340">
        <v>13.845838416421181</v>
      </c>
      <c r="BJ9" s="340">
        <v>13.845626124378095</v>
      </c>
      <c r="BK9" s="340">
        <v>13.845962783172615</v>
      </c>
      <c r="BL9" s="340">
        <v>13.845752259335566</v>
      </c>
      <c r="BM9" s="340">
        <v>13.844992228389081</v>
      </c>
      <c r="BN9" s="340">
        <v>13.845331215589363</v>
      </c>
      <c r="BO9" s="340">
        <v>13.845124724746848</v>
      </c>
      <c r="BP9" s="340">
        <v>13.84437047228843</v>
      </c>
      <c r="BQ9" s="340">
        <v>13.844167832454167</v>
      </c>
      <c r="BR9" s="340">
        <v>13.843966812657671</v>
      </c>
      <c r="BS9" s="340">
        <v>13.843763645429336</v>
      </c>
      <c r="BT9" s="340">
        <v>13.843564861391975</v>
      </c>
    </row>
    <row r="10" spans="2:72" ht="15" customHeight="1" thickBot="1" x14ac:dyDescent="0.3">
      <c r="B10"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 s="69" t="s">
        <v>1811</v>
      </c>
      <c r="D10" s="69" t="s">
        <v>1810</v>
      </c>
      <c r="E10" s="69" t="s">
        <v>775</v>
      </c>
      <c r="F10" s="1127" t="s">
        <v>1276</v>
      </c>
      <c r="G10" s="1213" t="s">
        <v>1676</v>
      </c>
      <c r="H10" s="1213" t="s">
        <v>1955</v>
      </c>
      <c r="I10" s="1213" t="s">
        <v>355</v>
      </c>
      <c r="J10" s="1213" t="s">
        <v>146</v>
      </c>
      <c r="K10" s="1437">
        <v>2</v>
      </c>
      <c r="L10" s="1439">
        <v>0</v>
      </c>
      <c r="M10" s="1439">
        <v>0</v>
      </c>
      <c r="N10" s="1439">
        <v>0</v>
      </c>
      <c r="O10" s="1439">
        <v>0</v>
      </c>
      <c r="P10" s="1439">
        <v>0</v>
      </c>
      <c r="Q10" s="1439">
        <v>0</v>
      </c>
      <c r="R10" s="340">
        <v>0</v>
      </c>
      <c r="S10" s="340">
        <v>0</v>
      </c>
      <c r="T10" s="340">
        <v>0</v>
      </c>
      <c r="U10" s="340">
        <v>0</v>
      </c>
      <c r="V10" s="340">
        <v>0</v>
      </c>
      <c r="W10" s="340">
        <v>9.2051999999999995E-2</v>
      </c>
      <c r="X10" s="340">
        <v>0.275868</v>
      </c>
      <c r="Y10" s="340">
        <v>0.46000799999999997</v>
      </c>
      <c r="Z10" s="340">
        <v>0.64490399999999992</v>
      </c>
      <c r="AA10" s="340">
        <v>0.83098799999999995</v>
      </c>
      <c r="AB10" s="340">
        <v>1.0173239999999999</v>
      </c>
      <c r="AC10" s="340">
        <v>1.203444</v>
      </c>
      <c r="AD10" s="340">
        <v>1.3906799999999999</v>
      </c>
      <c r="AE10" s="340">
        <v>1.5790319999999998</v>
      </c>
      <c r="AF10" s="340">
        <v>1.7680319999999998</v>
      </c>
      <c r="AG10" s="340">
        <v>1.9576799999999999</v>
      </c>
      <c r="AH10" s="340">
        <v>2.1475079999999998</v>
      </c>
      <c r="AI10" s="340">
        <v>2.3374799999999998</v>
      </c>
      <c r="AJ10" s="340">
        <v>2.5284959999999996</v>
      </c>
      <c r="AK10" s="340">
        <v>2.7200880000000001</v>
      </c>
      <c r="AL10" s="340">
        <v>2.9113199999999999</v>
      </c>
      <c r="AM10" s="340">
        <v>3.1030559999999996</v>
      </c>
      <c r="AN10" s="340">
        <v>3.2966999999999995</v>
      </c>
      <c r="AO10" s="340">
        <v>3.4917839999999996</v>
      </c>
      <c r="AP10" s="340">
        <v>3.6883079999999997</v>
      </c>
      <c r="AQ10" s="340">
        <v>3.8849759999999995</v>
      </c>
      <c r="AR10" s="340">
        <v>4.0808159999999996</v>
      </c>
      <c r="AS10" s="340">
        <v>4.2775919999999994</v>
      </c>
      <c r="AT10" s="340">
        <v>4.4757720000000001</v>
      </c>
      <c r="AU10" s="340">
        <v>4.6744200000000005</v>
      </c>
      <c r="AV10" s="340">
        <v>4.7737440000000007</v>
      </c>
      <c r="AW10" s="340">
        <v>4.7737440000000007</v>
      </c>
      <c r="AX10" s="340">
        <v>4.7737440000000007</v>
      </c>
      <c r="AY10" s="340">
        <v>4.7737440000000007</v>
      </c>
      <c r="AZ10" s="340">
        <v>4.7737440000000007</v>
      </c>
      <c r="BA10" s="340">
        <v>4.7737440000000007</v>
      </c>
      <c r="BB10" s="340">
        <v>4.7737440000000007</v>
      </c>
      <c r="BC10" s="340">
        <v>4.7737440000000007</v>
      </c>
      <c r="BD10" s="340">
        <v>4.7737440000000007</v>
      </c>
      <c r="BE10" s="340">
        <v>4.7737440000000007</v>
      </c>
      <c r="BF10" s="340">
        <v>4.7737440000000007</v>
      </c>
      <c r="BG10" s="340">
        <v>4.7737440000000007</v>
      </c>
      <c r="BH10" s="340">
        <v>4.7737440000000007</v>
      </c>
      <c r="BI10" s="340">
        <v>4.7737440000000007</v>
      </c>
      <c r="BJ10" s="340">
        <v>4.7737440000000007</v>
      </c>
      <c r="BK10" s="340">
        <v>4.7737440000000007</v>
      </c>
      <c r="BL10" s="340">
        <v>4.7737440000000007</v>
      </c>
      <c r="BM10" s="340">
        <v>4.7737440000000007</v>
      </c>
      <c r="BN10" s="340">
        <v>4.7737440000000007</v>
      </c>
      <c r="BO10" s="340">
        <v>4.7737440000000007</v>
      </c>
      <c r="BP10" s="340">
        <v>4.7737440000000007</v>
      </c>
      <c r="BQ10" s="340">
        <v>4.7737440000000007</v>
      </c>
      <c r="BR10" s="340">
        <v>4.7737440000000007</v>
      </c>
      <c r="BS10" s="340">
        <v>4.7737440000000007</v>
      </c>
      <c r="BT10" s="340">
        <v>4.7737440000000007</v>
      </c>
    </row>
    <row r="11" spans="2:72" ht="43.5" customHeight="1" thickBot="1" x14ac:dyDescent="0.3">
      <c r="B11"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 s="69" t="s">
        <v>1813</v>
      </c>
      <c r="D11" s="69" t="s">
        <v>1812</v>
      </c>
      <c r="E11" s="69" t="s">
        <v>776</v>
      </c>
      <c r="F11" s="1127" t="s">
        <v>1276</v>
      </c>
      <c r="G11" s="1213" t="s">
        <v>1676</v>
      </c>
      <c r="H11" s="1213" t="s">
        <v>1955</v>
      </c>
      <c r="I11" s="1213" t="s">
        <v>355</v>
      </c>
      <c r="J11" s="1213" t="s">
        <v>146</v>
      </c>
      <c r="K11" s="1437">
        <v>2</v>
      </c>
      <c r="L11" s="1439">
        <v>0</v>
      </c>
      <c r="M11" s="1439">
        <v>0</v>
      </c>
      <c r="N11" s="1439">
        <v>0</v>
      </c>
      <c r="O11" s="1439">
        <v>0</v>
      </c>
      <c r="P11" s="1439">
        <v>0</v>
      </c>
      <c r="Q11" s="1439">
        <v>0</v>
      </c>
      <c r="R11" s="340">
        <v>0</v>
      </c>
      <c r="S11" s="340">
        <v>0.77458625999999997</v>
      </c>
      <c r="T11" s="340">
        <v>1.5602605199999999</v>
      </c>
      <c r="U11" s="340">
        <v>2.3562667800000003</v>
      </c>
      <c r="V11" s="340">
        <v>3.1633610399999998</v>
      </c>
      <c r="W11" s="340">
        <v>3.9803462999999999</v>
      </c>
      <c r="X11" s="340">
        <v>4.8077895599999998</v>
      </c>
      <c r="Y11" s="340">
        <v>5.6430448200000001</v>
      </c>
      <c r="Z11" s="340">
        <v>6.4880020800000002</v>
      </c>
      <c r="AA11" s="340">
        <v>7.3415273399999998</v>
      </c>
      <c r="AB11" s="340">
        <v>7.3415273399999998</v>
      </c>
      <c r="AC11" s="340">
        <v>7.3415273399999998</v>
      </c>
      <c r="AD11" s="340">
        <v>7.3415273399999998</v>
      </c>
      <c r="AE11" s="340">
        <v>7.3415273399999998</v>
      </c>
      <c r="AF11" s="340">
        <v>7.3415273399999998</v>
      </c>
      <c r="AG11" s="340">
        <v>7.3415273399999998</v>
      </c>
      <c r="AH11" s="340">
        <v>7.3415273399999998</v>
      </c>
      <c r="AI11" s="340">
        <v>7.3415273399999998</v>
      </c>
      <c r="AJ11" s="340">
        <v>7.3415273399999998</v>
      </c>
      <c r="AK11" s="340">
        <v>7.3415273399999998</v>
      </c>
      <c r="AL11" s="340">
        <v>7.3415273399999998</v>
      </c>
      <c r="AM11" s="340">
        <v>7.3415273399999998</v>
      </c>
      <c r="AN11" s="340">
        <v>7.3415273399999998</v>
      </c>
      <c r="AO11" s="340">
        <v>7.3415273399999998</v>
      </c>
      <c r="AP11" s="340">
        <v>7.3415273399999998</v>
      </c>
      <c r="AQ11" s="340">
        <v>7.3415273399999998</v>
      </c>
      <c r="AR11" s="340">
        <v>7.3415273399999998</v>
      </c>
      <c r="AS11" s="340">
        <v>7.3415273399999998</v>
      </c>
      <c r="AT11" s="340">
        <v>7.3415273399999998</v>
      </c>
      <c r="AU11" s="340">
        <v>7.3415273399999998</v>
      </c>
      <c r="AV11" s="340">
        <v>7.3415273399999998</v>
      </c>
      <c r="AW11" s="340">
        <v>7.3415273399999998</v>
      </c>
      <c r="AX11" s="340">
        <v>7.3415273399999998</v>
      </c>
      <c r="AY11" s="340">
        <v>7.3415273399999998</v>
      </c>
      <c r="AZ11" s="340">
        <v>7.3415273399999998</v>
      </c>
      <c r="BA11" s="340">
        <v>7.3415273399999998</v>
      </c>
      <c r="BB11" s="340">
        <v>7.3415273399999998</v>
      </c>
      <c r="BC11" s="340">
        <v>7.3415273399999998</v>
      </c>
      <c r="BD11" s="340">
        <v>7.3415273399999998</v>
      </c>
      <c r="BE11" s="340">
        <v>7.3415273399999998</v>
      </c>
      <c r="BF11" s="340">
        <v>7.3415273399999998</v>
      </c>
      <c r="BG11" s="340">
        <v>7.3415273399999998</v>
      </c>
      <c r="BH11" s="340">
        <v>7.3415273399999998</v>
      </c>
      <c r="BI11" s="340">
        <v>7.3415273399999998</v>
      </c>
      <c r="BJ11" s="340">
        <v>7.3415273399999998</v>
      </c>
      <c r="BK11" s="340">
        <v>7.3415273399999998</v>
      </c>
      <c r="BL11" s="340">
        <v>7.3415273399999998</v>
      </c>
      <c r="BM11" s="340">
        <v>7.3415273399999998</v>
      </c>
      <c r="BN11" s="340">
        <v>7.3415273399999998</v>
      </c>
      <c r="BO11" s="340">
        <v>7.3415273399999998</v>
      </c>
      <c r="BP11" s="340">
        <v>7.3415273399999998</v>
      </c>
      <c r="BQ11" s="340">
        <v>7.3415273399999998</v>
      </c>
      <c r="BR11" s="340">
        <v>7.3415273399999998</v>
      </c>
      <c r="BS11" s="340">
        <v>7.3415273399999998</v>
      </c>
      <c r="BT11" s="340">
        <v>7.3415273399999998</v>
      </c>
    </row>
    <row r="12" spans="2:72" ht="14.4" thickBot="1" x14ac:dyDescent="0.3">
      <c r="B12"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 s="69" t="s">
        <v>1819</v>
      </c>
      <c r="D12" s="69" t="s">
        <v>1818</v>
      </c>
      <c r="E12" s="69" t="s">
        <v>778</v>
      </c>
      <c r="F12" s="1127" t="s">
        <v>1276</v>
      </c>
      <c r="G12" s="1213" t="s">
        <v>1676</v>
      </c>
      <c r="H12" s="1213" t="s">
        <v>1955</v>
      </c>
      <c r="I12" s="1213" t="s">
        <v>355</v>
      </c>
      <c r="J12" s="1213" t="s">
        <v>146</v>
      </c>
      <c r="K12" s="1437">
        <v>2</v>
      </c>
      <c r="L12" s="1439">
        <v>0</v>
      </c>
      <c r="M12" s="1439">
        <v>0</v>
      </c>
      <c r="N12" s="1439">
        <v>0</v>
      </c>
      <c r="O12" s="1439">
        <v>0</v>
      </c>
      <c r="P12" s="1439">
        <v>0</v>
      </c>
      <c r="Q12" s="1439">
        <v>0</v>
      </c>
      <c r="R12" s="340">
        <v>0</v>
      </c>
      <c r="S12" s="340">
        <v>0</v>
      </c>
      <c r="T12" s="340">
        <v>0</v>
      </c>
      <c r="U12" s="340">
        <v>0</v>
      </c>
      <c r="V12" s="340">
        <v>0</v>
      </c>
      <c r="W12" s="340">
        <v>0.33627161572095365</v>
      </c>
      <c r="X12" s="340">
        <v>0.99132583722168111</v>
      </c>
      <c r="Y12" s="340">
        <v>1.6247969409166372</v>
      </c>
      <c r="Z12" s="340">
        <v>2.2433803287026559</v>
      </c>
      <c r="AA12" s="340">
        <v>2.8542676033289043</v>
      </c>
      <c r="AB12" s="340">
        <v>3.444179322728214</v>
      </c>
      <c r="AC12" s="340">
        <v>4.0064605331282745</v>
      </c>
      <c r="AD12" s="340">
        <v>4.5619106010294059</v>
      </c>
      <c r="AE12" s="340">
        <v>5.1108334269373543</v>
      </c>
      <c r="AF12" s="340">
        <v>5.6468427277397693</v>
      </c>
      <c r="AG12" s="340">
        <v>6.1726191435591984</v>
      </c>
      <c r="AH12" s="340">
        <v>6.6844490816119198</v>
      </c>
      <c r="AI12" s="340">
        <v>7.1824169723543294</v>
      </c>
      <c r="AJ12" s="340">
        <v>7.6793729329395859</v>
      </c>
      <c r="AK12" s="340">
        <v>8.1688628777219385</v>
      </c>
      <c r="AL12" s="340">
        <v>8.6381427207575836</v>
      </c>
      <c r="AM12" s="340">
        <v>9.0999890703398805</v>
      </c>
      <c r="AN12" s="340">
        <v>9.5734923585781235</v>
      </c>
      <c r="AO12" s="340">
        <v>10.052166136714019</v>
      </c>
      <c r="AP12" s="340">
        <v>10.535445104219093</v>
      </c>
      <c r="AQ12" s="340">
        <v>11.004321935909067</v>
      </c>
      <c r="AR12" s="340">
        <v>11.446410088643393</v>
      </c>
      <c r="AS12" s="340">
        <v>11.886718919070368</v>
      </c>
      <c r="AT12" s="340">
        <v>12.33153046305272</v>
      </c>
      <c r="AU12" s="340">
        <v>12.768489722659666</v>
      </c>
      <c r="AV12" s="340">
        <v>12.983466662272889</v>
      </c>
      <c r="AW12" s="340">
        <v>12.983466662272889</v>
      </c>
      <c r="AX12" s="340">
        <v>12.983466662272889</v>
      </c>
      <c r="AY12" s="340">
        <v>12.983466662272889</v>
      </c>
      <c r="AZ12" s="340">
        <v>12.983466662272889</v>
      </c>
      <c r="BA12" s="340">
        <v>12.983466662272889</v>
      </c>
      <c r="BB12" s="340">
        <v>12.983466662272889</v>
      </c>
      <c r="BC12" s="340">
        <v>12.983466662272889</v>
      </c>
      <c r="BD12" s="340">
        <v>12.983466662272889</v>
      </c>
      <c r="BE12" s="340">
        <v>12.983466662272889</v>
      </c>
      <c r="BF12" s="340">
        <v>12.983466662272889</v>
      </c>
      <c r="BG12" s="340">
        <v>12.983466662272889</v>
      </c>
      <c r="BH12" s="340">
        <v>12.983466662272889</v>
      </c>
      <c r="BI12" s="340">
        <v>12.983466662272889</v>
      </c>
      <c r="BJ12" s="340">
        <v>12.983466662272889</v>
      </c>
      <c r="BK12" s="340">
        <v>12.983466662272889</v>
      </c>
      <c r="BL12" s="340">
        <v>12.983466662272889</v>
      </c>
      <c r="BM12" s="340">
        <v>12.983466662272889</v>
      </c>
      <c r="BN12" s="340">
        <v>12.983466662272889</v>
      </c>
      <c r="BO12" s="340">
        <v>12.983466662272889</v>
      </c>
      <c r="BP12" s="340">
        <v>12.983466662272889</v>
      </c>
      <c r="BQ12" s="340">
        <v>12.983466662272889</v>
      </c>
      <c r="BR12" s="340">
        <v>12.983466662272889</v>
      </c>
      <c r="BS12" s="340">
        <v>12.983466662272889</v>
      </c>
      <c r="BT12" s="340">
        <v>12.983466662272889</v>
      </c>
    </row>
    <row r="13" spans="2:72" ht="28.2" thickBot="1" x14ac:dyDescent="0.3">
      <c r="B13"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 s="69" t="s">
        <v>1851</v>
      </c>
      <c r="D13" s="69" t="s">
        <v>1850</v>
      </c>
      <c r="E13" s="69" t="s">
        <v>778</v>
      </c>
      <c r="F13" s="1127" t="s">
        <v>1276</v>
      </c>
      <c r="G13" s="1213" t="s">
        <v>1676</v>
      </c>
      <c r="H13" s="1213" t="s">
        <v>1955</v>
      </c>
      <c r="I13" s="1213" t="s">
        <v>355</v>
      </c>
      <c r="J13" s="1213" t="s">
        <v>146</v>
      </c>
      <c r="K13" s="1437">
        <v>2</v>
      </c>
      <c r="L13" s="1439">
        <v>0</v>
      </c>
      <c r="M13" s="1439">
        <v>0</v>
      </c>
      <c r="N13" s="1439">
        <v>0</v>
      </c>
      <c r="O13" s="1439">
        <v>0</v>
      </c>
      <c r="P13" s="1439">
        <v>0</v>
      </c>
      <c r="Q13" s="1439">
        <v>0</v>
      </c>
      <c r="R13" s="340">
        <v>8.4820795860918591E-2</v>
      </c>
      <c r="S13" s="340">
        <v>0.31514380415426557</v>
      </c>
      <c r="T13" s="340">
        <v>0.66634875004492211</v>
      </c>
      <c r="U13" s="340">
        <v>1.1376223850776428</v>
      </c>
      <c r="V13" s="340">
        <v>1.7283531609188691</v>
      </c>
      <c r="W13" s="340">
        <v>2.4379128045427292</v>
      </c>
      <c r="X13" s="340">
        <v>3.2656526282341707</v>
      </c>
      <c r="Y13" s="340">
        <v>4.2109049670573242</v>
      </c>
      <c r="Z13" s="340">
        <v>5.2728964110752035</v>
      </c>
      <c r="AA13" s="340">
        <v>6.4506935413908488</v>
      </c>
      <c r="AB13" s="340">
        <v>7.7438870316156665</v>
      </c>
      <c r="AC13" s="340">
        <v>9.1520222588030133</v>
      </c>
      <c r="AD13" s="340">
        <v>10.674207662823607</v>
      </c>
      <c r="AE13" s="340">
        <v>12.309382075582148</v>
      </c>
      <c r="AF13" s="340">
        <v>14.056401928858381</v>
      </c>
      <c r="AG13" s="340">
        <v>15.71346305949743</v>
      </c>
      <c r="AH13" s="340">
        <v>17.103814911749851</v>
      </c>
      <c r="AI13" s="340">
        <v>18.252939976973849</v>
      </c>
      <c r="AJ13" s="340">
        <v>19.162336806112773</v>
      </c>
      <c r="AK13" s="340">
        <v>19.833279245531553</v>
      </c>
      <c r="AL13" s="340">
        <v>20.267036315857922</v>
      </c>
      <c r="AM13" s="340">
        <v>20.464877260373171</v>
      </c>
      <c r="AN13" s="340">
        <v>20.428071347165609</v>
      </c>
      <c r="AO13" s="340">
        <v>20.157975778505605</v>
      </c>
      <c r="AP13" s="340">
        <v>19.656091010568957</v>
      </c>
      <c r="AQ13" s="340">
        <v>18.923377639254664</v>
      </c>
      <c r="AR13" s="340">
        <v>17.960826698992427</v>
      </c>
      <c r="AS13" s="340">
        <v>16.769852142242065</v>
      </c>
      <c r="AT13" s="340">
        <v>15.352024299575154</v>
      </c>
      <c r="AU13" s="340">
        <v>13.70898340097691</v>
      </c>
      <c r="AV13" s="340">
        <v>12.01451926813659</v>
      </c>
      <c r="AW13" s="340">
        <v>10.441262201250471</v>
      </c>
      <c r="AX13" s="340">
        <v>8.9883499837954641</v>
      </c>
      <c r="AY13" s="340">
        <v>7.6550973132834619</v>
      </c>
      <c r="AZ13" s="340">
        <v>6.4408418916831014</v>
      </c>
      <c r="BA13" s="340">
        <v>5.3449429713925181</v>
      </c>
      <c r="BB13" s="340">
        <v>4.3667799968454721</v>
      </c>
      <c r="BC13" s="340">
        <v>3.505751364889528</v>
      </c>
      <c r="BD13" s="340">
        <v>2.7612732831913043</v>
      </c>
      <c r="BE13" s="340">
        <v>2.1327787144719519</v>
      </c>
      <c r="BF13" s="340">
        <v>1.6197163892210718</v>
      </c>
      <c r="BG13" s="340">
        <v>1.2215498959556119</v>
      </c>
      <c r="BH13" s="340">
        <v>0.93775684234502366</v>
      </c>
      <c r="BI13" s="340">
        <v>0.76782806591304342</v>
      </c>
      <c r="BJ13" s="340">
        <v>0.71126690489469746</v>
      </c>
      <c r="BK13" s="340">
        <v>0.71126690489469746</v>
      </c>
      <c r="BL13" s="340">
        <v>0.71126690489469746</v>
      </c>
      <c r="BM13" s="340">
        <v>0.71126690489469746</v>
      </c>
      <c r="BN13" s="340">
        <v>0.71126690489469746</v>
      </c>
      <c r="BO13" s="340">
        <v>0.71126690489469746</v>
      </c>
      <c r="BP13" s="340">
        <v>0.71126690489469746</v>
      </c>
      <c r="BQ13" s="340">
        <v>0.71126690489469746</v>
      </c>
      <c r="BR13" s="340">
        <v>0.71126690489469746</v>
      </c>
      <c r="BS13" s="340">
        <v>0.71126690489469746</v>
      </c>
      <c r="BT13" s="340">
        <v>0.71126690489469746</v>
      </c>
    </row>
    <row r="14" spans="2:72" ht="28.2" thickBot="1" x14ac:dyDescent="0.3">
      <c r="B14"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 s="69" t="s">
        <v>1835</v>
      </c>
      <c r="D14" s="69" t="s">
        <v>1834</v>
      </c>
      <c r="E14" s="69" t="s">
        <v>1302</v>
      </c>
      <c r="F14" s="1127" t="s">
        <v>1276</v>
      </c>
      <c r="G14" s="1213" t="s">
        <v>1676</v>
      </c>
      <c r="H14" s="1213" t="s">
        <v>1955</v>
      </c>
      <c r="I14" s="1213" t="s">
        <v>355</v>
      </c>
      <c r="J14" s="1213" t="s">
        <v>146</v>
      </c>
      <c r="K14" s="1437">
        <v>2</v>
      </c>
      <c r="L14" s="1439">
        <v>0</v>
      </c>
      <c r="M14" s="1439">
        <v>0</v>
      </c>
      <c r="N14" s="1439">
        <v>0</v>
      </c>
      <c r="O14" s="1439">
        <v>0</v>
      </c>
      <c r="P14" s="1439">
        <v>0</v>
      </c>
      <c r="Q14" s="1439">
        <v>0</v>
      </c>
      <c r="R14" s="340">
        <v>2.6059998012160079E-2</v>
      </c>
      <c r="S14" s="340">
        <v>7.8226522145200067E-2</v>
      </c>
      <c r="T14" s="340">
        <v>0.13048373707679828</v>
      </c>
      <c r="U14" s="340">
        <v>0.18283732142472187</v>
      </c>
      <c r="V14" s="340">
        <v>0.23530098128397825</v>
      </c>
      <c r="W14" s="340">
        <v>0.2878702349407849</v>
      </c>
      <c r="X14" s="340">
        <v>0.34053684477843471</v>
      </c>
      <c r="Y14" s="340">
        <v>0.39330078863887752</v>
      </c>
      <c r="Z14" s="340">
        <v>0.44616337636248726</v>
      </c>
      <c r="AA14" s="340">
        <v>0.49911604880957894</v>
      </c>
      <c r="AB14" s="340">
        <v>0.52561195689060936</v>
      </c>
      <c r="AC14" s="340">
        <v>0.52561195689060936</v>
      </c>
      <c r="AD14" s="340">
        <v>0.52561195689060936</v>
      </c>
      <c r="AE14" s="340">
        <v>0.52561195689060936</v>
      </c>
      <c r="AF14" s="340">
        <v>0.52561195689060936</v>
      </c>
      <c r="AG14" s="340">
        <v>0.52561195689060936</v>
      </c>
      <c r="AH14" s="340">
        <v>0.52561195689060936</v>
      </c>
      <c r="AI14" s="340">
        <v>0.52561195689060936</v>
      </c>
      <c r="AJ14" s="340">
        <v>0.52561195689060936</v>
      </c>
      <c r="AK14" s="340">
        <v>0.52561195689060936</v>
      </c>
      <c r="AL14" s="340">
        <v>0.52561195689060936</v>
      </c>
      <c r="AM14" s="340">
        <v>0.52561195689060936</v>
      </c>
      <c r="AN14" s="340">
        <v>0.52561195689060936</v>
      </c>
      <c r="AO14" s="340">
        <v>0.52561195689060936</v>
      </c>
      <c r="AP14" s="340">
        <v>0.52561195689060936</v>
      </c>
      <c r="AQ14" s="340">
        <v>0.52561195689060936</v>
      </c>
      <c r="AR14" s="340">
        <v>0.52561195689060936</v>
      </c>
      <c r="AS14" s="340">
        <v>0.52561195689060936</v>
      </c>
      <c r="AT14" s="340">
        <v>0.52561195689060936</v>
      </c>
      <c r="AU14" s="340">
        <v>0.52561195689060936</v>
      </c>
      <c r="AV14" s="340">
        <v>0.52561195689060936</v>
      </c>
      <c r="AW14" s="340">
        <v>0.52561195689060936</v>
      </c>
      <c r="AX14" s="340">
        <v>0.52561195689060936</v>
      </c>
      <c r="AY14" s="340">
        <v>0.52561195689060936</v>
      </c>
      <c r="AZ14" s="340">
        <v>0.52561195689060936</v>
      </c>
      <c r="BA14" s="340">
        <v>0.52561195689060936</v>
      </c>
      <c r="BB14" s="340">
        <v>0.52561195689060936</v>
      </c>
      <c r="BC14" s="340">
        <v>0.52561195689060936</v>
      </c>
      <c r="BD14" s="340">
        <v>0.52561195689060936</v>
      </c>
      <c r="BE14" s="340">
        <v>0.52561195689060936</v>
      </c>
      <c r="BF14" s="340">
        <v>0.52561195689060936</v>
      </c>
      <c r="BG14" s="340">
        <v>0.52561195689060936</v>
      </c>
      <c r="BH14" s="340">
        <v>0.52561195689060936</v>
      </c>
      <c r="BI14" s="340">
        <v>0.52561195689060936</v>
      </c>
      <c r="BJ14" s="340">
        <v>0.52561195689060936</v>
      </c>
      <c r="BK14" s="340">
        <v>0.52561195689060936</v>
      </c>
      <c r="BL14" s="340">
        <v>0.52561195689060936</v>
      </c>
      <c r="BM14" s="340">
        <v>0.52561195689060936</v>
      </c>
      <c r="BN14" s="340">
        <v>0.52561195689060936</v>
      </c>
      <c r="BO14" s="340">
        <v>0.52561195689060936</v>
      </c>
      <c r="BP14" s="340">
        <v>0.52561195689060936</v>
      </c>
      <c r="BQ14" s="340">
        <v>0.52561195689060936</v>
      </c>
      <c r="BR14" s="340">
        <v>0.52561195689060936</v>
      </c>
      <c r="BS14" s="340">
        <v>0.52561195689060936</v>
      </c>
      <c r="BT14" s="340">
        <v>0.52561195689060936</v>
      </c>
    </row>
    <row r="15" spans="2:72" ht="82.5" customHeight="1" thickBot="1" x14ac:dyDescent="0.3">
      <c r="B15"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 s="69" t="s">
        <v>1870</v>
      </c>
      <c r="D15" s="69" t="s">
        <v>1869</v>
      </c>
      <c r="E15" s="69" t="s">
        <v>1311</v>
      </c>
      <c r="F15" s="1127" t="s">
        <v>1276</v>
      </c>
      <c r="G15" s="1213" t="s">
        <v>1676</v>
      </c>
      <c r="H15" s="1213" t="s">
        <v>1955</v>
      </c>
      <c r="I15" s="1213" t="s">
        <v>355</v>
      </c>
      <c r="J15" s="1213" t="s">
        <v>146</v>
      </c>
      <c r="K15" s="1437">
        <v>2</v>
      </c>
      <c r="L15" s="1439">
        <v>0</v>
      </c>
      <c r="M15" s="1439">
        <v>0</v>
      </c>
      <c r="N15" s="1439">
        <v>0</v>
      </c>
      <c r="O15" s="1439">
        <v>0</v>
      </c>
      <c r="P15" s="1439">
        <v>0</v>
      </c>
      <c r="Q15" s="1439">
        <v>0</v>
      </c>
      <c r="R15" s="340">
        <v>6.3027948670684114E-3</v>
      </c>
      <c r="S15" s="340">
        <v>1.5745887681811253E-2</v>
      </c>
      <c r="T15" s="340">
        <v>2.2014517529726416E-2</v>
      </c>
      <c r="U15" s="340">
        <v>2.8260913641300036E-2</v>
      </c>
      <c r="V15" s="340">
        <v>3.4488001959861785E-2</v>
      </c>
      <c r="W15" s="340">
        <v>4.0697023252590711E-2</v>
      </c>
      <c r="X15" s="340">
        <v>4.6888362652144369E-2</v>
      </c>
      <c r="Y15" s="340">
        <v>5.3062183386070952E-2</v>
      </c>
      <c r="Z15" s="340">
        <v>5.9217923862187168E-2</v>
      </c>
      <c r="AA15" s="340">
        <v>6.5966984543410476E-2</v>
      </c>
      <c r="AB15" s="340">
        <v>7.3309337175953504E-2</v>
      </c>
      <c r="AC15" s="340">
        <v>8.063178429163996E-2</v>
      </c>
      <c r="AD15" s="340">
        <v>8.7933035455978414E-2</v>
      </c>
      <c r="AE15" s="340">
        <v>9.5211437169518562E-2</v>
      </c>
      <c r="AF15" s="340">
        <v>0.10246519973855719</v>
      </c>
      <c r="AG15" s="340">
        <v>0.10969625223521133</v>
      </c>
      <c r="AH15" s="340">
        <v>0.11690738168369515</v>
      </c>
      <c r="AI15" s="340">
        <v>0.12409964322410434</v>
      </c>
      <c r="AJ15" s="340">
        <v>0.13127344263655846</v>
      </c>
      <c r="AK15" s="340">
        <v>0.13842916608983355</v>
      </c>
      <c r="AL15" s="340">
        <v>0.14556718135961327</v>
      </c>
      <c r="AM15" s="340">
        <v>0.15268783905795197</v>
      </c>
      <c r="AN15" s="340">
        <v>0.15979147370130953</v>
      </c>
      <c r="AO15" s="340">
        <v>0.16687840467244094</v>
      </c>
      <c r="AP15" s="340">
        <v>0.1739489370853517</v>
      </c>
      <c r="AQ15" s="340">
        <v>0.17748014092424247</v>
      </c>
      <c r="AR15" s="340">
        <v>0.17748014092424247</v>
      </c>
      <c r="AS15" s="340">
        <v>0.17748014092424247</v>
      </c>
      <c r="AT15" s="340">
        <v>0.17748014092424247</v>
      </c>
      <c r="AU15" s="340">
        <v>0.17748014092424247</v>
      </c>
      <c r="AV15" s="340">
        <v>0.17748014092424247</v>
      </c>
      <c r="AW15" s="340">
        <v>0.17748014092424247</v>
      </c>
      <c r="AX15" s="340">
        <v>0.17748014092424247</v>
      </c>
      <c r="AY15" s="340">
        <v>0.17748014092424247</v>
      </c>
      <c r="AZ15" s="340">
        <v>0.17748014092424247</v>
      </c>
      <c r="BA15" s="340">
        <v>0.17748014092424247</v>
      </c>
      <c r="BB15" s="340">
        <v>0.17748014092424247</v>
      </c>
      <c r="BC15" s="340">
        <v>0.17748014092424247</v>
      </c>
      <c r="BD15" s="340">
        <v>0.17748014092424247</v>
      </c>
      <c r="BE15" s="340">
        <v>0.17748014092424247</v>
      </c>
      <c r="BF15" s="340">
        <v>0.17748014092424247</v>
      </c>
      <c r="BG15" s="340">
        <v>0.17748014092424247</v>
      </c>
      <c r="BH15" s="340">
        <v>0.17748014092424247</v>
      </c>
      <c r="BI15" s="340">
        <v>0.17748014092424247</v>
      </c>
      <c r="BJ15" s="340">
        <v>0.17748014092424247</v>
      </c>
      <c r="BK15" s="340">
        <v>0.17748014092424247</v>
      </c>
      <c r="BL15" s="340">
        <v>0.17748014092424247</v>
      </c>
      <c r="BM15" s="340">
        <v>0.17748014092424247</v>
      </c>
      <c r="BN15" s="340">
        <v>0.17748014092424247</v>
      </c>
      <c r="BO15" s="340">
        <v>0.17748014092424247</v>
      </c>
      <c r="BP15" s="340">
        <v>0.17748014092424247</v>
      </c>
      <c r="BQ15" s="340">
        <v>0.17748014092424247</v>
      </c>
      <c r="BR15" s="340">
        <v>0.17748014092424247</v>
      </c>
      <c r="BS15" s="340">
        <v>0.17748014092424247</v>
      </c>
      <c r="BT15" s="340">
        <v>0.17748014092424247</v>
      </c>
    </row>
    <row r="16" spans="2:72" ht="82.5" customHeight="1" thickBot="1" x14ac:dyDescent="0.3">
      <c r="B16"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 s="69" t="s">
        <v>1882</v>
      </c>
      <c r="D16" s="1475" t="s">
        <v>1881</v>
      </c>
      <c r="E16" s="69" t="s">
        <v>777</v>
      </c>
      <c r="F16" s="1476" t="str">
        <f>VLOOKUP(TBL4_OptApp[[#This Row],[Option type
Defined List]],'Option Typs_Grps'!B$2:C$47, 2, FALSE)</f>
        <v>Customer Options</v>
      </c>
      <c r="G16" s="1213" t="s">
        <v>1676</v>
      </c>
      <c r="H16" s="1213" t="s">
        <v>1955</v>
      </c>
      <c r="I16" s="1213" t="s">
        <v>355</v>
      </c>
      <c r="J16" s="1213" t="s">
        <v>146</v>
      </c>
      <c r="K16" s="1437">
        <v>2</v>
      </c>
      <c r="L16" s="1439">
        <v>0</v>
      </c>
      <c r="M16" s="1439">
        <v>0</v>
      </c>
      <c r="N16" s="1439">
        <v>0</v>
      </c>
      <c r="O16" s="1439">
        <v>0</v>
      </c>
      <c r="P16" s="1439">
        <v>0</v>
      </c>
      <c r="Q16" s="1439">
        <v>0</v>
      </c>
      <c r="R16" s="340">
        <v>0</v>
      </c>
      <c r="S16" s="340">
        <v>0</v>
      </c>
      <c r="T16" s="340">
        <v>0</v>
      </c>
      <c r="U16" s="340">
        <v>0</v>
      </c>
      <c r="V16" s="340">
        <v>0</v>
      </c>
      <c r="W16" s="340">
        <v>5.8463309632790117E-2</v>
      </c>
      <c r="X16" s="340">
        <v>5.8573601117542777E-2</v>
      </c>
      <c r="Y16" s="340">
        <v>5.8679607461219044E-2</v>
      </c>
      <c r="Z16" s="340">
        <v>5.8792809702358263E-2</v>
      </c>
      <c r="AA16" s="340">
        <v>5.8879795735623165E-2</v>
      </c>
      <c r="AB16" s="340">
        <v>5.8973364215294984E-2</v>
      </c>
      <c r="AC16" s="340">
        <v>5.9056522287873107E-2</v>
      </c>
      <c r="AD16" s="340">
        <v>5.9245635024494175E-2</v>
      </c>
      <c r="AE16" s="340">
        <v>5.9469589662100517E-2</v>
      </c>
      <c r="AF16" s="340">
        <v>5.9647178133396782E-2</v>
      </c>
      <c r="AG16" s="340">
        <v>5.9880761503595864E-2</v>
      </c>
      <c r="AH16" s="340">
        <v>6.0045902406401293E-2</v>
      </c>
      <c r="AI16" s="340">
        <v>6.0214690273453872E-2</v>
      </c>
      <c r="AJ16" s="340">
        <v>6.0387008672845938E-2</v>
      </c>
      <c r="AK16" s="340">
        <v>6.0562747720235739E-2</v>
      </c>
      <c r="AL16" s="340">
        <v>6.0741805713447741E-2</v>
      </c>
      <c r="AM16" s="340">
        <v>6.0924088146443622E-2</v>
      </c>
      <c r="AN16" s="340">
        <v>6.1109506408807766E-2</v>
      </c>
      <c r="AO16" s="340">
        <v>6.129797766978181E-2</v>
      </c>
      <c r="AP16" s="340">
        <v>6.1489423683637703E-2</v>
      </c>
      <c r="AQ16" s="340">
        <v>6.1489423683637703E-2</v>
      </c>
      <c r="AR16" s="340">
        <v>6.1489423683637703E-2</v>
      </c>
      <c r="AS16" s="340">
        <v>6.1489423683637703E-2</v>
      </c>
      <c r="AT16" s="340">
        <v>6.1489423683637703E-2</v>
      </c>
      <c r="AU16" s="340">
        <v>6.1489423683637703E-2</v>
      </c>
      <c r="AV16" s="340">
        <v>6.1489423683637703E-2</v>
      </c>
      <c r="AW16" s="340">
        <v>6.1489423683637703E-2</v>
      </c>
      <c r="AX16" s="340">
        <v>6.1489423683637703E-2</v>
      </c>
      <c r="AY16" s="340">
        <v>6.1489423683637703E-2</v>
      </c>
      <c r="AZ16" s="340">
        <v>6.1489423683637703E-2</v>
      </c>
      <c r="BA16" s="340">
        <v>6.1489423683637703E-2</v>
      </c>
      <c r="BB16" s="340">
        <v>6.1489423683637703E-2</v>
      </c>
      <c r="BC16" s="340">
        <v>6.1489423683637703E-2</v>
      </c>
      <c r="BD16" s="340">
        <v>6.1489423683637703E-2</v>
      </c>
      <c r="BE16" s="340">
        <v>6.1489423683637703E-2</v>
      </c>
      <c r="BF16" s="340">
        <v>6.1489423683637703E-2</v>
      </c>
      <c r="BG16" s="340">
        <v>6.1489423683637703E-2</v>
      </c>
      <c r="BH16" s="340">
        <v>6.1489423683637703E-2</v>
      </c>
      <c r="BI16" s="340">
        <v>6.1489423683637703E-2</v>
      </c>
      <c r="BJ16" s="340">
        <v>6.1489423683637703E-2</v>
      </c>
      <c r="BK16" s="340">
        <v>6.1489423683637703E-2</v>
      </c>
      <c r="BL16" s="340">
        <v>6.1489423683637703E-2</v>
      </c>
      <c r="BM16" s="340">
        <v>6.1489423683637703E-2</v>
      </c>
      <c r="BN16" s="340">
        <v>6.1489423683637703E-2</v>
      </c>
      <c r="BO16" s="340">
        <v>6.1489423683637703E-2</v>
      </c>
      <c r="BP16" s="340">
        <v>6.1489423683637703E-2</v>
      </c>
      <c r="BQ16" s="340">
        <v>6.1489423683637703E-2</v>
      </c>
      <c r="BR16" s="340">
        <v>6.1489423683637703E-2</v>
      </c>
      <c r="BS16" s="340">
        <v>6.1489423683637703E-2</v>
      </c>
      <c r="BT16" s="340">
        <v>6.1489423683637703E-2</v>
      </c>
    </row>
    <row r="17" spans="2:72" ht="32.25" customHeight="1" thickBot="1" x14ac:dyDescent="0.3">
      <c r="B17"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 s="69" t="s">
        <v>1761</v>
      </c>
      <c r="D17" s="1475" t="s">
        <v>1760</v>
      </c>
      <c r="E17" s="69" t="s">
        <v>776</v>
      </c>
      <c r="F17" s="1476" t="str">
        <f>VLOOKUP(TBL4_OptApp[[#This Row],[Option type
Defined List]],'Option Typs_Grps'!B$2:C$47, 2, FALSE)</f>
        <v>Customer Options</v>
      </c>
      <c r="G17" s="1213" t="s">
        <v>1676</v>
      </c>
      <c r="H17" s="1213" t="s">
        <v>1955</v>
      </c>
      <c r="I17" s="1213" t="s">
        <v>355</v>
      </c>
      <c r="J17" s="1213" t="s">
        <v>146</v>
      </c>
      <c r="K17" s="1437">
        <v>2</v>
      </c>
      <c r="L17" s="1439">
        <v>0</v>
      </c>
      <c r="M17" s="1439">
        <v>0</v>
      </c>
      <c r="N17" s="1439">
        <v>0</v>
      </c>
      <c r="O17" s="1439">
        <v>0</v>
      </c>
      <c r="P17" s="1439">
        <v>0</v>
      </c>
      <c r="Q17" s="1439">
        <v>0</v>
      </c>
      <c r="R17" s="340">
        <v>0</v>
      </c>
      <c r="S17" s="340">
        <v>0</v>
      </c>
      <c r="T17" s="340">
        <v>0</v>
      </c>
      <c r="U17" s="340">
        <v>0</v>
      </c>
      <c r="V17" s="340">
        <v>0</v>
      </c>
      <c r="W17" s="340">
        <v>2.2616554335437229</v>
      </c>
      <c r="X17" s="340">
        <v>4.5279206601908477</v>
      </c>
      <c r="Y17" s="340">
        <v>4.5333475945025707</v>
      </c>
      <c r="Z17" s="340">
        <v>4.534297487354463</v>
      </c>
      <c r="AA17" s="340">
        <v>4.5348578560344883</v>
      </c>
      <c r="AB17" s="340">
        <v>4.5349889862111761</v>
      </c>
      <c r="AC17" s="340">
        <v>4.5343027378070824</v>
      </c>
      <c r="AD17" s="340">
        <v>4.5325780020339401</v>
      </c>
      <c r="AE17" s="340">
        <v>4.5297847509205411</v>
      </c>
      <c r="AF17" s="340">
        <v>4.5263819189740362</v>
      </c>
      <c r="AG17" s="340">
        <v>4.530005887932635</v>
      </c>
      <c r="AH17" s="340">
        <v>4.540853050858578</v>
      </c>
      <c r="AI17" s="340">
        <v>4.5513433379736821</v>
      </c>
      <c r="AJ17" s="340">
        <v>4.5621013247067239</v>
      </c>
      <c r="AK17" s="340">
        <v>4.5740590641707417</v>
      </c>
      <c r="AL17" s="340">
        <v>4.5869843185637382</v>
      </c>
      <c r="AM17" s="340">
        <v>4.6001693154859549</v>
      </c>
      <c r="AN17" s="340">
        <v>4.6139359238396631</v>
      </c>
      <c r="AO17" s="340">
        <v>4.6288799204895241</v>
      </c>
      <c r="AP17" s="340">
        <v>4.6464736536596121</v>
      </c>
      <c r="AQ17" s="340">
        <v>4.6647284862901959</v>
      </c>
      <c r="AR17" s="340">
        <v>4.681734020875802</v>
      </c>
      <c r="AS17" s="340">
        <v>4.6989864398112555</v>
      </c>
      <c r="AT17" s="340">
        <v>4.7165502781020781</v>
      </c>
      <c r="AU17" s="340">
        <v>4.7340067805829094</v>
      </c>
      <c r="AV17" s="340">
        <v>2.3713279801746441</v>
      </c>
      <c r="AW17" s="340">
        <v>0</v>
      </c>
      <c r="AX17" s="340">
        <v>0</v>
      </c>
      <c r="AY17" s="340">
        <v>0</v>
      </c>
      <c r="AZ17" s="340">
        <v>0</v>
      </c>
      <c r="BA17" s="340">
        <v>0</v>
      </c>
      <c r="BB17" s="340">
        <v>0</v>
      </c>
      <c r="BC17" s="340">
        <v>0</v>
      </c>
      <c r="BD17" s="340">
        <v>0</v>
      </c>
      <c r="BE17" s="340">
        <v>0</v>
      </c>
      <c r="BF17" s="340">
        <v>0</v>
      </c>
      <c r="BG17" s="340">
        <v>0</v>
      </c>
      <c r="BH17" s="340">
        <v>0</v>
      </c>
      <c r="BI17" s="340">
        <v>0</v>
      </c>
      <c r="BJ17" s="340">
        <v>0</v>
      </c>
      <c r="BK17" s="340">
        <v>0</v>
      </c>
      <c r="BL17" s="340">
        <v>0</v>
      </c>
      <c r="BM17" s="340">
        <v>0</v>
      </c>
      <c r="BN17" s="340">
        <v>0</v>
      </c>
      <c r="BO17" s="340">
        <v>0</v>
      </c>
      <c r="BP17" s="340">
        <v>0</v>
      </c>
      <c r="BQ17" s="340">
        <v>0</v>
      </c>
      <c r="BR17" s="340">
        <v>0</v>
      </c>
      <c r="BS17" s="340">
        <v>0</v>
      </c>
      <c r="BT17" s="340">
        <v>0</v>
      </c>
    </row>
    <row r="18" spans="2:72" ht="14.4" thickBot="1" x14ac:dyDescent="0.3">
      <c r="B18" s="121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 s="69" t="s">
        <v>2044</v>
      </c>
      <c r="D18" s="69" t="s">
        <v>2054</v>
      </c>
      <c r="E18" s="69" t="s">
        <v>1264</v>
      </c>
      <c r="F18" s="1127" t="s">
        <v>1249</v>
      </c>
      <c r="G18" s="1213" t="s">
        <v>1676</v>
      </c>
      <c r="H18" s="1213" t="s">
        <v>2045</v>
      </c>
      <c r="I18" s="1213" t="s">
        <v>355</v>
      </c>
      <c r="J18" s="1213" t="s">
        <v>146</v>
      </c>
      <c r="K18" s="1437">
        <v>2</v>
      </c>
      <c r="L18" s="1439">
        <v>0</v>
      </c>
      <c r="M18" s="1439">
        <v>0</v>
      </c>
      <c r="N18" s="1439">
        <v>0</v>
      </c>
      <c r="O18" s="1439">
        <v>0</v>
      </c>
      <c r="P18" s="1439">
        <v>0</v>
      </c>
      <c r="Q18" s="1439">
        <v>0</v>
      </c>
      <c r="R18" s="340">
        <v>0.11816332519755564</v>
      </c>
      <c r="S18" s="340">
        <v>0.76917863108668938</v>
      </c>
      <c r="T18" s="340">
        <v>1.451219970315992</v>
      </c>
      <c r="U18" s="340">
        <v>1.9302609665400456</v>
      </c>
      <c r="V18" s="340">
        <v>2.3732168856927491</v>
      </c>
      <c r="W18" s="340">
        <v>2.9474803133962326</v>
      </c>
      <c r="X18" s="340">
        <v>3.5204560331108556</v>
      </c>
      <c r="Y18" s="340">
        <v>4.4431115933794869</v>
      </c>
      <c r="Z18" s="340">
        <v>5.1196349878965526</v>
      </c>
      <c r="AA18" s="340">
        <v>5.7799628589170382</v>
      </c>
      <c r="AB18" s="340">
        <v>6.2410728674324059</v>
      </c>
      <c r="AC18" s="340">
        <v>6.5245793932012344</v>
      </c>
      <c r="AD18" s="340">
        <v>6.8656539202900104</v>
      </c>
      <c r="AE18" s="340">
        <v>7.167416250705176</v>
      </c>
      <c r="AF18" s="340">
        <v>7.6170462291997616</v>
      </c>
      <c r="AG18" s="340">
        <v>7.8762584860039819</v>
      </c>
      <c r="AH18" s="340">
        <v>8.0959845950602016</v>
      </c>
      <c r="AI18" s="340">
        <v>8.2083231038079489</v>
      </c>
      <c r="AJ18" s="340">
        <v>8.3976063523161528</v>
      </c>
      <c r="AK18" s="340">
        <v>8.6457380598996068</v>
      </c>
      <c r="AL18" s="340">
        <v>8.7916537210517376</v>
      </c>
      <c r="AM18" s="340">
        <v>8.9751290556285941</v>
      </c>
      <c r="AN18" s="340">
        <v>9.2092751863506184</v>
      </c>
      <c r="AO18" s="340">
        <v>9.5421329111757469</v>
      </c>
      <c r="AP18" s="340">
        <v>9.8866183552152496</v>
      </c>
      <c r="AQ18" s="340">
        <v>9.8866183552152496</v>
      </c>
      <c r="AR18" s="340">
        <v>9.8866183552152496</v>
      </c>
      <c r="AS18" s="340">
        <v>9.8866183552152496</v>
      </c>
      <c r="AT18" s="340">
        <v>9.8866183552152496</v>
      </c>
      <c r="AU18" s="340">
        <v>9.8866183552152496</v>
      </c>
      <c r="AV18" s="340">
        <v>9.8866183552152496</v>
      </c>
      <c r="AW18" s="340">
        <v>9.8866183552152496</v>
      </c>
      <c r="AX18" s="340">
        <v>9.8866183552152496</v>
      </c>
      <c r="AY18" s="340">
        <v>9.8866183552152496</v>
      </c>
      <c r="AZ18" s="340">
        <v>9.8866183552152496</v>
      </c>
      <c r="BA18" s="340">
        <v>9.8866183552152496</v>
      </c>
      <c r="BB18" s="340">
        <v>9.8866183552152496</v>
      </c>
      <c r="BC18" s="340">
        <v>9.8866183552152496</v>
      </c>
      <c r="BD18" s="340">
        <v>9.8866183552152496</v>
      </c>
      <c r="BE18" s="340">
        <v>9.8866183552152496</v>
      </c>
      <c r="BF18" s="340">
        <v>9.8866183552152496</v>
      </c>
      <c r="BG18" s="340">
        <v>9.8866183552152496</v>
      </c>
      <c r="BH18" s="340">
        <v>9.8866183552152496</v>
      </c>
      <c r="BI18" s="340">
        <v>9.8866183552152496</v>
      </c>
      <c r="BJ18" s="340">
        <v>9.8866183552152496</v>
      </c>
      <c r="BK18" s="340">
        <v>9.8866183552152496</v>
      </c>
      <c r="BL18" s="340">
        <v>9.8866183552152496</v>
      </c>
      <c r="BM18" s="340">
        <v>9.8866183552152496</v>
      </c>
      <c r="BN18" s="340">
        <v>9.8866183552152496</v>
      </c>
      <c r="BO18" s="340">
        <v>9.8866183552152496</v>
      </c>
      <c r="BP18" s="340">
        <v>9.8866183552152496</v>
      </c>
      <c r="BQ18" s="340">
        <v>9.8866183552152496</v>
      </c>
      <c r="BR18" s="340">
        <v>9.8866183552152496</v>
      </c>
      <c r="BS18" s="340">
        <v>9.8866183552152496</v>
      </c>
      <c r="BT18" s="340">
        <v>9.8866183552152496</v>
      </c>
    </row>
    <row r="19" spans="2:72" ht="14.4" thickBot="1" x14ac:dyDescent="0.3">
      <c r="B19"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9" s="69" t="s">
        <v>1711</v>
      </c>
      <c r="D19" s="69" t="s">
        <v>1710</v>
      </c>
      <c r="E19" s="69" t="s">
        <v>778</v>
      </c>
      <c r="F19" s="1127" t="s">
        <v>1276</v>
      </c>
      <c r="G19" s="1213" t="s">
        <v>1676</v>
      </c>
      <c r="H19" s="1213" t="s">
        <v>2045</v>
      </c>
      <c r="I19" s="1213" t="s">
        <v>355</v>
      </c>
      <c r="J19" s="1213" t="s">
        <v>146</v>
      </c>
      <c r="K19" s="1437">
        <v>2</v>
      </c>
      <c r="L19" s="1439">
        <v>0</v>
      </c>
      <c r="M19" s="1439">
        <v>0</v>
      </c>
      <c r="N19" s="1439">
        <v>0</v>
      </c>
      <c r="O19" s="1439">
        <v>0</v>
      </c>
      <c r="P19" s="1439">
        <v>0</v>
      </c>
      <c r="Q19" s="1439">
        <v>0</v>
      </c>
      <c r="R19" s="340">
        <v>2.016894357461892E-2</v>
      </c>
      <c r="S19" s="340">
        <v>6.0498599973307685E-2</v>
      </c>
      <c r="T19" s="340">
        <v>0.10086833687293266</v>
      </c>
      <c r="U19" s="340">
        <v>0.14134477832215156</v>
      </c>
      <c r="V19" s="340">
        <v>0.1818830328749475</v>
      </c>
      <c r="W19" s="340">
        <v>0.22248985159096007</v>
      </c>
      <c r="X19" s="340">
        <v>0.26316686489631314</v>
      </c>
      <c r="Y19" s="340">
        <v>0.30391390446634492</v>
      </c>
      <c r="Z19" s="340">
        <v>0.34478783689648401</v>
      </c>
      <c r="AA19" s="340">
        <v>0.38571770776078634</v>
      </c>
      <c r="AB19" s="340">
        <v>0.4267123558788613</v>
      </c>
      <c r="AC19" s="340">
        <v>0.46777899128017414</v>
      </c>
      <c r="AD19" s="340">
        <v>0.50890919725174899</v>
      </c>
      <c r="AE19" s="340">
        <v>0.55021381912111711</v>
      </c>
      <c r="AF19" s="340">
        <v>0.59168095639169438</v>
      </c>
      <c r="AG19" s="340">
        <v>4.5263819189740362</v>
      </c>
      <c r="AH19" s="340">
        <v>4.530005887932635</v>
      </c>
      <c r="AI19" s="340">
        <v>4.540853050858578</v>
      </c>
      <c r="AJ19" s="340">
        <v>4.5513433379736821</v>
      </c>
      <c r="AK19" s="340">
        <v>4.5621013247067239</v>
      </c>
      <c r="AL19" s="340">
        <v>4.5740590641707417</v>
      </c>
      <c r="AM19" s="340">
        <v>4.5869843185637382</v>
      </c>
      <c r="AN19" s="340">
        <v>4.6001693154859549</v>
      </c>
      <c r="AO19" s="340">
        <v>4.6139359238396631</v>
      </c>
      <c r="AP19" s="340">
        <v>4.6288799204895241</v>
      </c>
      <c r="AQ19" s="340">
        <v>4.6464736536596121</v>
      </c>
      <c r="AR19" s="340">
        <v>4.6647284862901959</v>
      </c>
      <c r="AS19" s="340">
        <v>4.681734020875802</v>
      </c>
      <c r="AT19" s="340">
        <v>4.6989864398112555</v>
      </c>
      <c r="AU19" s="340">
        <v>4.7165502781020781</v>
      </c>
      <c r="AV19" s="340">
        <v>4.7340067805829094</v>
      </c>
      <c r="AW19" s="340">
        <v>2.3713279801746441</v>
      </c>
      <c r="AX19" s="340">
        <v>2.3713279801746441</v>
      </c>
      <c r="AY19" s="340">
        <v>2.3713279801746441</v>
      </c>
      <c r="AZ19" s="340">
        <v>2.3713279801746441</v>
      </c>
      <c r="BA19" s="340">
        <v>2.3713279801746441</v>
      </c>
      <c r="BB19" s="340">
        <v>2.3713279801746441</v>
      </c>
      <c r="BC19" s="340">
        <v>2.3713279801746441</v>
      </c>
      <c r="BD19" s="340">
        <v>2.3713279801746441</v>
      </c>
      <c r="BE19" s="340">
        <v>2.3713279801746441</v>
      </c>
      <c r="BF19" s="340">
        <v>2.3713279801746441</v>
      </c>
      <c r="BG19" s="340">
        <v>2.3713279801746441</v>
      </c>
      <c r="BH19" s="340">
        <v>2.3713279801746441</v>
      </c>
      <c r="BI19" s="340">
        <v>2.3713279801746441</v>
      </c>
      <c r="BJ19" s="340">
        <v>2.3713279801746441</v>
      </c>
      <c r="BK19" s="340">
        <v>2.3713279801746441</v>
      </c>
      <c r="BL19" s="340">
        <v>2.3713279801746441</v>
      </c>
      <c r="BM19" s="340">
        <v>2.3713279801746441</v>
      </c>
      <c r="BN19" s="340">
        <v>2.3713279801746441</v>
      </c>
      <c r="BO19" s="340">
        <v>2.3713279801746441</v>
      </c>
      <c r="BP19" s="340">
        <v>2.3713279801746441</v>
      </c>
      <c r="BQ19" s="340">
        <v>2.3713279801746441</v>
      </c>
      <c r="BR19" s="340">
        <v>2.3713279801746441</v>
      </c>
      <c r="BS19" s="340">
        <v>2.3713279801746441</v>
      </c>
      <c r="BT19" s="340">
        <v>2.3713279801746441</v>
      </c>
    </row>
    <row r="20" spans="2:72" ht="29.25" customHeight="1" thickBot="1" x14ac:dyDescent="0.3">
      <c r="B20"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0" s="1435" t="s">
        <v>2019</v>
      </c>
      <c r="D20" s="69" t="s">
        <v>2021</v>
      </c>
      <c r="E20" s="69" t="s">
        <v>776</v>
      </c>
      <c r="F20" s="1127" t="s">
        <v>1276</v>
      </c>
      <c r="G20" s="1213" t="s">
        <v>1676</v>
      </c>
      <c r="H20" s="1213" t="s">
        <v>2045</v>
      </c>
      <c r="I20" s="1213" t="s">
        <v>355</v>
      </c>
      <c r="J20" s="1213" t="s">
        <v>146</v>
      </c>
      <c r="K20" s="1437">
        <v>2</v>
      </c>
      <c r="L20" s="1439">
        <v>0</v>
      </c>
      <c r="M20" s="1439">
        <v>0</v>
      </c>
      <c r="N20" s="1439">
        <v>0</v>
      </c>
      <c r="O20" s="1439">
        <v>0</v>
      </c>
      <c r="P20" s="1439">
        <v>0</v>
      </c>
      <c r="Q20" s="1439">
        <v>0</v>
      </c>
      <c r="R20" s="340">
        <v>0.13666656515766601</v>
      </c>
      <c r="S20" s="340">
        <v>0.27007255081391845</v>
      </c>
      <c r="T20" s="340">
        <v>0.40308625240248913</v>
      </c>
      <c r="U20" s="340">
        <v>0.53409851183187318</v>
      </c>
      <c r="V20" s="340">
        <v>0.66618227039761269</v>
      </c>
      <c r="W20" s="340">
        <v>0.79314784195143295</v>
      </c>
      <c r="X20" s="340">
        <v>0.91961333308426008</v>
      </c>
      <c r="Y20" s="340">
        <v>1.045505019981875</v>
      </c>
      <c r="Z20" s="340">
        <v>1.1707978271245445</v>
      </c>
      <c r="AA20" s="340">
        <v>1.2939539318220217</v>
      </c>
      <c r="AB20" s="340">
        <v>1.416975369989852</v>
      </c>
      <c r="AC20" s="340">
        <v>1.5368403015166439</v>
      </c>
      <c r="AD20" s="340">
        <v>1.6565529902877116</v>
      </c>
      <c r="AE20" s="340">
        <v>1.7761126496925772</v>
      </c>
      <c r="AF20" s="340">
        <v>1.8940210412678491</v>
      </c>
      <c r="AG20" s="340">
        <v>1.9481936448902786</v>
      </c>
      <c r="AH20" s="340">
        <v>2.0037949870928253</v>
      </c>
      <c r="AI20" s="340">
        <v>2.060817853582364</v>
      </c>
      <c r="AJ20" s="340">
        <v>2.1177738983309884</v>
      </c>
      <c r="AK20" s="340">
        <v>2.1761945668809792</v>
      </c>
      <c r="AL20" s="340">
        <v>2.2300829949369434</v>
      </c>
      <c r="AM20" s="340">
        <v>2.2824418493934076</v>
      </c>
      <c r="AN20" s="340">
        <v>2.3362574730811381</v>
      </c>
      <c r="AO20" s="340">
        <v>2.3900321633823496</v>
      </c>
      <c r="AP20" s="340">
        <v>2.4422752986978451</v>
      </c>
      <c r="AQ20" s="340">
        <v>2.4959670987718874</v>
      </c>
      <c r="AR20" s="340">
        <v>2.5496105803666937</v>
      </c>
      <c r="AS20" s="340">
        <v>2.6017250922474924</v>
      </c>
      <c r="AT20" s="340">
        <v>2.6552809083775823</v>
      </c>
      <c r="AU20" s="340">
        <v>2.7087880236817226</v>
      </c>
      <c r="AV20" s="340">
        <v>2.7607696681050617</v>
      </c>
      <c r="AW20" s="340">
        <v>2.8141859668765563</v>
      </c>
      <c r="AX20" s="340">
        <v>2.8660747821160197</v>
      </c>
      <c r="AY20" s="340">
        <v>2.919384111411262</v>
      </c>
      <c r="AZ20" s="340">
        <v>2.9726287992992098</v>
      </c>
      <c r="BA20" s="340">
        <v>3.0243406889636137</v>
      </c>
      <c r="BB20" s="340">
        <v>3.0774686874838793</v>
      </c>
      <c r="BC20" s="340">
        <v>3.1305327495483786</v>
      </c>
      <c r="BD20" s="340">
        <v>3.1820695499719203</v>
      </c>
      <c r="BE20" s="340">
        <v>3.2350181083738709</v>
      </c>
      <c r="BF20" s="340">
        <v>3.2864429397057648</v>
      </c>
      <c r="BG20" s="340">
        <v>3.3392767409329633</v>
      </c>
      <c r="BH20" s="340">
        <v>3.392053155595137</v>
      </c>
      <c r="BI20" s="340">
        <v>3.443311120473175</v>
      </c>
      <c r="BJ20" s="340">
        <v>3.4959739079230583</v>
      </c>
      <c r="BK20" s="340">
        <v>3.5485798793413843</v>
      </c>
      <c r="BL20" s="340">
        <v>3.599672636660209</v>
      </c>
      <c r="BM20" s="340">
        <v>3.6521687363305326</v>
      </c>
      <c r="BN20" s="340">
        <v>3.7046085779032998</v>
      </c>
      <c r="BO20" s="340">
        <v>3.7555403108858023</v>
      </c>
      <c r="BP20" s="340">
        <v>3.8078713461906117</v>
      </c>
      <c r="BQ20" s="340">
        <v>3.8587001038935287</v>
      </c>
      <c r="BR20" s="340">
        <v>3.9109255760614228</v>
      </c>
      <c r="BS20" s="340">
        <v>3.9630957067633856</v>
      </c>
      <c r="BT20" s="340">
        <v>4.0137684696662665</v>
      </c>
    </row>
    <row r="21" spans="2:72" ht="43.5" customHeight="1" thickBot="1" x14ac:dyDescent="0.3">
      <c r="B21"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1" s="69" t="s">
        <v>2020</v>
      </c>
      <c r="D21" s="69" t="s">
        <v>2022</v>
      </c>
      <c r="E21" s="69" t="s">
        <v>776</v>
      </c>
      <c r="F21" s="1127" t="s">
        <v>1276</v>
      </c>
      <c r="G21" s="1213" t="s">
        <v>1676</v>
      </c>
      <c r="H21" s="1213" t="s">
        <v>2045</v>
      </c>
      <c r="I21" s="1213" t="s">
        <v>355</v>
      </c>
      <c r="J21" s="1213" t="s">
        <v>146</v>
      </c>
      <c r="K21" s="1437">
        <v>2</v>
      </c>
      <c r="L21" s="1439">
        <v>0</v>
      </c>
      <c r="M21" s="1439">
        <v>0</v>
      </c>
      <c r="N21" s="1439">
        <v>0</v>
      </c>
      <c r="O21" s="1439">
        <v>0</v>
      </c>
      <c r="P21" s="1439">
        <v>0</v>
      </c>
      <c r="Q21" s="1439">
        <v>0</v>
      </c>
      <c r="R21" s="340">
        <v>0.67590083483410013</v>
      </c>
      <c r="S21" s="340">
        <v>2.0124677845200307</v>
      </c>
      <c r="T21" s="340">
        <v>3.3191775102725867</v>
      </c>
      <c r="U21" s="340">
        <v>4.596527597252889</v>
      </c>
      <c r="V21" s="340">
        <v>5.8460874475670472</v>
      </c>
      <c r="W21" s="340">
        <v>6.8281840013746447</v>
      </c>
      <c r="X21" s="340">
        <v>7.5471814572505505</v>
      </c>
      <c r="Y21" s="340">
        <v>8.2481938248947841</v>
      </c>
      <c r="Z21" s="340">
        <v>8.9316010225316678</v>
      </c>
      <c r="AA21" s="340">
        <v>9.5970163627296845</v>
      </c>
      <c r="AB21" s="340">
        <v>10.247633771170593</v>
      </c>
      <c r="AC21" s="340">
        <v>10.885539848450314</v>
      </c>
      <c r="AD21" s="340">
        <v>11.509740164555367</v>
      </c>
      <c r="AE21" s="340">
        <v>12.12206965338093</v>
      </c>
      <c r="AF21" s="340">
        <v>12.723658826950278</v>
      </c>
      <c r="AG21" s="340">
        <v>12.964723908011067</v>
      </c>
      <c r="AH21" s="340">
        <v>12.847531320251967</v>
      </c>
      <c r="AI21" s="340">
        <v>12.724023889631193</v>
      </c>
      <c r="AJ21" s="340">
        <v>12.592990136345545</v>
      </c>
      <c r="AK21" s="340">
        <v>12.455420640487766</v>
      </c>
      <c r="AL21" s="340">
        <v>12.465196766403405</v>
      </c>
      <c r="AM21" s="340">
        <v>12.620172684635588</v>
      </c>
      <c r="AN21" s="340">
        <v>12.766918805595839</v>
      </c>
      <c r="AO21" s="340">
        <v>12.906869945079425</v>
      </c>
      <c r="AP21" s="340">
        <v>13.039185378503891</v>
      </c>
      <c r="AQ21" s="340">
        <v>13.166392256458312</v>
      </c>
      <c r="AR21" s="340">
        <v>13.290449343818043</v>
      </c>
      <c r="AS21" s="340">
        <v>13.408267269681991</v>
      </c>
      <c r="AT21" s="340">
        <v>13.520112940585456</v>
      </c>
      <c r="AU21" s="340">
        <v>13.627904731002719</v>
      </c>
      <c r="AV21" s="340">
        <v>13.73021619633032</v>
      </c>
      <c r="AW21" s="340">
        <v>13.827275375883355</v>
      </c>
      <c r="AX21" s="340">
        <v>13.920410668914977</v>
      </c>
      <c r="AY21" s="340">
        <v>13.952880576638915</v>
      </c>
      <c r="AZ21" s="340">
        <v>13.927457273622354</v>
      </c>
      <c r="BA21" s="340">
        <v>13.903181502947497</v>
      </c>
      <c r="BB21" s="340">
        <v>13.879999133249646</v>
      </c>
      <c r="BC21" s="340">
        <v>13.858413298066653</v>
      </c>
      <c r="BD21" s="340">
        <v>13.847485833892502</v>
      </c>
      <c r="BE21" s="340">
        <v>13.846708018350009</v>
      </c>
      <c r="BF21" s="340">
        <v>13.846488739730249</v>
      </c>
      <c r="BG21" s="340">
        <v>13.846270187615033</v>
      </c>
      <c r="BH21" s="340">
        <v>13.846051414009565</v>
      </c>
      <c r="BI21" s="340">
        <v>13.845838416421181</v>
      </c>
      <c r="BJ21" s="340">
        <v>13.845626124378095</v>
      </c>
      <c r="BK21" s="340">
        <v>13.845962783172615</v>
      </c>
      <c r="BL21" s="340">
        <v>13.845752259335566</v>
      </c>
      <c r="BM21" s="340">
        <v>13.844992228389081</v>
      </c>
      <c r="BN21" s="340">
        <v>13.845331215589363</v>
      </c>
      <c r="BO21" s="340">
        <v>13.845124724746848</v>
      </c>
      <c r="BP21" s="340">
        <v>13.84437047228843</v>
      </c>
      <c r="BQ21" s="340">
        <v>13.844167832454167</v>
      </c>
      <c r="BR21" s="340">
        <v>13.843966812657671</v>
      </c>
      <c r="BS21" s="340">
        <v>13.843763645429336</v>
      </c>
      <c r="BT21" s="340">
        <v>13.843564861391975</v>
      </c>
    </row>
    <row r="22" spans="2:72" ht="15" customHeight="1" thickBot="1" x14ac:dyDescent="0.3">
      <c r="B22"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2" s="69" t="s">
        <v>1811</v>
      </c>
      <c r="D22" s="69" t="s">
        <v>1810</v>
      </c>
      <c r="E22" s="69" t="s">
        <v>775</v>
      </c>
      <c r="F22" s="1127" t="s">
        <v>1276</v>
      </c>
      <c r="G22" s="1213" t="s">
        <v>1676</v>
      </c>
      <c r="H22" s="1213" t="s">
        <v>2045</v>
      </c>
      <c r="I22" s="1213" t="s">
        <v>355</v>
      </c>
      <c r="J22" s="1213" t="s">
        <v>146</v>
      </c>
      <c r="K22" s="1437">
        <v>2</v>
      </c>
      <c r="L22" s="1439">
        <v>0</v>
      </c>
      <c r="M22" s="1439">
        <v>0</v>
      </c>
      <c r="N22" s="1439">
        <v>0</v>
      </c>
      <c r="O22" s="1439">
        <v>0</v>
      </c>
      <c r="P22" s="1439">
        <v>0</v>
      </c>
      <c r="Q22" s="1439">
        <v>0</v>
      </c>
      <c r="R22" s="340">
        <v>0</v>
      </c>
      <c r="S22" s="340">
        <v>0</v>
      </c>
      <c r="T22" s="340">
        <v>0</v>
      </c>
      <c r="U22" s="340">
        <v>0</v>
      </c>
      <c r="V22" s="340">
        <v>0</v>
      </c>
      <c r="W22" s="340">
        <v>9.2051999999999995E-2</v>
      </c>
      <c r="X22" s="340">
        <v>0.275868</v>
      </c>
      <c r="Y22" s="340">
        <v>0.46000799999999997</v>
      </c>
      <c r="Z22" s="340">
        <v>0.64490399999999992</v>
      </c>
      <c r="AA22" s="340">
        <v>0.83098799999999995</v>
      </c>
      <c r="AB22" s="340">
        <v>1.0173239999999999</v>
      </c>
      <c r="AC22" s="340">
        <v>1.203444</v>
      </c>
      <c r="AD22" s="340">
        <v>1.3906799999999999</v>
      </c>
      <c r="AE22" s="340">
        <v>1.5790319999999998</v>
      </c>
      <c r="AF22" s="340">
        <v>1.7680319999999998</v>
      </c>
      <c r="AG22" s="340">
        <v>1.9576799999999999</v>
      </c>
      <c r="AH22" s="340">
        <v>2.1475079999999998</v>
      </c>
      <c r="AI22" s="340">
        <v>2.3374799999999998</v>
      </c>
      <c r="AJ22" s="340">
        <v>2.5284959999999996</v>
      </c>
      <c r="AK22" s="340">
        <v>2.7200880000000001</v>
      </c>
      <c r="AL22" s="340">
        <v>2.9113199999999999</v>
      </c>
      <c r="AM22" s="340">
        <v>3.1030559999999996</v>
      </c>
      <c r="AN22" s="340">
        <v>3.2966999999999995</v>
      </c>
      <c r="AO22" s="340">
        <v>3.4917839999999996</v>
      </c>
      <c r="AP22" s="340">
        <v>3.6883079999999997</v>
      </c>
      <c r="AQ22" s="340">
        <v>3.8849759999999995</v>
      </c>
      <c r="AR22" s="340">
        <v>4.0808159999999996</v>
      </c>
      <c r="AS22" s="340">
        <v>4.2775919999999994</v>
      </c>
      <c r="AT22" s="340">
        <v>4.4757720000000001</v>
      </c>
      <c r="AU22" s="340">
        <v>4.6744200000000005</v>
      </c>
      <c r="AV22" s="340">
        <v>4.7737440000000007</v>
      </c>
      <c r="AW22" s="340">
        <v>4.7737440000000007</v>
      </c>
      <c r="AX22" s="340">
        <v>4.7737440000000007</v>
      </c>
      <c r="AY22" s="340">
        <v>4.7737440000000007</v>
      </c>
      <c r="AZ22" s="340">
        <v>4.7737440000000007</v>
      </c>
      <c r="BA22" s="340">
        <v>4.7737440000000007</v>
      </c>
      <c r="BB22" s="340">
        <v>4.7737440000000007</v>
      </c>
      <c r="BC22" s="340">
        <v>4.7737440000000007</v>
      </c>
      <c r="BD22" s="340">
        <v>4.7737440000000007</v>
      </c>
      <c r="BE22" s="340">
        <v>4.7737440000000007</v>
      </c>
      <c r="BF22" s="340">
        <v>4.7737440000000007</v>
      </c>
      <c r="BG22" s="340">
        <v>4.7737440000000007</v>
      </c>
      <c r="BH22" s="340">
        <v>4.7737440000000007</v>
      </c>
      <c r="BI22" s="340">
        <v>4.7737440000000007</v>
      </c>
      <c r="BJ22" s="340">
        <v>4.7737440000000007</v>
      </c>
      <c r="BK22" s="340">
        <v>4.7737440000000007</v>
      </c>
      <c r="BL22" s="340">
        <v>4.7737440000000007</v>
      </c>
      <c r="BM22" s="340">
        <v>4.7737440000000007</v>
      </c>
      <c r="BN22" s="340">
        <v>4.7737440000000007</v>
      </c>
      <c r="BO22" s="340">
        <v>4.7737440000000007</v>
      </c>
      <c r="BP22" s="340">
        <v>4.7737440000000007</v>
      </c>
      <c r="BQ22" s="340">
        <v>4.7737440000000007</v>
      </c>
      <c r="BR22" s="340">
        <v>4.7737440000000007</v>
      </c>
      <c r="BS22" s="340">
        <v>4.7737440000000007</v>
      </c>
      <c r="BT22" s="340">
        <v>4.7737440000000007</v>
      </c>
    </row>
    <row r="23" spans="2:72" ht="43.5" customHeight="1" thickBot="1" x14ac:dyDescent="0.3">
      <c r="B23"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3" s="69" t="s">
        <v>1813</v>
      </c>
      <c r="D23" s="69" t="s">
        <v>1812</v>
      </c>
      <c r="E23" s="69" t="s">
        <v>776</v>
      </c>
      <c r="F23" s="1127" t="s">
        <v>1276</v>
      </c>
      <c r="G23" s="1213" t="s">
        <v>1676</v>
      </c>
      <c r="H23" s="1213" t="s">
        <v>2045</v>
      </c>
      <c r="I23" s="1213" t="s">
        <v>355</v>
      </c>
      <c r="J23" s="1213" t="s">
        <v>146</v>
      </c>
      <c r="K23" s="1437">
        <v>2</v>
      </c>
      <c r="L23" s="1439">
        <v>0</v>
      </c>
      <c r="M23" s="1439">
        <v>0</v>
      </c>
      <c r="N23" s="1439">
        <v>0</v>
      </c>
      <c r="O23" s="1439">
        <v>0</v>
      </c>
      <c r="P23" s="1439">
        <v>0</v>
      </c>
      <c r="Q23" s="1439">
        <v>0</v>
      </c>
      <c r="R23" s="340">
        <v>0</v>
      </c>
      <c r="S23" s="340">
        <v>0.77458625999999997</v>
      </c>
      <c r="T23" s="340">
        <v>1.5602605199999999</v>
      </c>
      <c r="U23" s="340">
        <v>2.3562667800000003</v>
      </c>
      <c r="V23" s="340">
        <v>3.1633610399999998</v>
      </c>
      <c r="W23" s="340">
        <v>3.9803462999999999</v>
      </c>
      <c r="X23" s="340">
        <v>4.8077895599999998</v>
      </c>
      <c r="Y23" s="340">
        <v>5.6430448200000001</v>
      </c>
      <c r="Z23" s="340">
        <v>6.4880020800000002</v>
      </c>
      <c r="AA23" s="340">
        <v>7.3415273399999998</v>
      </c>
      <c r="AB23" s="340">
        <v>0.61032787102048547</v>
      </c>
      <c r="AC23" s="340">
        <v>0.46111000851536732</v>
      </c>
      <c r="AD23" s="340">
        <v>0.28350652576882818</v>
      </c>
      <c r="AE23" s="340">
        <v>0.34107452708877628</v>
      </c>
      <c r="AF23" s="340">
        <v>0.30176233041516531</v>
      </c>
      <c r="AG23" s="340">
        <v>0.44962997849458602</v>
      </c>
      <c r="AH23" s="340">
        <v>0.25921225680422066</v>
      </c>
      <c r="AI23" s="340">
        <v>0.21972610905621953</v>
      </c>
      <c r="AJ23" s="340">
        <v>0.1123385087477467</v>
      </c>
      <c r="AK23" s="340">
        <v>0.18928324850820405</v>
      </c>
      <c r="AL23" s="340">
        <v>0.24813170758345443</v>
      </c>
      <c r="AM23" s="340">
        <v>0.14591566115213028</v>
      </c>
      <c r="AN23" s="340">
        <v>0.183475334576857</v>
      </c>
      <c r="AO23" s="340">
        <v>0.23414613072202428</v>
      </c>
      <c r="AP23" s="340">
        <v>0.33285772482512899</v>
      </c>
      <c r="AQ23" s="340">
        <v>0.34448544403950337</v>
      </c>
      <c r="AR23" s="340">
        <v>0</v>
      </c>
      <c r="AS23" s="340">
        <v>0</v>
      </c>
      <c r="AT23" s="340">
        <v>0</v>
      </c>
      <c r="AU23" s="340">
        <v>0</v>
      </c>
      <c r="AV23" s="340">
        <v>0</v>
      </c>
      <c r="AW23" s="340">
        <v>0</v>
      </c>
      <c r="AX23" s="340">
        <v>0</v>
      </c>
      <c r="AY23" s="340">
        <v>0</v>
      </c>
      <c r="AZ23" s="340">
        <v>0</v>
      </c>
      <c r="BA23" s="340">
        <v>0</v>
      </c>
      <c r="BB23" s="340">
        <v>0</v>
      </c>
      <c r="BC23" s="340">
        <v>0</v>
      </c>
      <c r="BD23" s="340">
        <v>0</v>
      </c>
      <c r="BE23" s="340">
        <v>0</v>
      </c>
      <c r="BF23" s="340">
        <v>0</v>
      </c>
      <c r="BG23" s="340">
        <v>0</v>
      </c>
      <c r="BH23" s="340">
        <v>0</v>
      </c>
      <c r="BI23" s="340">
        <v>0</v>
      </c>
      <c r="BJ23" s="340">
        <v>0</v>
      </c>
      <c r="BK23" s="340">
        <v>0</v>
      </c>
      <c r="BL23" s="340">
        <v>0</v>
      </c>
      <c r="BM23" s="340">
        <v>0</v>
      </c>
      <c r="BN23" s="340">
        <v>0</v>
      </c>
      <c r="BO23" s="340">
        <v>0</v>
      </c>
      <c r="BP23" s="340">
        <v>0</v>
      </c>
      <c r="BQ23" s="340">
        <v>0</v>
      </c>
      <c r="BR23" s="340">
        <v>0</v>
      </c>
      <c r="BS23" s="340">
        <v>0</v>
      </c>
      <c r="BT23" s="340">
        <v>0</v>
      </c>
    </row>
    <row r="24" spans="2:72" ht="14.4" thickBot="1" x14ac:dyDescent="0.3">
      <c r="B24"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4" s="69" t="s">
        <v>1819</v>
      </c>
      <c r="D24" s="69" t="s">
        <v>1818</v>
      </c>
      <c r="E24" s="69" t="s">
        <v>778</v>
      </c>
      <c r="F24" s="1127" t="s">
        <v>1276</v>
      </c>
      <c r="G24" s="1213" t="s">
        <v>1676</v>
      </c>
      <c r="H24" s="1213" t="s">
        <v>2045</v>
      </c>
      <c r="I24" s="1213" t="s">
        <v>355</v>
      </c>
      <c r="J24" s="1213" t="s">
        <v>146</v>
      </c>
      <c r="K24" s="1437">
        <v>2</v>
      </c>
      <c r="L24" s="1439">
        <v>0</v>
      </c>
      <c r="M24" s="1439">
        <v>0</v>
      </c>
      <c r="N24" s="1439">
        <v>0</v>
      </c>
      <c r="O24" s="1439">
        <v>0</v>
      </c>
      <c r="P24" s="1439">
        <v>0</v>
      </c>
      <c r="Q24" s="1439">
        <v>0</v>
      </c>
      <c r="R24" s="340">
        <v>0</v>
      </c>
      <c r="S24" s="340">
        <v>0</v>
      </c>
      <c r="T24" s="340">
        <v>0</v>
      </c>
      <c r="U24" s="340">
        <v>0</v>
      </c>
      <c r="V24" s="340">
        <v>0</v>
      </c>
      <c r="W24" s="340">
        <v>0.33627161572095365</v>
      </c>
      <c r="X24" s="340">
        <v>0.99132583722168111</v>
      </c>
      <c r="Y24" s="340">
        <v>1.6247969409166372</v>
      </c>
      <c r="Z24" s="340">
        <v>2.2433803287026559</v>
      </c>
      <c r="AA24" s="340">
        <v>2.8542676033289043</v>
      </c>
      <c r="AB24" s="340">
        <v>3.444179322728214</v>
      </c>
      <c r="AC24" s="340">
        <v>4.0064605331282745</v>
      </c>
      <c r="AD24" s="340">
        <v>4.5619106010294059</v>
      </c>
      <c r="AE24" s="340">
        <v>5.1108334269373543</v>
      </c>
      <c r="AF24" s="340">
        <v>5.6468427277397693</v>
      </c>
      <c r="AG24" s="340">
        <v>6.1726191435591984</v>
      </c>
      <c r="AH24" s="340">
        <v>6.6844490816119198</v>
      </c>
      <c r="AI24" s="340">
        <v>7.1824169723543294</v>
      </c>
      <c r="AJ24" s="340">
        <v>7.6793729329395859</v>
      </c>
      <c r="AK24" s="340">
        <v>8.1688628777219385</v>
      </c>
      <c r="AL24" s="340">
        <v>8.6381427207575836</v>
      </c>
      <c r="AM24" s="340">
        <v>9.0999890703398805</v>
      </c>
      <c r="AN24" s="340">
        <v>9.5734923585781235</v>
      </c>
      <c r="AO24" s="340">
        <v>10.052166136714019</v>
      </c>
      <c r="AP24" s="340">
        <v>10.535445104219093</v>
      </c>
      <c r="AQ24" s="340">
        <v>11.004321935909067</v>
      </c>
      <c r="AR24" s="340">
        <v>11.446410088643393</v>
      </c>
      <c r="AS24" s="340">
        <v>11.886718919070368</v>
      </c>
      <c r="AT24" s="340">
        <v>12.33153046305272</v>
      </c>
      <c r="AU24" s="340">
        <v>12.768489722659666</v>
      </c>
      <c r="AV24" s="340">
        <v>12.983466662272889</v>
      </c>
      <c r="AW24" s="340">
        <v>12.983466662272889</v>
      </c>
      <c r="AX24" s="340">
        <v>12.983466662272889</v>
      </c>
      <c r="AY24" s="340">
        <v>12.983466662272889</v>
      </c>
      <c r="AZ24" s="340">
        <v>12.983466662272889</v>
      </c>
      <c r="BA24" s="340">
        <v>12.983466662272889</v>
      </c>
      <c r="BB24" s="340">
        <v>12.983466662272889</v>
      </c>
      <c r="BC24" s="340">
        <v>12.983466662272889</v>
      </c>
      <c r="BD24" s="340">
        <v>12.983466662272889</v>
      </c>
      <c r="BE24" s="340">
        <v>12.983466662272889</v>
      </c>
      <c r="BF24" s="340">
        <v>12.983466662272889</v>
      </c>
      <c r="BG24" s="340">
        <v>12.983466662272889</v>
      </c>
      <c r="BH24" s="340">
        <v>12.983466662272889</v>
      </c>
      <c r="BI24" s="340">
        <v>12.983466662272889</v>
      </c>
      <c r="BJ24" s="340">
        <v>12.983466662272889</v>
      </c>
      <c r="BK24" s="340">
        <v>12.983466662272889</v>
      </c>
      <c r="BL24" s="340">
        <v>12.983466662272889</v>
      </c>
      <c r="BM24" s="340">
        <v>12.983466662272889</v>
      </c>
      <c r="BN24" s="340">
        <v>12.983466662272889</v>
      </c>
      <c r="BO24" s="340">
        <v>12.983466662272889</v>
      </c>
      <c r="BP24" s="340">
        <v>12.983466662272889</v>
      </c>
      <c r="BQ24" s="340">
        <v>12.983466662272889</v>
      </c>
      <c r="BR24" s="340">
        <v>12.983466662272889</v>
      </c>
      <c r="BS24" s="340">
        <v>12.983466662272889</v>
      </c>
      <c r="BT24" s="340">
        <v>12.983466662272889</v>
      </c>
    </row>
    <row r="25" spans="2:72" ht="28.2" thickBot="1" x14ac:dyDescent="0.3">
      <c r="B25"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 s="69" t="s">
        <v>1851</v>
      </c>
      <c r="D25" s="69" t="s">
        <v>1850</v>
      </c>
      <c r="E25" s="69" t="s">
        <v>778</v>
      </c>
      <c r="F25" s="1127" t="s">
        <v>1276</v>
      </c>
      <c r="G25" s="1213" t="s">
        <v>1676</v>
      </c>
      <c r="H25" s="1213" t="s">
        <v>2045</v>
      </c>
      <c r="I25" s="1213" t="s">
        <v>355</v>
      </c>
      <c r="J25" s="1213" t="s">
        <v>146</v>
      </c>
      <c r="K25" s="1437">
        <v>2</v>
      </c>
      <c r="L25" s="1439">
        <v>0</v>
      </c>
      <c r="M25" s="1439">
        <v>0</v>
      </c>
      <c r="N25" s="1439">
        <v>0</v>
      </c>
      <c r="O25" s="1439">
        <v>0</v>
      </c>
      <c r="P25" s="1439">
        <v>0</v>
      </c>
      <c r="Q25" s="1439">
        <v>0</v>
      </c>
      <c r="R25" s="340">
        <v>8.4820795860918591E-2</v>
      </c>
      <c r="S25" s="340">
        <v>0.31514380415426557</v>
      </c>
      <c r="T25" s="340">
        <v>0.66634875004492211</v>
      </c>
      <c r="U25" s="340">
        <v>1.1376223850776428</v>
      </c>
      <c r="V25" s="340">
        <v>1.7283531609188691</v>
      </c>
      <c r="W25" s="340">
        <v>2.4379128045427292</v>
      </c>
      <c r="X25" s="340">
        <v>3.2656526282341707</v>
      </c>
      <c r="Y25" s="340">
        <v>4.2109049670573242</v>
      </c>
      <c r="Z25" s="340">
        <v>5.2728964110752035</v>
      </c>
      <c r="AA25" s="340">
        <v>6.4506935413908488</v>
      </c>
      <c r="AB25" s="340">
        <v>7.7438870316156665</v>
      </c>
      <c r="AC25" s="340">
        <v>9.1520222588030133</v>
      </c>
      <c r="AD25" s="340">
        <v>10.674207662823607</v>
      </c>
      <c r="AE25" s="340">
        <v>12.309382075582148</v>
      </c>
      <c r="AF25" s="340">
        <v>14.056401928858381</v>
      </c>
      <c r="AG25" s="340">
        <v>15.71346305949743</v>
      </c>
      <c r="AH25" s="340">
        <v>17.103814911749851</v>
      </c>
      <c r="AI25" s="340">
        <v>18.252939976973849</v>
      </c>
      <c r="AJ25" s="340">
        <v>19.162336806112773</v>
      </c>
      <c r="AK25" s="340">
        <v>19.833279245531553</v>
      </c>
      <c r="AL25" s="340">
        <v>20.267036315857922</v>
      </c>
      <c r="AM25" s="340">
        <v>20.464877260373171</v>
      </c>
      <c r="AN25" s="340">
        <v>20.428071347165609</v>
      </c>
      <c r="AO25" s="340">
        <v>20.157975778505605</v>
      </c>
      <c r="AP25" s="340">
        <v>19.656091010568957</v>
      </c>
      <c r="AQ25" s="340">
        <v>18.923377639254664</v>
      </c>
      <c r="AR25" s="340">
        <v>17.960826698992427</v>
      </c>
      <c r="AS25" s="340">
        <v>16.769852142242065</v>
      </c>
      <c r="AT25" s="340">
        <v>15.352024299575154</v>
      </c>
      <c r="AU25" s="340">
        <v>13.70898340097691</v>
      </c>
      <c r="AV25" s="340">
        <v>12.01451926813659</v>
      </c>
      <c r="AW25" s="340">
        <v>10.441262201250471</v>
      </c>
      <c r="AX25" s="340">
        <v>8.9883499837954641</v>
      </c>
      <c r="AY25" s="340">
        <v>7.6550973132834619</v>
      </c>
      <c r="AZ25" s="340">
        <v>6.4408418916831014</v>
      </c>
      <c r="BA25" s="340">
        <v>5.3449429713925181</v>
      </c>
      <c r="BB25" s="340">
        <v>4.3667799968454721</v>
      </c>
      <c r="BC25" s="340">
        <v>3.505751364889528</v>
      </c>
      <c r="BD25" s="340">
        <v>2.7612732831913043</v>
      </c>
      <c r="BE25" s="340">
        <v>2.1327787144719519</v>
      </c>
      <c r="BF25" s="340">
        <v>1.6197163892210718</v>
      </c>
      <c r="BG25" s="340">
        <v>1.2215498959556119</v>
      </c>
      <c r="BH25" s="340">
        <v>0.93775684234502366</v>
      </c>
      <c r="BI25" s="340">
        <v>0.76782806591304342</v>
      </c>
      <c r="BJ25" s="340">
        <v>0.71126690489469746</v>
      </c>
      <c r="BK25" s="340">
        <v>0.71126690489469746</v>
      </c>
      <c r="BL25" s="340">
        <v>0.71126690489469746</v>
      </c>
      <c r="BM25" s="340">
        <v>0.71126690489469746</v>
      </c>
      <c r="BN25" s="340">
        <v>0.71126690489469746</v>
      </c>
      <c r="BO25" s="340">
        <v>0.71126690489469746</v>
      </c>
      <c r="BP25" s="340">
        <v>0.71126690489469746</v>
      </c>
      <c r="BQ25" s="340">
        <v>0.71126690489469746</v>
      </c>
      <c r="BR25" s="340">
        <v>0.71126690489469746</v>
      </c>
      <c r="BS25" s="340">
        <v>0.71126690489469746</v>
      </c>
      <c r="BT25" s="340">
        <v>0.71126690489469746</v>
      </c>
    </row>
    <row r="26" spans="2:72" ht="28.2" thickBot="1" x14ac:dyDescent="0.3">
      <c r="B26"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 s="69" t="s">
        <v>1835</v>
      </c>
      <c r="D26" s="69" t="s">
        <v>1834</v>
      </c>
      <c r="E26" s="69" t="s">
        <v>1302</v>
      </c>
      <c r="F26" s="1127" t="s">
        <v>1276</v>
      </c>
      <c r="G26" s="1213" t="s">
        <v>1676</v>
      </c>
      <c r="H26" s="1213" t="s">
        <v>2045</v>
      </c>
      <c r="I26" s="1213" t="s">
        <v>355</v>
      </c>
      <c r="J26" s="1213" t="s">
        <v>146</v>
      </c>
      <c r="K26" s="1437">
        <v>2</v>
      </c>
      <c r="L26" s="1439">
        <v>0</v>
      </c>
      <c r="M26" s="1439">
        <v>0</v>
      </c>
      <c r="N26" s="1439">
        <v>0</v>
      </c>
      <c r="O26" s="1439">
        <v>0</v>
      </c>
      <c r="P26" s="1439">
        <v>0</v>
      </c>
      <c r="Q26" s="1439">
        <v>0</v>
      </c>
      <c r="R26" s="340">
        <v>2.6059998012160079E-2</v>
      </c>
      <c r="S26" s="340">
        <v>7.8226522145200067E-2</v>
      </c>
      <c r="T26" s="340">
        <v>0.13048373707679828</v>
      </c>
      <c r="U26" s="340">
        <v>0.18283732142472187</v>
      </c>
      <c r="V26" s="340">
        <v>0.23530098128397825</v>
      </c>
      <c r="W26" s="340">
        <v>0.2878702349407849</v>
      </c>
      <c r="X26" s="340">
        <v>0.34053684477843471</v>
      </c>
      <c r="Y26" s="340">
        <v>0.39330078863887752</v>
      </c>
      <c r="Z26" s="340">
        <v>0.44616337636248726</v>
      </c>
      <c r="AA26" s="340">
        <v>0.49911604880957894</v>
      </c>
      <c r="AB26" s="340">
        <v>0.52561195689060936</v>
      </c>
      <c r="AC26" s="340">
        <v>0.52561195689060936</v>
      </c>
      <c r="AD26" s="340">
        <v>0.52561195689060936</v>
      </c>
      <c r="AE26" s="340">
        <v>0.52561195689060936</v>
      </c>
      <c r="AF26" s="340">
        <v>0.52561195689060936</v>
      </c>
      <c r="AG26" s="340">
        <v>0.52561195689060936</v>
      </c>
      <c r="AH26" s="340">
        <v>0.52561195689060936</v>
      </c>
      <c r="AI26" s="340">
        <v>0.52561195689060936</v>
      </c>
      <c r="AJ26" s="340">
        <v>0.52561195689060936</v>
      </c>
      <c r="AK26" s="340">
        <v>0.52561195689060936</v>
      </c>
      <c r="AL26" s="340">
        <v>0.52561195689060936</v>
      </c>
      <c r="AM26" s="340">
        <v>0.52561195689060936</v>
      </c>
      <c r="AN26" s="340">
        <v>0.52561195689060936</v>
      </c>
      <c r="AO26" s="340">
        <v>0.52561195689060936</v>
      </c>
      <c r="AP26" s="340">
        <v>0.52561195689060936</v>
      </c>
      <c r="AQ26" s="340">
        <v>0.52561195689060936</v>
      </c>
      <c r="AR26" s="340">
        <v>0.52561195689060936</v>
      </c>
      <c r="AS26" s="340">
        <v>0.52561195689060936</v>
      </c>
      <c r="AT26" s="340">
        <v>0.52561195689060936</v>
      </c>
      <c r="AU26" s="340">
        <v>0.52561195689060936</v>
      </c>
      <c r="AV26" s="340">
        <v>0.52561195689060936</v>
      </c>
      <c r="AW26" s="340">
        <v>0.52561195689060936</v>
      </c>
      <c r="AX26" s="340">
        <v>0.52561195689060936</v>
      </c>
      <c r="AY26" s="340">
        <v>0.52561195689060936</v>
      </c>
      <c r="AZ26" s="340">
        <v>0.52561195689060936</v>
      </c>
      <c r="BA26" s="340">
        <v>0.52561195689060936</v>
      </c>
      <c r="BB26" s="340">
        <v>0.52561195689060936</v>
      </c>
      <c r="BC26" s="340">
        <v>0.52561195689060936</v>
      </c>
      <c r="BD26" s="340">
        <v>0.52561195689060936</v>
      </c>
      <c r="BE26" s="340">
        <v>0.52561195689060936</v>
      </c>
      <c r="BF26" s="340">
        <v>0.52561195689060936</v>
      </c>
      <c r="BG26" s="340">
        <v>0.52561195689060936</v>
      </c>
      <c r="BH26" s="340">
        <v>0.52561195689060936</v>
      </c>
      <c r="BI26" s="340">
        <v>0.52561195689060936</v>
      </c>
      <c r="BJ26" s="340">
        <v>0.52561195689060936</v>
      </c>
      <c r="BK26" s="340">
        <v>0.52561195689060936</v>
      </c>
      <c r="BL26" s="340">
        <v>0.52561195689060936</v>
      </c>
      <c r="BM26" s="340">
        <v>0.52561195689060936</v>
      </c>
      <c r="BN26" s="340">
        <v>0.52561195689060936</v>
      </c>
      <c r="BO26" s="340">
        <v>0.52561195689060936</v>
      </c>
      <c r="BP26" s="340">
        <v>0.52561195689060936</v>
      </c>
      <c r="BQ26" s="340">
        <v>0.52561195689060936</v>
      </c>
      <c r="BR26" s="340">
        <v>0.52561195689060936</v>
      </c>
      <c r="BS26" s="340">
        <v>0.52561195689060936</v>
      </c>
      <c r="BT26" s="340">
        <v>0.52561195689060936</v>
      </c>
    </row>
    <row r="27" spans="2:72" ht="82.5" customHeight="1" thickBot="1" x14ac:dyDescent="0.3">
      <c r="B27"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7" s="69" t="s">
        <v>1870</v>
      </c>
      <c r="D27" s="69" t="s">
        <v>1869</v>
      </c>
      <c r="E27" s="69" t="s">
        <v>1311</v>
      </c>
      <c r="F27" s="1127" t="s">
        <v>1276</v>
      </c>
      <c r="G27" s="1213" t="s">
        <v>1676</v>
      </c>
      <c r="H27" s="1213" t="s">
        <v>2045</v>
      </c>
      <c r="I27" s="1213" t="s">
        <v>355</v>
      </c>
      <c r="J27" s="1213" t="s">
        <v>146</v>
      </c>
      <c r="K27" s="1437">
        <v>2</v>
      </c>
      <c r="L27" s="1439">
        <v>0</v>
      </c>
      <c r="M27" s="1439">
        <v>0</v>
      </c>
      <c r="N27" s="1439">
        <v>0</v>
      </c>
      <c r="O27" s="1439">
        <v>0</v>
      </c>
      <c r="P27" s="1439">
        <v>0</v>
      </c>
      <c r="Q27" s="1439">
        <v>0</v>
      </c>
      <c r="R27" s="340">
        <v>6.3027948670684114E-3</v>
      </c>
      <c r="S27" s="340">
        <v>1.5745887681811253E-2</v>
      </c>
      <c r="T27" s="340">
        <v>2.2014517529726416E-2</v>
      </c>
      <c r="U27" s="340">
        <v>2.8260913641300036E-2</v>
      </c>
      <c r="V27" s="340">
        <v>3.4488001959861785E-2</v>
      </c>
      <c r="W27" s="340">
        <v>4.0697023252590711E-2</v>
      </c>
      <c r="X27" s="340">
        <v>4.6888362652144369E-2</v>
      </c>
      <c r="Y27" s="340">
        <v>5.3062183386070952E-2</v>
      </c>
      <c r="Z27" s="340">
        <v>5.9217923862187168E-2</v>
      </c>
      <c r="AA27" s="340">
        <v>6.5966984543410476E-2</v>
      </c>
      <c r="AB27" s="340">
        <v>7.3309337175953504E-2</v>
      </c>
      <c r="AC27" s="340">
        <v>8.063178429163996E-2</v>
      </c>
      <c r="AD27" s="340">
        <v>8.7933035455978414E-2</v>
      </c>
      <c r="AE27" s="340">
        <v>9.5211437169518562E-2</v>
      </c>
      <c r="AF27" s="340">
        <v>0.10246519973855719</v>
      </c>
      <c r="AG27" s="340">
        <v>0.10969625223521133</v>
      </c>
      <c r="AH27" s="340">
        <v>0.11690738168369515</v>
      </c>
      <c r="AI27" s="340">
        <v>0.12409964322410434</v>
      </c>
      <c r="AJ27" s="340">
        <v>0.13127344263655846</v>
      </c>
      <c r="AK27" s="340">
        <v>0.13842916608983355</v>
      </c>
      <c r="AL27" s="340">
        <v>0.14556718135961327</v>
      </c>
      <c r="AM27" s="340">
        <v>0.15268783905795197</v>
      </c>
      <c r="AN27" s="340">
        <v>0.15979147370130953</v>
      </c>
      <c r="AO27" s="340">
        <v>0.16687840467244094</v>
      </c>
      <c r="AP27" s="340">
        <v>0.1739489370853517</v>
      </c>
      <c r="AQ27" s="340">
        <v>0.17748014092424247</v>
      </c>
      <c r="AR27" s="340">
        <v>0.17748014092424247</v>
      </c>
      <c r="AS27" s="340">
        <v>0.17748014092424247</v>
      </c>
      <c r="AT27" s="340">
        <v>0.17748014092424247</v>
      </c>
      <c r="AU27" s="340">
        <v>0.17748014092424247</v>
      </c>
      <c r="AV27" s="340">
        <v>0.17748014092424247</v>
      </c>
      <c r="AW27" s="340">
        <v>0.17748014092424247</v>
      </c>
      <c r="AX27" s="340">
        <v>0.17748014092424247</v>
      </c>
      <c r="AY27" s="340">
        <v>0.17748014092424247</v>
      </c>
      <c r="AZ27" s="340">
        <v>0.17748014092424247</v>
      </c>
      <c r="BA27" s="340">
        <v>0.17748014092424247</v>
      </c>
      <c r="BB27" s="340">
        <v>0.17748014092424247</v>
      </c>
      <c r="BC27" s="340">
        <v>0.17748014092424247</v>
      </c>
      <c r="BD27" s="340">
        <v>0.17748014092424247</v>
      </c>
      <c r="BE27" s="340">
        <v>0.17748014092424247</v>
      </c>
      <c r="BF27" s="340">
        <v>0.17748014092424247</v>
      </c>
      <c r="BG27" s="340">
        <v>0.17748014092424247</v>
      </c>
      <c r="BH27" s="340">
        <v>0.17748014092424247</v>
      </c>
      <c r="BI27" s="340">
        <v>0.17748014092424247</v>
      </c>
      <c r="BJ27" s="340">
        <v>0.17748014092424247</v>
      </c>
      <c r="BK27" s="340">
        <v>0.17748014092424247</v>
      </c>
      <c r="BL27" s="340">
        <v>0.17748014092424247</v>
      </c>
      <c r="BM27" s="340">
        <v>0.17748014092424247</v>
      </c>
      <c r="BN27" s="340">
        <v>0.17748014092424247</v>
      </c>
      <c r="BO27" s="340">
        <v>0.17748014092424247</v>
      </c>
      <c r="BP27" s="340">
        <v>0.17748014092424247</v>
      </c>
      <c r="BQ27" s="340">
        <v>0.17748014092424247</v>
      </c>
      <c r="BR27" s="340">
        <v>0.17748014092424247</v>
      </c>
      <c r="BS27" s="340">
        <v>0.17748014092424247</v>
      </c>
      <c r="BT27" s="340">
        <v>0.17748014092424247</v>
      </c>
    </row>
    <row r="28" spans="2:72" ht="82.5" customHeight="1" thickBot="1" x14ac:dyDescent="0.3">
      <c r="B28"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8" s="69" t="s">
        <v>1882</v>
      </c>
      <c r="D28" s="1475" t="s">
        <v>1881</v>
      </c>
      <c r="E28" s="69" t="s">
        <v>777</v>
      </c>
      <c r="F28" s="1476" t="str">
        <f>VLOOKUP(TBL4_OptApp[[#This Row],[Option type
Defined List]],'Option Typs_Grps'!B$2:C$47, 2, FALSE)</f>
        <v>Customer Options</v>
      </c>
      <c r="G28" s="1213" t="s">
        <v>1676</v>
      </c>
      <c r="H28" s="1213" t="s">
        <v>2045</v>
      </c>
      <c r="I28" s="1213" t="s">
        <v>355</v>
      </c>
      <c r="J28" s="1213" t="s">
        <v>146</v>
      </c>
      <c r="K28" s="1437">
        <v>2</v>
      </c>
      <c r="L28" s="1439">
        <v>0</v>
      </c>
      <c r="M28" s="1439">
        <v>0</v>
      </c>
      <c r="N28" s="1439">
        <v>0</v>
      </c>
      <c r="O28" s="1439">
        <v>0</v>
      </c>
      <c r="P28" s="1439">
        <v>0</v>
      </c>
      <c r="Q28" s="1439">
        <v>0</v>
      </c>
      <c r="R28" s="340">
        <v>0</v>
      </c>
      <c r="S28" s="340">
        <v>0</v>
      </c>
      <c r="T28" s="340">
        <v>0</v>
      </c>
      <c r="U28" s="340">
        <v>0</v>
      </c>
      <c r="V28" s="340">
        <v>0</v>
      </c>
      <c r="W28" s="340">
        <v>5.8463309632790117E-2</v>
      </c>
      <c r="X28" s="340">
        <v>5.8573601117542777E-2</v>
      </c>
      <c r="Y28" s="340">
        <v>5.8679607461219044E-2</v>
      </c>
      <c r="Z28" s="340">
        <v>5.8792809702358263E-2</v>
      </c>
      <c r="AA28" s="340">
        <v>5.8879795735623165E-2</v>
      </c>
      <c r="AB28" s="340">
        <v>5.8973364215294984E-2</v>
      </c>
      <c r="AC28" s="340">
        <v>5.9056522287873107E-2</v>
      </c>
      <c r="AD28" s="340">
        <v>5.9245635024494175E-2</v>
      </c>
      <c r="AE28" s="340">
        <v>5.9469589662100517E-2</v>
      </c>
      <c r="AF28" s="340">
        <v>5.9647178133396782E-2</v>
      </c>
      <c r="AG28" s="340">
        <v>5.9880761503595864E-2</v>
      </c>
      <c r="AH28" s="340">
        <v>6.0045902406401293E-2</v>
      </c>
      <c r="AI28" s="340">
        <v>6.0214690273453872E-2</v>
      </c>
      <c r="AJ28" s="340">
        <v>6.0387008672845938E-2</v>
      </c>
      <c r="AK28" s="340">
        <v>6.0562747720235739E-2</v>
      </c>
      <c r="AL28" s="340">
        <v>6.0741805713447741E-2</v>
      </c>
      <c r="AM28" s="340">
        <v>6.0924088146443622E-2</v>
      </c>
      <c r="AN28" s="340">
        <v>6.1109506408807766E-2</v>
      </c>
      <c r="AO28" s="340">
        <v>6.129797766978181E-2</v>
      </c>
      <c r="AP28" s="340">
        <v>6.1489423683637703E-2</v>
      </c>
      <c r="AQ28" s="340">
        <v>7.3415273399999998</v>
      </c>
      <c r="AR28" s="340">
        <v>7.3415273399999998</v>
      </c>
      <c r="AS28" s="340">
        <v>7.3415273399999998</v>
      </c>
      <c r="AT28" s="340">
        <v>7.3415273399999998</v>
      </c>
      <c r="AU28" s="340">
        <v>7.3415273399999998</v>
      </c>
      <c r="AV28" s="340">
        <v>7.3415273399999998</v>
      </c>
      <c r="AW28" s="340">
        <v>7.3415273399999998</v>
      </c>
      <c r="AX28" s="340">
        <v>7.3415273399999998</v>
      </c>
      <c r="AY28" s="340">
        <v>7.3415273399999998</v>
      </c>
      <c r="AZ28" s="340">
        <v>7.3415273399999998</v>
      </c>
      <c r="BA28" s="340">
        <v>7.3415273399999998</v>
      </c>
      <c r="BB28" s="340">
        <v>7.3415273399999998</v>
      </c>
      <c r="BC28" s="340">
        <v>7.3415273399999998</v>
      </c>
      <c r="BD28" s="340">
        <v>7.3415273399999998</v>
      </c>
      <c r="BE28" s="340">
        <v>7.3415273399999998</v>
      </c>
      <c r="BF28" s="340">
        <v>7.3415273399999998</v>
      </c>
      <c r="BG28" s="340">
        <v>7.3415273399999998</v>
      </c>
      <c r="BH28" s="340">
        <v>7.3415273399999998</v>
      </c>
      <c r="BI28" s="340">
        <v>7.3415273399999998</v>
      </c>
      <c r="BJ28" s="340">
        <v>7.3415273399999998</v>
      </c>
      <c r="BK28" s="340">
        <v>7.3415273399999998</v>
      </c>
      <c r="BL28" s="340">
        <v>7.3415273399999998</v>
      </c>
      <c r="BM28" s="340">
        <v>7.3415273399999998</v>
      </c>
      <c r="BN28" s="340">
        <v>7.3415273399999998</v>
      </c>
      <c r="BO28" s="340">
        <v>7.3415273399999998</v>
      </c>
      <c r="BP28" s="340">
        <v>7.3415273399999998</v>
      </c>
      <c r="BQ28" s="340">
        <v>7.3415273399999998</v>
      </c>
      <c r="BR28" s="340">
        <v>7.3415273399999998</v>
      </c>
      <c r="BS28" s="340">
        <v>7.3415273399999998</v>
      </c>
      <c r="BT28" s="340">
        <v>7.3415273399999998</v>
      </c>
    </row>
    <row r="29" spans="2:72" ht="32.25" customHeight="1" thickBot="1" x14ac:dyDescent="0.3">
      <c r="B29"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9" s="69" t="s">
        <v>1761</v>
      </c>
      <c r="D29" s="1475" t="s">
        <v>1760</v>
      </c>
      <c r="E29" s="69" t="s">
        <v>776</v>
      </c>
      <c r="F29" s="1476" t="str">
        <f>VLOOKUP(TBL4_OptApp[[#This Row],[Option type
Defined List]],'Option Typs_Grps'!B$2:C$47, 2, FALSE)</f>
        <v>Customer Options</v>
      </c>
      <c r="G29" s="1213" t="s">
        <v>1676</v>
      </c>
      <c r="H29" s="1213" t="s">
        <v>2045</v>
      </c>
      <c r="I29" s="1213" t="s">
        <v>355</v>
      </c>
      <c r="J29" s="1213" t="s">
        <v>146</v>
      </c>
      <c r="K29" s="1437">
        <v>2</v>
      </c>
      <c r="L29" s="1439">
        <v>0</v>
      </c>
      <c r="M29" s="1439">
        <v>0</v>
      </c>
      <c r="N29" s="1439">
        <v>0</v>
      </c>
      <c r="O29" s="1439">
        <v>0</v>
      </c>
      <c r="P29" s="1439">
        <v>0</v>
      </c>
      <c r="Q29" s="1439">
        <v>0</v>
      </c>
      <c r="R29" s="340">
        <v>0</v>
      </c>
      <c r="S29" s="340">
        <v>0</v>
      </c>
      <c r="T29" s="340">
        <v>0</v>
      </c>
      <c r="U29" s="340">
        <v>0</v>
      </c>
      <c r="V29" s="340">
        <v>0</v>
      </c>
      <c r="W29" s="340">
        <v>2.2616554335437229</v>
      </c>
      <c r="X29" s="340">
        <v>4.5279206601908477</v>
      </c>
      <c r="Y29" s="340">
        <v>4.5333475945025707</v>
      </c>
      <c r="Z29" s="340">
        <v>4.534297487354463</v>
      </c>
      <c r="AA29" s="340">
        <v>4.5348578560344883</v>
      </c>
      <c r="AB29" s="340">
        <v>4.5349889862111761</v>
      </c>
      <c r="AC29" s="340">
        <v>4.5343027378070824</v>
      </c>
      <c r="AD29" s="340">
        <v>4.5325780020339401</v>
      </c>
      <c r="AE29" s="340">
        <v>4.5297847509205411</v>
      </c>
      <c r="AF29" s="340">
        <v>4.5263819189740362</v>
      </c>
      <c r="AG29" s="340">
        <v>4.530005887932635</v>
      </c>
      <c r="AH29" s="340">
        <v>4.540853050858578</v>
      </c>
      <c r="AI29" s="340">
        <v>4.5513433379736821</v>
      </c>
      <c r="AJ29" s="340">
        <v>4.5621013247067239</v>
      </c>
      <c r="AK29" s="340">
        <v>4.5740590641707417</v>
      </c>
      <c r="AL29" s="340">
        <v>4.5869843185637382</v>
      </c>
      <c r="AM29" s="340">
        <v>4.6001693154859549</v>
      </c>
      <c r="AN29" s="340">
        <v>4.6139359238396631</v>
      </c>
      <c r="AO29" s="340">
        <v>4.6288799204895241</v>
      </c>
      <c r="AP29" s="340">
        <v>4.6464736536596121</v>
      </c>
      <c r="AQ29" s="340">
        <v>4.6647284862901959</v>
      </c>
      <c r="AR29" s="340">
        <v>4.681734020875802</v>
      </c>
      <c r="AS29" s="340">
        <v>4.6989864398112555</v>
      </c>
      <c r="AT29" s="340">
        <v>4.7165502781020781</v>
      </c>
      <c r="AU29" s="340">
        <v>4.7340067805829094</v>
      </c>
      <c r="AV29" s="340">
        <v>2.3713279801746441</v>
      </c>
      <c r="AW29" s="340">
        <v>0</v>
      </c>
      <c r="AX29" s="340">
        <v>0</v>
      </c>
      <c r="AY29" s="340">
        <v>0</v>
      </c>
      <c r="AZ29" s="340">
        <v>0</v>
      </c>
      <c r="BA29" s="340">
        <v>0</v>
      </c>
      <c r="BB29" s="340">
        <v>0</v>
      </c>
      <c r="BC29" s="340">
        <v>0</v>
      </c>
      <c r="BD29" s="340">
        <v>0</v>
      </c>
      <c r="BE29" s="340">
        <v>0</v>
      </c>
      <c r="BF29" s="340">
        <v>0</v>
      </c>
      <c r="BG29" s="340">
        <v>0</v>
      </c>
      <c r="BH29" s="340">
        <v>0</v>
      </c>
      <c r="BI29" s="340">
        <v>0</v>
      </c>
      <c r="BJ29" s="340">
        <v>0</v>
      </c>
      <c r="BK29" s="340">
        <v>0</v>
      </c>
      <c r="BL29" s="340">
        <v>0</v>
      </c>
      <c r="BM29" s="340">
        <v>0</v>
      </c>
      <c r="BN29" s="340">
        <v>0</v>
      </c>
      <c r="BO29" s="340">
        <v>0</v>
      </c>
      <c r="BP29" s="340">
        <v>0</v>
      </c>
      <c r="BQ29" s="340">
        <v>0</v>
      </c>
      <c r="BR29" s="340">
        <v>0</v>
      </c>
      <c r="BS29" s="340">
        <v>0</v>
      </c>
      <c r="BT29" s="340">
        <v>0</v>
      </c>
    </row>
    <row r="30" spans="2:72" ht="14.4" thickBot="1" x14ac:dyDescent="0.3">
      <c r="B30" s="1212"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0" s="69" t="s">
        <v>2044</v>
      </c>
      <c r="D30" s="69" t="s">
        <v>2054</v>
      </c>
      <c r="E30" s="69" t="s">
        <v>1264</v>
      </c>
      <c r="F30" s="1127" t="s">
        <v>1249</v>
      </c>
      <c r="G30" s="1213" t="s">
        <v>1676</v>
      </c>
      <c r="H30" s="1213" t="s">
        <v>2046</v>
      </c>
      <c r="I30" s="1213" t="s">
        <v>355</v>
      </c>
      <c r="J30" s="1213" t="s">
        <v>146</v>
      </c>
      <c r="K30" s="1437">
        <v>2</v>
      </c>
      <c r="L30" s="1439">
        <v>0</v>
      </c>
      <c r="M30" s="1439">
        <v>0</v>
      </c>
      <c r="N30" s="1439">
        <v>0</v>
      </c>
      <c r="O30" s="1439">
        <v>0</v>
      </c>
      <c r="P30" s="1439">
        <v>0</v>
      </c>
      <c r="Q30" s="1439">
        <v>0</v>
      </c>
      <c r="R30" s="340">
        <v>0.11816332519755564</v>
      </c>
      <c r="S30" s="340">
        <v>0.76917863108668938</v>
      </c>
      <c r="T30" s="340">
        <v>1.451219970315992</v>
      </c>
      <c r="U30" s="340">
        <v>1.9302609665400456</v>
      </c>
      <c r="V30" s="340">
        <v>2.3732168856927491</v>
      </c>
      <c r="W30" s="340">
        <v>2.9474803133962326</v>
      </c>
      <c r="X30" s="340">
        <v>3.5204560331108556</v>
      </c>
      <c r="Y30" s="340">
        <v>4.4431115933794869</v>
      </c>
      <c r="Z30" s="340">
        <v>5.1196349878965526</v>
      </c>
      <c r="AA30" s="340">
        <v>5.7799628589170382</v>
      </c>
      <c r="AB30" s="340">
        <v>6.2410728674324059</v>
      </c>
      <c r="AC30" s="340">
        <v>6.5245793932012344</v>
      </c>
      <c r="AD30" s="340">
        <v>6.8656539202900104</v>
      </c>
      <c r="AE30" s="340">
        <v>7.167416250705176</v>
      </c>
      <c r="AF30" s="340">
        <v>7.6170462291997616</v>
      </c>
      <c r="AG30" s="340">
        <v>7.8762584860039819</v>
      </c>
      <c r="AH30" s="340">
        <v>8.0959845950602016</v>
      </c>
      <c r="AI30" s="340">
        <v>8.2083231038079489</v>
      </c>
      <c r="AJ30" s="340">
        <v>8.3976063523161528</v>
      </c>
      <c r="AK30" s="340">
        <v>8.6457380598996068</v>
      </c>
      <c r="AL30" s="340">
        <v>8.7916537210517376</v>
      </c>
      <c r="AM30" s="340">
        <v>8.9751290556285941</v>
      </c>
      <c r="AN30" s="340">
        <v>9.2092751863506184</v>
      </c>
      <c r="AO30" s="340">
        <v>9.5421329111757469</v>
      </c>
      <c r="AP30" s="340">
        <v>9.8866183552152496</v>
      </c>
      <c r="AQ30" s="340">
        <v>9.8866183552152496</v>
      </c>
      <c r="AR30" s="340">
        <v>9.8866183552152496</v>
      </c>
      <c r="AS30" s="340">
        <v>9.8866183552152496</v>
      </c>
      <c r="AT30" s="340">
        <v>9.8866183552152496</v>
      </c>
      <c r="AU30" s="340">
        <v>9.8866183552152496</v>
      </c>
      <c r="AV30" s="340">
        <v>9.8866183552152496</v>
      </c>
      <c r="AW30" s="340">
        <v>9.8866183552152496</v>
      </c>
      <c r="AX30" s="340">
        <v>9.8866183552152496</v>
      </c>
      <c r="AY30" s="340">
        <v>9.8866183552152496</v>
      </c>
      <c r="AZ30" s="340">
        <v>9.8866183552152496</v>
      </c>
      <c r="BA30" s="340">
        <v>9.8866183552152496</v>
      </c>
      <c r="BB30" s="340">
        <v>9.8866183552152496</v>
      </c>
      <c r="BC30" s="340">
        <v>9.8866183552152496</v>
      </c>
      <c r="BD30" s="340">
        <v>9.8866183552152496</v>
      </c>
      <c r="BE30" s="340">
        <v>9.8866183552152496</v>
      </c>
      <c r="BF30" s="340">
        <v>9.8866183552152496</v>
      </c>
      <c r="BG30" s="340">
        <v>9.8866183552152496</v>
      </c>
      <c r="BH30" s="340">
        <v>9.8866183552152496</v>
      </c>
      <c r="BI30" s="340">
        <v>9.8866183552152496</v>
      </c>
      <c r="BJ30" s="340">
        <v>9.8866183552152496</v>
      </c>
      <c r="BK30" s="340">
        <v>9.8866183552152496</v>
      </c>
      <c r="BL30" s="340">
        <v>9.8866183552152496</v>
      </c>
      <c r="BM30" s="340">
        <v>9.8866183552152496</v>
      </c>
      <c r="BN30" s="340">
        <v>9.8866183552152496</v>
      </c>
      <c r="BO30" s="340">
        <v>9.8866183552152496</v>
      </c>
      <c r="BP30" s="340">
        <v>9.8866183552152496</v>
      </c>
      <c r="BQ30" s="340">
        <v>9.8866183552152496</v>
      </c>
      <c r="BR30" s="340">
        <v>9.8866183552152496</v>
      </c>
      <c r="BS30" s="340">
        <v>9.8866183552152496</v>
      </c>
      <c r="BT30" s="340">
        <v>9.8866183552152496</v>
      </c>
    </row>
    <row r="31" spans="2:72" ht="14.4" thickBot="1" x14ac:dyDescent="0.3">
      <c r="B31"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1" s="69" t="s">
        <v>1711</v>
      </c>
      <c r="D31" s="69" t="s">
        <v>1710</v>
      </c>
      <c r="E31" s="69" t="s">
        <v>778</v>
      </c>
      <c r="F31" s="1127" t="s">
        <v>1276</v>
      </c>
      <c r="G31" s="1213" t="s">
        <v>1676</v>
      </c>
      <c r="H31" s="1213" t="s">
        <v>2046</v>
      </c>
      <c r="I31" s="1213" t="s">
        <v>355</v>
      </c>
      <c r="J31" s="1213" t="s">
        <v>146</v>
      </c>
      <c r="K31" s="1437">
        <v>2</v>
      </c>
      <c r="L31" s="1439">
        <v>0</v>
      </c>
      <c r="M31" s="1439">
        <v>0</v>
      </c>
      <c r="N31" s="1439">
        <v>0</v>
      </c>
      <c r="O31" s="1439">
        <v>0</v>
      </c>
      <c r="P31" s="1439">
        <v>0</v>
      </c>
      <c r="Q31" s="1439">
        <v>0</v>
      </c>
      <c r="R31" s="340">
        <v>2.016894357461892E-2</v>
      </c>
      <c r="S31" s="340">
        <v>6.0498599973307685E-2</v>
      </c>
      <c r="T31" s="340">
        <v>0.10086833687293266</v>
      </c>
      <c r="U31" s="340">
        <v>0.14134477832215156</v>
      </c>
      <c r="V31" s="340">
        <v>0.1818830328749475</v>
      </c>
      <c r="W31" s="340">
        <v>0.22248985159096007</v>
      </c>
      <c r="X31" s="340">
        <v>0.26316686489631314</v>
      </c>
      <c r="Y31" s="340">
        <v>0.30391390446634492</v>
      </c>
      <c r="Z31" s="340">
        <v>0.34478783689648401</v>
      </c>
      <c r="AA31" s="340">
        <v>0.38571770776078634</v>
      </c>
      <c r="AB31" s="340">
        <v>0.4267123558788613</v>
      </c>
      <c r="AC31" s="340">
        <v>0.46777899128017414</v>
      </c>
      <c r="AD31" s="340">
        <v>0.50890919725174899</v>
      </c>
      <c r="AE31" s="340">
        <v>0.55021381912111711</v>
      </c>
      <c r="AF31" s="340">
        <v>0.59168095639169438</v>
      </c>
      <c r="AG31" s="340">
        <v>0.52561195689060936</v>
      </c>
      <c r="AH31" s="340">
        <v>0.52561195689060936</v>
      </c>
      <c r="AI31" s="340">
        <v>0.52561195689060936</v>
      </c>
      <c r="AJ31" s="340">
        <v>0.52561195689060936</v>
      </c>
      <c r="AK31" s="340">
        <v>0.52561195689060936</v>
      </c>
      <c r="AL31" s="340">
        <v>0.52561195689060936</v>
      </c>
      <c r="AM31" s="340">
        <v>0.52561195689060936</v>
      </c>
      <c r="AN31" s="340">
        <v>0.52561195689060936</v>
      </c>
      <c r="AO31" s="340">
        <v>0.52561195689060936</v>
      </c>
      <c r="AP31" s="340">
        <v>0.52561195689060936</v>
      </c>
      <c r="AQ31" s="340">
        <v>0.52561195689060936</v>
      </c>
      <c r="AR31" s="340">
        <v>0.52561195689060936</v>
      </c>
      <c r="AS31" s="340">
        <v>0.52561195689060936</v>
      </c>
      <c r="AT31" s="340">
        <v>0.52561195689060936</v>
      </c>
      <c r="AU31" s="340">
        <v>0.52561195689060936</v>
      </c>
      <c r="AV31" s="340">
        <v>0.52561195689060936</v>
      </c>
      <c r="AW31" s="340">
        <v>0.52561195689060936</v>
      </c>
      <c r="AX31" s="340">
        <v>0.52561195689060936</v>
      </c>
      <c r="AY31" s="340">
        <v>0.52561195689060936</v>
      </c>
      <c r="AZ31" s="340">
        <v>0.52561195689060936</v>
      </c>
      <c r="BA31" s="340">
        <v>0.52561195689060936</v>
      </c>
      <c r="BB31" s="340">
        <v>0.52561195689060936</v>
      </c>
      <c r="BC31" s="340">
        <v>0.52561195689060936</v>
      </c>
      <c r="BD31" s="340">
        <v>0.52561195689060936</v>
      </c>
      <c r="BE31" s="340">
        <v>0.52561195689060936</v>
      </c>
      <c r="BF31" s="340">
        <v>0.52561195689060936</v>
      </c>
      <c r="BG31" s="340">
        <v>0.52561195689060936</v>
      </c>
      <c r="BH31" s="340">
        <v>0.52561195689060936</v>
      </c>
      <c r="BI31" s="340">
        <v>0.52561195689060936</v>
      </c>
      <c r="BJ31" s="340">
        <v>0.52561195689060936</v>
      </c>
      <c r="BK31" s="340">
        <v>0.52561195689060936</v>
      </c>
      <c r="BL31" s="340">
        <v>0.52561195689060936</v>
      </c>
      <c r="BM31" s="340">
        <v>0.52561195689060936</v>
      </c>
      <c r="BN31" s="340">
        <v>0.52561195689060936</v>
      </c>
      <c r="BO31" s="340">
        <v>0.52561195689060936</v>
      </c>
      <c r="BP31" s="340">
        <v>0.52561195689060936</v>
      </c>
      <c r="BQ31" s="340">
        <v>0.52561195689060936</v>
      </c>
      <c r="BR31" s="340">
        <v>0.52561195689060936</v>
      </c>
      <c r="BS31" s="340">
        <v>0.52561195689060936</v>
      </c>
      <c r="BT31" s="340">
        <v>0.52561195689060936</v>
      </c>
    </row>
    <row r="32" spans="2:72" ht="29.25" customHeight="1" thickBot="1" x14ac:dyDescent="0.3">
      <c r="B32"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2" s="1435" t="s">
        <v>2019</v>
      </c>
      <c r="D32" s="69" t="s">
        <v>2021</v>
      </c>
      <c r="E32" s="69" t="s">
        <v>776</v>
      </c>
      <c r="F32" s="1127" t="s">
        <v>1276</v>
      </c>
      <c r="G32" s="1213" t="s">
        <v>1676</v>
      </c>
      <c r="H32" s="1213" t="s">
        <v>2046</v>
      </c>
      <c r="I32" s="1213" t="s">
        <v>355</v>
      </c>
      <c r="J32" s="1213" t="s">
        <v>146</v>
      </c>
      <c r="K32" s="1437">
        <v>2</v>
      </c>
      <c r="L32" s="1439">
        <v>0</v>
      </c>
      <c r="M32" s="1439">
        <v>0</v>
      </c>
      <c r="N32" s="1439">
        <v>0</v>
      </c>
      <c r="O32" s="1439">
        <v>0</v>
      </c>
      <c r="P32" s="1439">
        <v>0</v>
      </c>
      <c r="Q32" s="1439">
        <v>0</v>
      </c>
      <c r="R32" s="340">
        <v>0.13666656515766601</v>
      </c>
      <c r="S32" s="340">
        <v>0.27007255081391845</v>
      </c>
      <c r="T32" s="340">
        <v>0.40308625240248913</v>
      </c>
      <c r="U32" s="340">
        <v>0.53409851183187318</v>
      </c>
      <c r="V32" s="340">
        <v>0.66618227039761269</v>
      </c>
      <c r="W32" s="340">
        <v>0.79314784195143295</v>
      </c>
      <c r="X32" s="340">
        <v>0.91961333308426008</v>
      </c>
      <c r="Y32" s="340">
        <v>1.045505019981875</v>
      </c>
      <c r="Z32" s="340">
        <v>1.1707978271245445</v>
      </c>
      <c r="AA32" s="340">
        <v>1.2939539318220217</v>
      </c>
      <c r="AB32" s="340">
        <v>1.416975369989852</v>
      </c>
      <c r="AC32" s="340">
        <v>1.5368403015166439</v>
      </c>
      <c r="AD32" s="340">
        <v>1.6565529902877116</v>
      </c>
      <c r="AE32" s="340">
        <v>1.7761126496925772</v>
      </c>
      <c r="AF32" s="340">
        <v>1.8940210412678491</v>
      </c>
      <c r="AG32" s="340">
        <v>1.9481936448902786</v>
      </c>
      <c r="AH32" s="340">
        <v>2.0037949870928253</v>
      </c>
      <c r="AI32" s="340">
        <v>2.060817853582364</v>
      </c>
      <c r="AJ32" s="340">
        <v>2.1177738983309884</v>
      </c>
      <c r="AK32" s="340">
        <v>2.1761945668809792</v>
      </c>
      <c r="AL32" s="340">
        <v>2.2300829949369434</v>
      </c>
      <c r="AM32" s="340">
        <v>2.2824418493934076</v>
      </c>
      <c r="AN32" s="340">
        <v>2.3362574730811381</v>
      </c>
      <c r="AO32" s="340">
        <v>2.3900321633823496</v>
      </c>
      <c r="AP32" s="340">
        <v>2.4422752986978451</v>
      </c>
      <c r="AQ32" s="340">
        <v>2.4959670987718874</v>
      </c>
      <c r="AR32" s="340">
        <v>2.5496105803666937</v>
      </c>
      <c r="AS32" s="340">
        <v>2.6017250922474924</v>
      </c>
      <c r="AT32" s="340">
        <v>2.6552809083775823</v>
      </c>
      <c r="AU32" s="340">
        <v>2.7087880236817226</v>
      </c>
      <c r="AV32" s="340">
        <v>2.7607696681050617</v>
      </c>
      <c r="AW32" s="340">
        <v>2.8141859668765563</v>
      </c>
      <c r="AX32" s="340">
        <v>2.8660747821160197</v>
      </c>
      <c r="AY32" s="340">
        <v>2.919384111411262</v>
      </c>
      <c r="AZ32" s="340">
        <v>2.9726287992992098</v>
      </c>
      <c r="BA32" s="340">
        <v>3.0243406889636137</v>
      </c>
      <c r="BB32" s="340">
        <v>3.0774686874838793</v>
      </c>
      <c r="BC32" s="340">
        <v>3.1305327495483786</v>
      </c>
      <c r="BD32" s="340">
        <v>3.1820695499719203</v>
      </c>
      <c r="BE32" s="340">
        <v>3.2350181083738709</v>
      </c>
      <c r="BF32" s="340">
        <v>3.2864429397057648</v>
      </c>
      <c r="BG32" s="340">
        <v>3.3392767409329633</v>
      </c>
      <c r="BH32" s="340">
        <v>3.392053155595137</v>
      </c>
      <c r="BI32" s="340">
        <v>3.443311120473175</v>
      </c>
      <c r="BJ32" s="340">
        <v>3.4959739079230583</v>
      </c>
      <c r="BK32" s="340">
        <v>3.5485798793413843</v>
      </c>
      <c r="BL32" s="340">
        <v>3.599672636660209</v>
      </c>
      <c r="BM32" s="340">
        <v>3.6521687363305326</v>
      </c>
      <c r="BN32" s="340">
        <v>3.7046085779032998</v>
      </c>
      <c r="BO32" s="340">
        <v>3.7555403108858023</v>
      </c>
      <c r="BP32" s="340">
        <v>3.8078713461906117</v>
      </c>
      <c r="BQ32" s="340">
        <v>3.8587001038935287</v>
      </c>
      <c r="BR32" s="340">
        <v>3.9109255760614228</v>
      </c>
      <c r="BS32" s="340">
        <v>3.9630957067633856</v>
      </c>
      <c r="BT32" s="340">
        <v>4.0137684696662665</v>
      </c>
    </row>
    <row r="33" spans="2:72" ht="43.5" customHeight="1" thickBot="1" x14ac:dyDescent="0.3">
      <c r="B33"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3" s="69" t="s">
        <v>2020</v>
      </c>
      <c r="D33" s="69" t="s">
        <v>2022</v>
      </c>
      <c r="E33" s="69" t="s">
        <v>776</v>
      </c>
      <c r="F33" s="1127" t="s">
        <v>1276</v>
      </c>
      <c r="G33" s="1213" t="s">
        <v>1676</v>
      </c>
      <c r="H33" s="1213" t="s">
        <v>2046</v>
      </c>
      <c r="I33" s="1213" t="s">
        <v>355</v>
      </c>
      <c r="J33" s="1213" t="s">
        <v>146</v>
      </c>
      <c r="K33" s="1437">
        <v>2</v>
      </c>
      <c r="L33" s="1439">
        <v>0</v>
      </c>
      <c r="M33" s="1439">
        <v>0</v>
      </c>
      <c r="N33" s="1439">
        <v>0</v>
      </c>
      <c r="O33" s="1439">
        <v>0</v>
      </c>
      <c r="P33" s="1439">
        <v>0</v>
      </c>
      <c r="Q33" s="1439">
        <v>0</v>
      </c>
      <c r="R33" s="340">
        <v>0.67590083483410013</v>
      </c>
      <c r="S33" s="340">
        <v>2.0124677845200307</v>
      </c>
      <c r="T33" s="340">
        <v>3.3191775102725867</v>
      </c>
      <c r="U33" s="340">
        <v>4.596527597252889</v>
      </c>
      <c r="V33" s="340">
        <v>5.8460874475670472</v>
      </c>
      <c r="W33" s="340">
        <v>6.8281840013746447</v>
      </c>
      <c r="X33" s="340">
        <v>7.5471814572505505</v>
      </c>
      <c r="Y33" s="340">
        <v>8.2481938248947841</v>
      </c>
      <c r="Z33" s="340">
        <v>8.9316010225316678</v>
      </c>
      <c r="AA33" s="340">
        <v>9.5970163627296845</v>
      </c>
      <c r="AB33" s="340">
        <v>10.247633771170593</v>
      </c>
      <c r="AC33" s="340">
        <v>10.885539848450314</v>
      </c>
      <c r="AD33" s="340">
        <v>11.509740164555367</v>
      </c>
      <c r="AE33" s="340">
        <v>12.12206965338093</v>
      </c>
      <c r="AF33" s="340">
        <v>12.723658826950278</v>
      </c>
      <c r="AG33" s="340">
        <v>12.964723908011067</v>
      </c>
      <c r="AH33" s="340">
        <v>12.847531320251967</v>
      </c>
      <c r="AI33" s="340">
        <v>12.724023889631193</v>
      </c>
      <c r="AJ33" s="340">
        <v>12.592990136345545</v>
      </c>
      <c r="AK33" s="340">
        <v>12.455420640487766</v>
      </c>
      <c r="AL33" s="340">
        <v>12.465196766403405</v>
      </c>
      <c r="AM33" s="340">
        <v>12.620172684635588</v>
      </c>
      <c r="AN33" s="340">
        <v>12.766918805595839</v>
      </c>
      <c r="AO33" s="340">
        <v>12.906869945079425</v>
      </c>
      <c r="AP33" s="340">
        <v>13.039185378503891</v>
      </c>
      <c r="AQ33" s="340">
        <v>13.166392256458312</v>
      </c>
      <c r="AR33" s="340">
        <v>13.290449343818043</v>
      </c>
      <c r="AS33" s="340">
        <v>13.408267269681991</v>
      </c>
      <c r="AT33" s="340">
        <v>13.520112940585456</v>
      </c>
      <c r="AU33" s="340">
        <v>13.627904731002719</v>
      </c>
      <c r="AV33" s="340">
        <v>13.73021619633032</v>
      </c>
      <c r="AW33" s="340">
        <v>13.827275375883355</v>
      </c>
      <c r="AX33" s="340">
        <v>13.920410668914977</v>
      </c>
      <c r="AY33" s="340">
        <v>13.952880576638915</v>
      </c>
      <c r="AZ33" s="340">
        <v>13.927457273622354</v>
      </c>
      <c r="BA33" s="340">
        <v>13.903181502947497</v>
      </c>
      <c r="BB33" s="340">
        <v>13.879999133249646</v>
      </c>
      <c r="BC33" s="340">
        <v>13.858413298066653</v>
      </c>
      <c r="BD33" s="340">
        <v>13.847485833892502</v>
      </c>
      <c r="BE33" s="340">
        <v>13.846708018350009</v>
      </c>
      <c r="BF33" s="340">
        <v>13.846488739730249</v>
      </c>
      <c r="BG33" s="340">
        <v>13.846270187615033</v>
      </c>
      <c r="BH33" s="340">
        <v>13.846051414009565</v>
      </c>
      <c r="BI33" s="340">
        <v>13.845838416421181</v>
      </c>
      <c r="BJ33" s="340">
        <v>13.845626124378095</v>
      </c>
      <c r="BK33" s="340">
        <v>13.845962783172615</v>
      </c>
      <c r="BL33" s="340">
        <v>13.845752259335566</v>
      </c>
      <c r="BM33" s="340">
        <v>13.844992228389081</v>
      </c>
      <c r="BN33" s="340">
        <v>13.845331215589363</v>
      </c>
      <c r="BO33" s="340">
        <v>13.845124724746848</v>
      </c>
      <c r="BP33" s="340">
        <v>13.84437047228843</v>
      </c>
      <c r="BQ33" s="340">
        <v>13.844167832454167</v>
      </c>
      <c r="BR33" s="340">
        <v>13.843966812657671</v>
      </c>
      <c r="BS33" s="340">
        <v>13.843763645429336</v>
      </c>
      <c r="BT33" s="340">
        <v>13.843564861391975</v>
      </c>
    </row>
    <row r="34" spans="2:72" ht="15" customHeight="1" thickBot="1" x14ac:dyDescent="0.3">
      <c r="B34"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4" s="69" t="s">
        <v>1811</v>
      </c>
      <c r="D34" s="69" t="s">
        <v>1810</v>
      </c>
      <c r="E34" s="69" t="s">
        <v>775</v>
      </c>
      <c r="F34" s="1127" t="s">
        <v>1276</v>
      </c>
      <c r="G34" s="1213" t="s">
        <v>1676</v>
      </c>
      <c r="H34" s="1213" t="s">
        <v>2046</v>
      </c>
      <c r="I34" s="1213" t="s">
        <v>355</v>
      </c>
      <c r="J34" s="1213" t="s">
        <v>146</v>
      </c>
      <c r="K34" s="1437">
        <v>2</v>
      </c>
      <c r="L34" s="1439">
        <v>0</v>
      </c>
      <c r="M34" s="1439">
        <v>0</v>
      </c>
      <c r="N34" s="1439">
        <v>0</v>
      </c>
      <c r="O34" s="1439">
        <v>0</v>
      </c>
      <c r="P34" s="1439">
        <v>0</v>
      </c>
      <c r="Q34" s="1439">
        <v>0</v>
      </c>
      <c r="R34" s="340">
        <v>0</v>
      </c>
      <c r="S34" s="340">
        <v>0</v>
      </c>
      <c r="T34" s="340">
        <v>0</v>
      </c>
      <c r="U34" s="340">
        <v>0</v>
      </c>
      <c r="V34" s="340">
        <v>0</v>
      </c>
      <c r="W34" s="340">
        <v>9.2051999999999995E-2</v>
      </c>
      <c r="X34" s="340">
        <v>0.275868</v>
      </c>
      <c r="Y34" s="340">
        <v>0.46000799999999997</v>
      </c>
      <c r="Z34" s="340">
        <v>0.64490399999999992</v>
      </c>
      <c r="AA34" s="340">
        <v>0.83098799999999995</v>
      </c>
      <c r="AB34" s="340">
        <v>1.0173239999999999</v>
      </c>
      <c r="AC34" s="340">
        <v>1.203444</v>
      </c>
      <c r="AD34" s="340">
        <v>1.3906799999999999</v>
      </c>
      <c r="AE34" s="340">
        <v>1.5790319999999998</v>
      </c>
      <c r="AF34" s="340">
        <v>1.7680319999999998</v>
      </c>
      <c r="AG34" s="340">
        <v>1.9576799999999999</v>
      </c>
      <c r="AH34" s="340">
        <v>2.1475079999999998</v>
      </c>
      <c r="AI34" s="340">
        <v>2.3374799999999998</v>
      </c>
      <c r="AJ34" s="340">
        <v>2.5284959999999996</v>
      </c>
      <c r="AK34" s="340">
        <v>2.7200880000000001</v>
      </c>
      <c r="AL34" s="340">
        <v>2.9113199999999999</v>
      </c>
      <c r="AM34" s="340">
        <v>3.1030559999999996</v>
      </c>
      <c r="AN34" s="340">
        <v>3.2966999999999995</v>
      </c>
      <c r="AO34" s="340">
        <v>3.4917839999999996</v>
      </c>
      <c r="AP34" s="340">
        <v>3.6883079999999997</v>
      </c>
      <c r="AQ34" s="340">
        <v>3.8849759999999995</v>
      </c>
      <c r="AR34" s="340">
        <v>4.0808159999999996</v>
      </c>
      <c r="AS34" s="340">
        <v>4.2775919999999994</v>
      </c>
      <c r="AT34" s="340">
        <v>4.4757720000000001</v>
      </c>
      <c r="AU34" s="340">
        <v>4.6744200000000005</v>
      </c>
      <c r="AV34" s="340">
        <v>4.7737440000000007</v>
      </c>
      <c r="AW34" s="340">
        <v>4.7737440000000007</v>
      </c>
      <c r="AX34" s="340">
        <v>4.7737440000000007</v>
      </c>
      <c r="AY34" s="340">
        <v>4.7737440000000007</v>
      </c>
      <c r="AZ34" s="340">
        <v>4.7737440000000007</v>
      </c>
      <c r="BA34" s="340">
        <v>4.7737440000000007</v>
      </c>
      <c r="BB34" s="340">
        <v>4.7737440000000007</v>
      </c>
      <c r="BC34" s="340">
        <v>4.7737440000000007</v>
      </c>
      <c r="BD34" s="340">
        <v>4.7737440000000007</v>
      </c>
      <c r="BE34" s="340">
        <v>4.7737440000000007</v>
      </c>
      <c r="BF34" s="340">
        <v>4.7737440000000007</v>
      </c>
      <c r="BG34" s="340">
        <v>4.7737440000000007</v>
      </c>
      <c r="BH34" s="340">
        <v>4.7737440000000007</v>
      </c>
      <c r="BI34" s="340">
        <v>4.7737440000000007</v>
      </c>
      <c r="BJ34" s="340">
        <v>4.7737440000000007</v>
      </c>
      <c r="BK34" s="340">
        <v>4.7737440000000007</v>
      </c>
      <c r="BL34" s="340">
        <v>4.7737440000000007</v>
      </c>
      <c r="BM34" s="340">
        <v>4.7737440000000007</v>
      </c>
      <c r="BN34" s="340">
        <v>4.7737440000000007</v>
      </c>
      <c r="BO34" s="340">
        <v>4.7737440000000007</v>
      </c>
      <c r="BP34" s="340">
        <v>4.7737440000000007</v>
      </c>
      <c r="BQ34" s="340">
        <v>4.7737440000000007</v>
      </c>
      <c r="BR34" s="340">
        <v>4.7737440000000007</v>
      </c>
      <c r="BS34" s="340">
        <v>4.7737440000000007</v>
      </c>
      <c r="BT34" s="340">
        <v>4.7737440000000007</v>
      </c>
    </row>
    <row r="35" spans="2:72" ht="43.5" customHeight="1" thickBot="1" x14ac:dyDescent="0.3">
      <c r="B35"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5" s="69" t="s">
        <v>1813</v>
      </c>
      <c r="D35" s="69" t="s">
        <v>1812</v>
      </c>
      <c r="E35" s="69" t="s">
        <v>776</v>
      </c>
      <c r="F35" s="1127" t="s">
        <v>1276</v>
      </c>
      <c r="G35" s="1213" t="s">
        <v>1676</v>
      </c>
      <c r="H35" s="1213" t="s">
        <v>2046</v>
      </c>
      <c r="I35" s="1213" t="s">
        <v>355</v>
      </c>
      <c r="J35" s="1213" t="s">
        <v>146</v>
      </c>
      <c r="K35" s="1437">
        <v>2</v>
      </c>
      <c r="L35" s="1439">
        <v>0</v>
      </c>
      <c r="M35" s="1439">
        <v>0</v>
      </c>
      <c r="N35" s="1439">
        <v>0</v>
      </c>
      <c r="O35" s="1439">
        <v>0</v>
      </c>
      <c r="P35" s="1439">
        <v>0</v>
      </c>
      <c r="Q35" s="1439">
        <v>0</v>
      </c>
      <c r="R35" s="340">
        <v>0</v>
      </c>
      <c r="S35" s="340">
        <v>0.77458625999999997</v>
      </c>
      <c r="T35" s="340">
        <v>1.5602605199999999</v>
      </c>
      <c r="U35" s="340">
        <v>2.3562667800000003</v>
      </c>
      <c r="V35" s="340">
        <v>3.1633610399999998</v>
      </c>
      <c r="W35" s="340">
        <v>3.9803462999999999</v>
      </c>
      <c r="X35" s="340">
        <v>4.8077895599999998</v>
      </c>
      <c r="Y35" s="340">
        <v>5.6430448200000001</v>
      </c>
      <c r="Z35" s="340">
        <v>6.4880020800000002</v>
      </c>
      <c r="AA35" s="340">
        <v>7.3415273399999998</v>
      </c>
      <c r="AB35" s="340">
        <v>0.3</v>
      </c>
      <c r="AC35" s="340">
        <v>0.3</v>
      </c>
      <c r="AD35" s="340">
        <v>0.3</v>
      </c>
      <c r="AE35" s="340">
        <v>0.3</v>
      </c>
      <c r="AF35" s="340">
        <v>0.3</v>
      </c>
      <c r="AG35" s="340">
        <v>0.3</v>
      </c>
      <c r="AH35" s="340">
        <v>0.15</v>
      </c>
      <c r="AI35" s="340">
        <v>0</v>
      </c>
      <c r="AJ35" s="340">
        <v>0</v>
      </c>
      <c r="AK35" s="340">
        <v>0</v>
      </c>
      <c r="AL35" s="340">
        <v>0</v>
      </c>
      <c r="AM35" s="340">
        <v>0</v>
      </c>
      <c r="AN35" s="340">
        <v>0</v>
      </c>
      <c r="AO35" s="340">
        <v>0</v>
      </c>
      <c r="AP35" s="340">
        <v>0</v>
      </c>
      <c r="AQ35" s="340">
        <v>0</v>
      </c>
      <c r="AR35" s="340">
        <v>0</v>
      </c>
      <c r="AS35" s="340">
        <v>0</v>
      </c>
      <c r="AT35" s="340">
        <v>0</v>
      </c>
      <c r="AU35" s="340">
        <v>0</v>
      </c>
      <c r="AV35" s="340">
        <v>0</v>
      </c>
      <c r="AW35" s="340">
        <v>0</v>
      </c>
      <c r="AX35" s="340">
        <v>0</v>
      </c>
      <c r="AY35" s="340">
        <v>0</v>
      </c>
      <c r="AZ35" s="340">
        <v>0</v>
      </c>
      <c r="BA35" s="340">
        <v>0</v>
      </c>
      <c r="BB35" s="340">
        <v>0</v>
      </c>
      <c r="BC35" s="340">
        <v>0</v>
      </c>
      <c r="BD35" s="340">
        <v>0</v>
      </c>
      <c r="BE35" s="340">
        <v>0</v>
      </c>
      <c r="BF35" s="340">
        <v>0</v>
      </c>
      <c r="BG35" s="340">
        <v>0</v>
      </c>
      <c r="BH35" s="340">
        <v>0</v>
      </c>
      <c r="BI35" s="340">
        <v>0</v>
      </c>
      <c r="BJ35" s="340">
        <v>0</v>
      </c>
      <c r="BK35" s="340">
        <v>0</v>
      </c>
      <c r="BL35" s="340">
        <v>0</v>
      </c>
      <c r="BM35" s="340">
        <v>0</v>
      </c>
      <c r="BN35" s="340">
        <v>0</v>
      </c>
      <c r="BO35" s="340">
        <v>0</v>
      </c>
      <c r="BP35" s="340">
        <v>0</v>
      </c>
      <c r="BQ35" s="340">
        <v>0</v>
      </c>
      <c r="BR35" s="340">
        <v>0</v>
      </c>
      <c r="BS35" s="340">
        <v>0</v>
      </c>
      <c r="BT35" s="340">
        <v>0</v>
      </c>
    </row>
    <row r="36" spans="2:72" ht="14.4" thickBot="1" x14ac:dyDescent="0.3">
      <c r="B36"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6" s="69" t="s">
        <v>1819</v>
      </c>
      <c r="D36" s="69" t="s">
        <v>1818</v>
      </c>
      <c r="E36" s="69" t="s">
        <v>778</v>
      </c>
      <c r="F36" s="1127" t="s">
        <v>1276</v>
      </c>
      <c r="G36" s="1213" t="s">
        <v>1676</v>
      </c>
      <c r="H36" s="1213" t="s">
        <v>2046</v>
      </c>
      <c r="I36" s="1213" t="s">
        <v>355</v>
      </c>
      <c r="J36" s="1213" t="s">
        <v>146</v>
      </c>
      <c r="K36" s="1437">
        <v>2</v>
      </c>
      <c r="L36" s="1439">
        <v>0</v>
      </c>
      <c r="M36" s="1439">
        <v>0</v>
      </c>
      <c r="N36" s="1439">
        <v>0</v>
      </c>
      <c r="O36" s="1439">
        <v>0</v>
      </c>
      <c r="P36" s="1439">
        <v>0</v>
      </c>
      <c r="Q36" s="1439">
        <v>0</v>
      </c>
      <c r="R36" s="340">
        <v>0</v>
      </c>
      <c r="S36" s="340">
        <v>0</v>
      </c>
      <c r="T36" s="340">
        <v>0</v>
      </c>
      <c r="U36" s="340">
        <v>0</v>
      </c>
      <c r="V36" s="340">
        <v>0</v>
      </c>
      <c r="W36" s="340">
        <v>0.33627161572095365</v>
      </c>
      <c r="X36" s="340">
        <v>0.99132583722168111</v>
      </c>
      <c r="Y36" s="340">
        <v>1.6247969409166372</v>
      </c>
      <c r="Z36" s="340">
        <v>2.2433803287026559</v>
      </c>
      <c r="AA36" s="340">
        <v>2.8542676033289043</v>
      </c>
      <c r="AB36" s="340">
        <v>3.444179322728214</v>
      </c>
      <c r="AC36" s="340">
        <v>4.0064605331282745</v>
      </c>
      <c r="AD36" s="340">
        <v>4.5619106010294059</v>
      </c>
      <c r="AE36" s="340">
        <v>5.1108334269373543</v>
      </c>
      <c r="AF36" s="340">
        <v>5.6468427277397693</v>
      </c>
      <c r="AG36" s="340">
        <v>6.1726191435591984</v>
      </c>
      <c r="AH36" s="340">
        <v>6.6844490816119198</v>
      </c>
      <c r="AI36" s="340">
        <v>7.1824169723543294</v>
      </c>
      <c r="AJ36" s="340">
        <v>7.6793729329395859</v>
      </c>
      <c r="AK36" s="340">
        <v>8.1688628777219385</v>
      </c>
      <c r="AL36" s="340">
        <v>8.6381427207575836</v>
      </c>
      <c r="AM36" s="340">
        <v>9.0999890703398805</v>
      </c>
      <c r="AN36" s="340">
        <v>9.5734923585781235</v>
      </c>
      <c r="AO36" s="340">
        <v>10.052166136714019</v>
      </c>
      <c r="AP36" s="340">
        <v>10.535445104219093</v>
      </c>
      <c r="AQ36" s="340">
        <v>11.004321935909067</v>
      </c>
      <c r="AR36" s="340">
        <v>11.446410088643393</v>
      </c>
      <c r="AS36" s="340">
        <v>11.886718919070368</v>
      </c>
      <c r="AT36" s="340">
        <v>12.33153046305272</v>
      </c>
      <c r="AU36" s="340">
        <v>12.768489722659666</v>
      </c>
      <c r="AV36" s="340">
        <v>12.983466662272889</v>
      </c>
      <c r="AW36" s="340">
        <v>12.983466662272889</v>
      </c>
      <c r="AX36" s="340">
        <v>12.983466662272889</v>
      </c>
      <c r="AY36" s="340">
        <v>12.983466662272889</v>
      </c>
      <c r="AZ36" s="340">
        <v>12.983466662272889</v>
      </c>
      <c r="BA36" s="340">
        <v>12.983466662272889</v>
      </c>
      <c r="BB36" s="340">
        <v>12.983466662272889</v>
      </c>
      <c r="BC36" s="340">
        <v>12.983466662272889</v>
      </c>
      <c r="BD36" s="340">
        <v>12.983466662272889</v>
      </c>
      <c r="BE36" s="340">
        <v>12.983466662272889</v>
      </c>
      <c r="BF36" s="340">
        <v>12.983466662272889</v>
      </c>
      <c r="BG36" s="340">
        <v>12.983466662272889</v>
      </c>
      <c r="BH36" s="340">
        <v>12.983466662272889</v>
      </c>
      <c r="BI36" s="340">
        <v>12.983466662272889</v>
      </c>
      <c r="BJ36" s="340">
        <v>12.983466662272889</v>
      </c>
      <c r="BK36" s="340">
        <v>12.983466662272889</v>
      </c>
      <c r="BL36" s="340">
        <v>12.983466662272889</v>
      </c>
      <c r="BM36" s="340">
        <v>12.983466662272889</v>
      </c>
      <c r="BN36" s="340">
        <v>12.983466662272889</v>
      </c>
      <c r="BO36" s="340">
        <v>12.983466662272889</v>
      </c>
      <c r="BP36" s="340">
        <v>12.983466662272889</v>
      </c>
      <c r="BQ36" s="340">
        <v>12.983466662272889</v>
      </c>
      <c r="BR36" s="340">
        <v>12.983466662272889</v>
      </c>
      <c r="BS36" s="340">
        <v>12.983466662272889</v>
      </c>
      <c r="BT36" s="340">
        <v>12.983466662272889</v>
      </c>
    </row>
    <row r="37" spans="2:72" ht="28.2" thickBot="1" x14ac:dyDescent="0.3">
      <c r="B37"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 s="69" t="s">
        <v>1851</v>
      </c>
      <c r="D37" s="69" t="s">
        <v>1850</v>
      </c>
      <c r="E37" s="69" t="s">
        <v>778</v>
      </c>
      <c r="F37" s="1127" t="s">
        <v>1276</v>
      </c>
      <c r="G37" s="1213" t="s">
        <v>1676</v>
      </c>
      <c r="H37" s="1213" t="s">
        <v>2046</v>
      </c>
      <c r="I37" s="1213" t="s">
        <v>355</v>
      </c>
      <c r="J37" s="1213" t="s">
        <v>146</v>
      </c>
      <c r="K37" s="1437">
        <v>2</v>
      </c>
      <c r="L37" s="1439">
        <v>0</v>
      </c>
      <c r="M37" s="1439">
        <v>0</v>
      </c>
      <c r="N37" s="1439">
        <v>0</v>
      </c>
      <c r="O37" s="1439">
        <v>0</v>
      </c>
      <c r="P37" s="1439">
        <v>0</v>
      </c>
      <c r="Q37" s="1439">
        <v>0</v>
      </c>
      <c r="R37" s="340">
        <v>8.4820795860918591E-2</v>
      </c>
      <c r="S37" s="340">
        <v>0.31514380415426557</v>
      </c>
      <c r="T37" s="340">
        <v>0.66634875004492211</v>
      </c>
      <c r="U37" s="340">
        <v>1.1376223850776428</v>
      </c>
      <c r="V37" s="340">
        <v>1.7283531609188691</v>
      </c>
      <c r="W37" s="340">
        <v>2.4379128045427292</v>
      </c>
      <c r="X37" s="340">
        <v>3.2656526282341707</v>
      </c>
      <c r="Y37" s="340">
        <v>4.2109049670573242</v>
      </c>
      <c r="Z37" s="340">
        <v>5.2728964110752035</v>
      </c>
      <c r="AA37" s="340">
        <v>6.4506935413908488</v>
      </c>
      <c r="AB37" s="340">
        <v>7.7438870316156665</v>
      </c>
      <c r="AC37" s="340">
        <v>9.1520222588030133</v>
      </c>
      <c r="AD37" s="340">
        <v>10.674207662823607</v>
      </c>
      <c r="AE37" s="340">
        <v>12.309382075582148</v>
      </c>
      <c r="AF37" s="340">
        <v>14.056401928858381</v>
      </c>
      <c r="AG37" s="340">
        <v>15.71346305949743</v>
      </c>
      <c r="AH37" s="340">
        <v>17.103814911749851</v>
      </c>
      <c r="AI37" s="340">
        <v>18.252939976973849</v>
      </c>
      <c r="AJ37" s="340">
        <v>19.162336806112773</v>
      </c>
      <c r="AK37" s="340">
        <v>19.833279245531553</v>
      </c>
      <c r="AL37" s="340">
        <v>20.267036315857922</v>
      </c>
      <c r="AM37" s="340">
        <v>20.464877260373171</v>
      </c>
      <c r="AN37" s="340">
        <v>20.428071347165609</v>
      </c>
      <c r="AO37" s="340">
        <v>20.157975778505605</v>
      </c>
      <c r="AP37" s="340">
        <v>19.656091010568957</v>
      </c>
      <c r="AQ37" s="340">
        <v>18.923377639254664</v>
      </c>
      <c r="AR37" s="340">
        <v>17.960826698992427</v>
      </c>
      <c r="AS37" s="340">
        <v>16.769852142242065</v>
      </c>
      <c r="AT37" s="340">
        <v>15.352024299575154</v>
      </c>
      <c r="AU37" s="340">
        <v>13.70898340097691</v>
      </c>
      <c r="AV37" s="340">
        <v>12.01451926813659</v>
      </c>
      <c r="AW37" s="340">
        <v>10.441262201250471</v>
      </c>
      <c r="AX37" s="340">
        <v>8.9883499837954641</v>
      </c>
      <c r="AY37" s="340">
        <v>7.6550973132834619</v>
      </c>
      <c r="AZ37" s="340">
        <v>6.4408418916831014</v>
      </c>
      <c r="BA37" s="340">
        <v>5.3449429713925181</v>
      </c>
      <c r="BB37" s="340">
        <v>4.3667799968454721</v>
      </c>
      <c r="BC37" s="340">
        <v>3.505751364889528</v>
      </c>
      <c r="BD37" s="340">
        <v>2.7612732831913043</v>
      </c>
      <c r="BE37" s="340">
        <v>2.1327787144719519</v>
      </c>
      <c r="BF37" s="340">
        <v>1.6197163892210718</v>
      </c>
      <c r="BG37" s="340">
        <v>1.2215498959556119</v>
      </c>
      <c r="BH37" s="340">
        <v>0.93775684234502366</v>
      </c>
      <c r="BI37" s="340">
        <v>0.76782806591304342</v>
      </c>
      <c r="BJ37" s="340">
        <v>0.71126690489469746</v>
      </c>
      <c r="BK37" s="340">
        <v>0.71126690489469746</v>
      </c>
      <c r="BL37" s="340">
        <v>0.71126690489469746</v>
      </c>
      <c r="BM37" s="340">
        <v>0.71126690489469746</v>
      </c>
      <c r="BN37" s="340">
        <v>0.71126690489469746</v>
      </c>
      <c r="BO37" s="340">
        <v>0.71126690489469746</v>
      </c>
      <c r="BP37" s="340">
        <v>0.71126690489469746</v>
      </c>
      <c r="BQ37" s="340">
        <v>0.71126690489469746</v>
      </c>
      <c r="BR37" s="340">
        <v>0.71126690489469746</v>
      </c>
      <c r="BS37" s="340">
        <v>0.71126690489469746</v>
      </c>
      <c r="BT37" s="340">
        <v>0.71126690489469746</v>
      </c>
    </row>
    <row r="38" spans="2:72" ht="28.2" thickBot="1" x14ac:dyDescent="0.3">
      <c r="B38"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8" s="69" t="s">
        <v>1835</v>
      </c>
      <c r="D38" s="69" t="s">
        <v>1834</v>
      </c>
      <c r="E38" s="69" t="s">
        <v>1302</v>
      </c>
      <c r="F38" s="1127" t="s">
        <v>1276</v>
      </c>
      <c r="G38" s="1213" t="s">
        <v>1676</v>
      </c>
      <c r="H38" s="1213" t="s">
        <v>2046</v>
      </c>
      <c r="I38" s="1213" t="s">
        <v>355</v>
      </c>
      <c r="J38" s="1213" t="s">
        <v>146</v>
      </c>
      <c r="K38" s="1437">
        <v>2</v>
      </c>
      <c r="L38" s="1439">
        <v>0</v>
      </c>
      <c r="M38" s="1439">
        <v>0</v>
      </c>
      <c r="N38" s="1439">
        <v>0</v>
      </c>
      <c r="O38" s="1439">
        <v>0</v>
      </c>
      <c r="P38" s="1439">
        <v>0</v>
      </c>
      <c r="Q38" s="1439">
        <v>0</v>
      </c>
      <c r="R38" s="340">
        <v>2.6059998012160079E-2</v>
      </c>
      <c r="S38" s="340">
        <v>7.8226522145200067E-2</v>
      </c>
      <c r="T38" s="340">
        <v>0.13048373707679828</v>
      </c>
      <c r="U38" s="340">
        <v>0.18283732142472187</v>
      </c>
      <c r="V38" s="340">
        <v>0.23530098128397825</v>
      </c>
      <c r="W38" s="340">
        <v>0.2878702349407849</v>
      </c>
      <c r="X38" s="340">
        <v>0.34053684477843471</v>
      </c>
      <c r="Y38" s="340">
        <v>0.39330078863887752</v>
      </c>
      <c r="Z38" s="340">
        <v>0.44616337636248726</v>
      </c>
      <c r="AA38" s="340">
        <v>0.49911604880957894</v>
      </c>
      <c r="AB38" s="340">
        <v>0.52561195689060936</v>
      </c>
      <c r="AC38" s="340">
        <v>0.52561195689060936</v>
      </c>
      <c r="AD38" s="340">
        <v>0.52561195689060936</v>
      </c>
      <c r="AE38" s="340">
        <v>0.52561195689060936</v>
      </c>
      <c r="AF38" s="340">
        <v>0.52561195689060936</v>
      </c>
      <c r="AG38" s="340">
        <v>0.52561195689060936</v>
      </c>
      <c r="AH38" s="340">
        <v>0.52561195689060936</v>
      </c>
      <c r="AI38" s="340">
        <v>0.52561195689060936</v>
      </c>
      <c r="AJ38" s="340">
        <v>0.52561195689060936</v>
      </c>
      <c r="AK38" s="340">
        <v>0.52561195689060936</v>
      </c>
      <c r="AL38" s="340">
        <v>0.52561195689060936</v>
      </c>
      <c r="AM38" s="340">
        <v>0.52561195689060936</v>
      </c>
      <c r="AN38" s="340">
        <v>0.52561195689060936</v>
      </c>
      <c r="AO38" s="340">
        <v>0.52561195689060936</v>
      </c>
      <c r="AP38" s="340">
        <v>0.52561195689060936</v>
      </c>
      <c r="AQ38" s="340">
        <v>0.52561195689060936</v>
      </c>
      <c r="AR38" s="340">
        <v>0.52561195689060936</v>
      </c>
      <c r="AS38" s="340">
        <v>0.52561195689060936</v>
      </c>
      <c r="AT38" s="340">
        <v>0.52561195689060936</v>
      </c>
      <c r="AU38" s="340">
        <v>0.52561195689060936</v>
      </c>
      <c r="AV38" s="340">
        <v>0.52561195689060936</v>
      </c>
      <c r="AW38" s="340">
        <v>0.52561195689060936</v>
      </c>
      <c r="AX38" s="340">
        <v>0.52561195689060936</v>
      </c>
      <c r="AY38" s="340">
        <v>0.52561195689060936</v>
      </c>
      <c r="AZ38" s="340">
        <v>0.52561195689060936</v>
      </c>
      <c r="BA38" s="340">
        <v>0.52561195689060936</v>
      </c>
      <c r="BB38" s="340">
        <v>0.52561195689060936</v>
      </c>
      <c r="BC38" s="340">
        <v>0.52561195689060936</v>
      </c>
      <c r="BD38" s="340">
        <v>0.52561195689060936</v>
      </c>
      <c r="BE38" s="340">
        <v>0.52561195689060936</v>
      </c>
      <c r="BF38" s="340">
        <v>0.52561195689060936</v>
      </c>
      <c r="BG38" s="340">
        <v>0.52561195689060936</v>
      </c>
      <c r="BH38" s="340">
        <v>0.52561195689060936</v>
      </c>
      <c r="BI38" s="340">
        <v>0.52561195689060936</v>
      </c>
      <c r="BJ38" s="340">
        <v>0.52561195689060936</v>
      </c>
      <c r="BK38" s="340">
        <v>0.52561195689060936</v>
      </c>
      <c r="BL38" s="340">
        <v>0.52561195689060936</v>
      </c>
      <c r="BM38" s="340">
        <v>0.52561195689060936</v>
      </c>
      <c r="BN38" s="340">
        <v>0.52561195689060936</v>
      </c>
      <c r="BO38" s="340">
        <v>0.52561195689060936</v>
      </c>
      <c r="BP38" s="340">
        <v>0.52561195689060936</v>
      </c>
      <c r="BQ38" s="340">
        <v>0.52561195689060936</v>
      </c>
      <c r="BR38" s="340">
        <v>0.52561195689060936</v>
      </c>
      <c r="BS38" s="340">
        <v>0.52561195689060936</v>
      </c>
      <c r="BT38" s="340">
        <v>0.52561195689060936</v>
      </c>
    </row>
    <row r="39" spans="2:72" ht="82.5" customHeight="1" thickBot="1" x14ac:dyDescent="0.3">
      <c r="B39"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9" s="69" t="s">
        <v>1870</v>
      </c>
      <c r="D39" s="69" t="s">
        <v>1869</v>
      </c>
      <c r="E39" s="69" t="s">
        <v>1311</v>
      </c>
      <c r="F39" s="1127" t="s">
        <v>1276</v>
      </c>
      <c r="G39" s="1213" t="s">
        <v>1676</v>
      </c>
      <c r="H39" s="1213" t="s">
        <v>2046</v>
      </c>
      <c r="I39" s="1213" t="s">
        <v>355</v>
      </c>
      <c r="J39" s="1213" t="s">
        <v>146</v>
      </c>
      <c r="K39" s="1437">
        <v>2</v>
      </c>
      <c r="L39" s="1439">
        <v>0</v>
      </c>
      <c r="M39" s="1439">
        <v>0</v>
      </c>
      <c r="N39" s="1439">
        <v>0</v>
      </c>
      <c r="O39" s="1439">
        <v>0</v>
      </c>
      <c r="P39" s="1439">
        <v>0</v>
      </c>
      <c r="Q39" s="1439">
        <v>0</v>
      </c>
      <c r="R39" s="340">
        <v>6.3027948670684114E-3</v>
      </c>
      <c r="S39" s="340">
        <v>1.5745887681811253E-2</v>
      </c>
      <c r="T39" s="340">
        <v>2.2014517529726416E-2</v>
      </c>
      <c r="U39" s="340">
        <v>2.8260913641300036E-2</v>
      </c>
      <c r="V39" s="340">
        <v>3.4488001959861785E-2</v>
      </c>
      <c r="W39" s="340">
        <v>4.0697023252590711E-2</v>
      </c>
      <c r="X39" s="340">
        <v>4.6888362652144369E-2</v>
      </c>
      <c r="Y39" s="340">
        <v>5.3062183386070952E-2</v>
      </c>
      <c r="Z39" s="340">
        <v>5.9217923862187168E-2</v>
      </c>
      <c r="AA39" s="340">
        <v>6.5966984543410476E-2</v>
      </c>
      <c r="AB39" s="340">
        <v>7.3309337175953504E-2</v>
      </c>
      <c r="AC39" s="340">
        <v>8.063178429163996E-2</v>
      </c>
      <c r="AD39" s="340">
        <v>8.7933035455978414E-2</v>
      </c>
      <c r="AE39" s="340">
        <v>9.5211437169518562E-2</v>
      </c>
      <c r="AF39" s="340">
        <v>0.10246519973855719</v>
      </c>
      <c r="AG39" s="340">
        <v>0.10969625223521133</v>
      </c>
      <c r="AH39" s="340">
        <v>0.11690738168369515</v>
      </c>
      <c r="AI39" s="340">
        <v>0.12409964322410434</v>
      </c>
      <c r="AJ39" s="340">
        <v>0.13127344263655846</v>
      </c>
      <c r="AK39" s="340">
        <v>0.13842916608983355</v>
      </c>
      <c r="AL39" s="340">
        <v>0.14556718135961327</v>
      </c>
      <c r="AM39" s="340">
        <v>0.15268783905795197</v>
      </c>
      <c r="AN39" s="340">
        <v>0.15979147370130953</v>
      </c>
      <c r="AO39" s="340">
        <v>0.16687840467244094</v>
      </c>
      <c r="AP39" s="340">
        <v>0.1739489370853517</v>
      </c>
      <c r="AQ39" s="340">
        <v>0.17748014092424247</v>
      </c>
      <c r="AR39" s="340">
        <v>0.17748014092424247</v>
      </c>
      <c r="AS39" s="340">
        <v>0.17748014092424247</v>
      </c>
      <c r="AT39" s="340">
        <v>0.17748014092424247</v>
      </c>
      <c r="AU39" s="340">
        <v>0.17748014092424247</v>
      </c>
      <c r="AV39" s="340">
        <v>0.17748014092424247</v>
      </c>
      <c r="AW39" s="340">
        <v>0.17748014092424247</v>
      </c>
      <c r="AX39" s="340">
        <v>0.17748014092424247</v>
      </c>
      <c r="AY39" s="340">
        <v>0.17748014092424247</v>
      </c>
      <c r="AZ39" s="340">
        <v>0.17748014092424247</v>
      </c>
      <c r="BA39" s="340">
        <v>0.17748014092424247</v>
      </c>
      <c r="BB39" s="340">
        <v>0.17748014092424247</v>
      </c>
      <c r="BC39" s="340">
        <v>0.17748014092424247</v>
      </c>
      <c r="BD39" s="340">
        <v>0.17748014092424247</v>
      </c>
      <c r="BE39" s="340">
        <v>0.17748014092424247</v>
      </c>
      <c r="BF39" s="340">
        <v>0.17748014092424247</v>
      </c>
      <c r="BG39" s="340">
        <v>0.17748014092424247</v>
      </c>
      <c r="BH39" s="340">
        <v>0.17748014092424247</v>
      </c>
      <c r="BI39" s="340">
        <v>0.17748014092424247</v>
      </c>
      <c r="BJ39" s="340">
        <v>0.17748014092424247</v>
      </c>
      <c r="BK39" s="340">
        <v>0.17748014092424247</v>
      </c>
      <c r="BL39" s="340">
        <v>0.17748014092424247</v>
      </c>
      <c r="BM39" s="340">
        <v>0.17748014092424247</v>
      </c>
      <c r="BN39" s="340">
        <v>0.17748014092424247</v>
      </c>
      <c r="BO39" s="340">
        <v>0.17748014092424247</v>
      </c>
      <c r="BP39" s="340">
        <v>0.17748014092424247</v>
      </c>
      <c r="BQ39" s="340">
        <v>0.17748014092424247</v>
      </c>
      <c r="BR39" s="340">
        <v>0.17748014092424247</v>
      </c>
      <c r="BS39" s="340">
        <v>0.17748014092424247</v>
      </c>
      <c r="BT39" s="340">
        <v>0.17748014092424247</v>
      </c>
    </row>
    <row r="40" spans="2:72" ht="82.5" customHeight="1" thickBot="1" x14ac:dyDescent="0.3">
      <c r="B40"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0" s="69" t="s">
        <v>1882</v>
      </c>
      <c r="D40" s="1475" t="s">
        <v>1881</v>
      </c>
      <c r="E40" s="69" t="s">
        <v>777</v>
      </c>
      <c r="F40" s="1476" t="str">
        <f>VLOOKUP(TBL4_OptApp[[#This Row],[Option type
Defined List]],'Option Typs_Grps'!B$2:C$47, 2, FALSE)</f>
        <v>Customer Options</v>
      </c>
      <c r="G40" s="1213" t="s">
        <v>1676</v>
      </c>
      <c r="H40" s="1213" t="s">
        <v>2046</v>
      </c>
      <c r="I40" s="1213" t="s">
        <v>355</v>
      </c>
      <c r="J40" s="1213" t="s">
        <v>146</v>
      </c>
      <c r="K40" s="1437">
        <v>2</v>
      </c>
      <c r="L40" s="1439">
        <v>0</v>
      </c>
      <c r="M40" s="1439">
        <v>0</v>
      </c>
      <c r="N40" s="1439">
        <v>0</v>
      </c>
      <c r="O40" s="1439">
        <v>0</v>
      </c>
      <c r="P40" s="1439">
        <v>0</v>
      </c>
      <c r="Q40" s="1439">
        <v>0</v>
      </c>
      <c r="R40" s="340">
        <v>0</v>
      </c>
      <c r="S40" s="340">
        <v>0</v>
      </c>
      <c r="T40" s="340">
        <v>0</v>
      </c>
      <c r="U40" s="340">
        <v>0</v>
      </c>
      <c r="V40" s="340">
        <v>0</v>
      </c>
      <c r="W40" s="340">
        <v>5.8463309632790117E-2</v>
      </c>
      <c r="X40" s="340">
        <v>5.8573601117542777E-2</v>
      </c>
      <c r="Y40" s="340">
        <v>5.8679607461219044E-2</v>
      </c>
      <c r="Z40" s="340">
        <v>5.8792809702358263E-2</v>
      </c>
      <c r="AA40" s="340">
        <v>5.8879795735623165E-2</v>
      </c>
      <c r="AB40" s="340">
        <v>5.8973364215294984E-2</v>
      </c>
      <c r="AC40" s="340">
        <v>5.9056522287873107E-2</v>
      </c>
      <c r="AD40" s="340">
        <v>5.9245635024494175E-2</v>
      </c>
      <c r="AE40" s="340">
        <v>5.9469589662100517E-2</v>
      </c>
      <c r="AF40" s="340">
        <v>5.9647178133396782E-2</v>
      </c>
      <c r="AG40" s="340">
        <v>5.9880761503595864E-2</v>
      </c>
      <c r="AH40" s="340">
        <v>6.0045902406401293E-2</v>
      </c>
      <c r="AI40" s="340">
        <v>6.0214690273453872E-2</v>
      </c>
      <c r="AJ40" s="340">
        <v>6.0387008672845938E-2</v>
      </c>
      <c r="AK40" s="340">
        <v>6.0562747720235739E-2</v>
      </c>
      <c r="AL40" s="340">
        <v>6.0741805713447741E-2</v>
      </c>
      <c r="AM40" s="340">
        <v>6.0924088146443622E-2</v>
      </c>
      <c r="AN40" s="340">
        <v>6.1109506408807766E-2</v>
      </c>
      <c r="AO40" s="340">
        <v>6.129797766978181E-2</v>
      </c>
      <c r="AP40" s="340">
        <v>6.1489423683637703E-2</v>
      </c>
      <c r="AQ40" s="340">
        <v>0.34448544403950337</v>
      </c>
      <c r="AR40" s="340">
        <v>0</v>
      </c>
      <c r="AS40" s="340">
        <v>0</v>
      </c>
      <c r="AT40" s="340">
        <v>0</v>
      </c>
      <c r="AU40" s="340">
        <v>0</v>
      </c>
      <c r="AV40" s="340">
        <v>0</v>
      </c>
      <c r="AW40" s="340">
        <v>0</v>
      </c>
      <c r="AX40" s="340">
        <v>0</v>
      </c>
      <c r="AY40" s="340">
        <v>0</v>
      </c>
      <c r="AZ40" s="340">
        <v>0</v>
      </c>
      <c r="BA40" s="340">
        <v>0</v>
      </c>
      <c r="BB40" s="340">
        <v>0</v>
      </c>
      <c r="BC40" s="340">
        <v>0</v>
      </c>
      <c r="BD40" s="340">
        <v>0</v>
      </c>
      <c r="BE40" s="340">
        <v>0</v>
      </c>
      <c r="BF40" s="340">
        <v>0</v>
      </c>
      <c r="BG40" s="340">
        <v>0</v>
      </c>
      <c r="BH40" s="340">
        <v>0</v>
      </c>
      <c r="BI40" s="340">
        <v>0</v>
      </c>
      <c r="BJ40" s="340">
        <v>0</v>
      </c>
      <c r="BK40" s="340">
        <v>0</v>
      </c>
      <c r="BL40" s="340">
        <v>0</v>
      </c>
      <c r="BM40" s="340">
        <v>0</v>
      </c>
      <c r="BN40" s="340">
        <v>0</v>
      </c>
      <c r="BO40" s="340">
        <v>0</v>
      </c>
      <c r="BP40" s="340">
        <v>0</v>
      </c>
      <c r="BQ40" s="340">
        <v>0</v>
      </c>
      <c r="BR40" s="340">
        <v>0</v>
      </c>
      <c r="BS40" s="340">
        <v>0</v>
      </c>
      <c r="BT40" s="340">
        <v>0</v>
      </c>
    </row>
    <row r="41" spans="2:72" ht="32.25" customHeight="1" thickBot="1" x14ac:dyDescent="0.3">
      <c r="B41" s="121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41" s="69" t="s">
        <v>1761</v>
      </c>
      <c r="D41" s="1475" t="s">
        <v>1760</v>
      </c>
      <c r="E41" s="69" t="s">
        <v>776</v>
      </c>
      <c r="F41" s="1476" t="str">
        <f>VLOOKUP(TBL4_OptApp[[#This Row],[Option type
Defined List]],'Option Typs_Grps'!B$2:C$47, 2, FALSE)</f>
        <v>Customer Options</v>
      </c>
      <c r="G41" s="1213" t="s">
        <v>1676</v>
      </c>
      <c r="H41" s="1213" t="s">
        <v>2046</v>
      </c>
      <c r="I41" s="1213" t="s">
        <v>355</v>
      </c>
      <c r="J41" s="1213" t="s">
        <v>146</v>
      </c>
      <c r="K41" s="1437">
        <v>2</v>
      </c>
      <c r="L41" s="1439">
        <v>0</v>
      </c>
      <c r="M41" s="1439">
        <v>0</v>
      </c>
      <c r="N41" s="1439">
        <v>0</v>
      </c>
      <c r="O41" s="1439">
        <v>0</v>
      </c>
      <c r="P41" s="1439">
        <v>0</v>
      </c>
      <c r="Q41" s="1439">
        <v>0</v>
      </c>
      <c r="R41" s="340">
        <v>0</v>
      </c>
      <c r="S41" s="340">
        <v>0</v>
      </c>
      <c r="T41" s="340">
        <v>0</v>
      </c>
      <c r="U41" s="340">
        <v>0</v>
      </c>
      <c r="V41" s="340">
        <v>0</v>
      </c>
      <c r="W41" s="340">
        <v>2.2616554335437229</v>
      </c>
      <c r="X41" s="340">
        <v>4.5279206601908477</v>
      </c>
      <c r="Y41" s="340">
        <v>4.5333475945025707</v>
      </c>
      <c r="Z41" s="340">
        <v>4.534297487354463</v>
      </c>
      <c r="AA41" s="340">
        <v>4.5348578560344883</v>
      </c>
      <c r="AB41" s="340">
        <v>4.5349889862111761</v>
      </c>
      <c r="AC41" s="340">
        <v>4.5343027378070824</v>
      </c>
      <c r="AD41" s="340">
        <v>4.5325780020339401</v>
      </c>
      <c r="AE41" s="340">
        <v>4.5297847509205411</v>
      </c>
      <c r="AF41" s="340">
        <v>4.5263819189740362</v>
      </c>
      <c r="AG41" s="340">
        <v>4.530005887932635</v>
      </c>
      <c r="AH41" s="340">
        <v>4.540853050858578</v>
      </c>
      <c r="AI41" s="340">
        <v>4.5513433379736821</v>
      </c>
      <c r="AJ41" s="340">
        <v>4.5621013247067239</v>
      </c>
      <c r="AK41" s="340">
        <v>4.5740590641707417</v>
      </c>
      <c r="AL41" s="340">
        <v>4.5869843185637382</v>
      </c>
      <c r="AM41" s="340">
        <v>4.6001693154859549</v>
      </c>
      <c r="AN41" s="340">
        <v>4.6139359238396631</v>
      </c>
      <c r="AO41" s="340">
        <v>4.6288799204895241</v>
      </c>
      <c r="AP41" s="340">
        <v>4.6464736536596121</v>
      </c>
      <c r="AQ41" s="340">
        <v>4.6647284862901959</v>
      </c>
      <c r="AR41" s="340">
        <v>4.681734020875802</v>
      </c>
      <c r="AS41" s="340">
        <v>4.6989864398112555</v>
      </c>
      <c r="AT41" s="340">
        <v>4.7165502781020781</v>
      </c>
      <c r="AU41" s="340">
        <v>4.7340067805829094</v>
      </c>
      <c r="AV41" s="340">
        <v>2.3713279801746441</v>
      </c>
      <c r="AW41" s="340">
        <v>0</v>
      </c>
      <c r="AX41" s="340">
        <v>0</v>
      </c>
      <c r="AY41" s="340">
        <v>0</v>
      </c>
      <c r="AZ41" s="340">
        <v>0</v>
      </c>
      <c r="BA41" s="340">
        <v>0</v>
      </c>
      <c r="BB41" s="340">
        <v>0</v>
      </c>
      <c r="BC41" s="340">
        <v>0</v>
      </c>
      <c r="BD41" s="340">
        <v>0</v>
      </c>
      <c r="BE41" s="340">
        <v>0</v>
      </c>
      <c r="BF41" s="340">
        <v>0</v>
      </c>
      <c r="BG41" s="340">
        <v>0</v>
      </c>
      <c r="BH41" s="340">
        <v>0</v>
      </c>
      <c r="BI41" s="340">
        <v>0</v>
      </c>
      <c r="BJ41" s="340">
        <v>0</v>
      </c>
      <c r="BK41" s="340">
        <v>0</v>
      </c>
      <c r="BL41" s="340">
        <v>0</v>
      </c>
      <c r="BM41" s="340">
        <v>0</v>
      </c>
      <c r="BN41" s="340">
        <v>0</v>
      </c>
      <c r="BO41" s="340">
        <v>0</v>
      </c>
      <c r="BP41" s="340">
        <v>0</v>
      </c>
      <c r="BQ41" s="340">
        <v>0</v>
      </c>
      <c r="BR41" s="340">
        <v>0</v>
      </c>
      <c r="BS41" s="340">
        <v>0</v>
      </c>
      <c r="BT41" s="340">
        <v>0</v>
      </c>
    </row>
  </sheetData>
  <mergeCells count="1">
    <mergeCell ref="L4:BT4"/>
  </mergeCells>
  <phoneticPr fontId="38" type="noConversion"/>
  <pageMargins left="0.7" right="0.7" top="0.75" bottom="0.75" header="0.3" footer="0.3"/>
  <pageSetup paperSize="9" orientation="portrait" horizontalDpi="90" verticalDpi="9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 id="{F4F4D110-FB78-4118-8656-062FEC63025F}">
            <xm:f>NOT(IFERROR(MATCH($E6,'Option Typs_Grps'!$B$3:$B$132,0)&gt;0,FALSE))</xm:f>
            <x14:dxf>
              <font>
                <b/>
                <i val="0"/>
                <color theme="0"/>
              </font>
              <fill>
                <patternFill>
                  <bgColor rgb="FFFF0000"/>
                </patternFill>
              </fill>
            </x14:dxf>
          </x14:cfRule>
          <xm:sqref>F6:F16</xm:sqref>
        </x14:conditionalFormatting>
        <x14:conditionalFormatting xmlns:xm="http://schemas.microsoft.com/office/excel/2006/main">
          <x14:cfRule type="expression" priority="2" id="{15A128B4-C66E-436C-A370-B159DAF0D3A7}">
            <xm:f>NOT(IFERROR(MATCH($E18,'Option Typs_Grps'!$B$3:$B$132,0)&gt;0,FALSE))</xm:f>
            <x14:dxf>
              <font>
                <b/>
                <i val="0"/>
                <color theme="0"/>
              </font>
              <fill>
                <patternFill>
                  <bgColor rgb="FFFF0000"/>
                </patternFill>
              </fill>
            </x14:dxf>
          </x14:cfRule>
          <xm:sqref>F18:F28</xm:sqref>
        </x14:conditionalFormatting>
        <x14:conditionalFormatting xmlns:xm="http://schemas.microsoft.com/office/excel/2006/main">
          <x14:cfRule type="expression" priority="1" id="{56338705-7126-4AB5-B444-54CF94B3EAC5}">
            <xm:f>NOT(IFERROR(MATCH($E30,'Option Typs_Grps'!$B$3:$B$132,0)&gt;0,FALSE))</xm:f>
            <x14:dxf>
              <font>
                <b/>
                <i val="0"/>
                <color theme="0"/>
              </font>
              <fill>
                <patternFill>
                  <bgColor rgb="FFFF0000"/>
                </patternFill>
              </fill>
            </x14:dxf>
          </x14:cfRule>
          <xm:sqref>F30:F40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dimension ref="A1:CP109"/>
  <sheetViews>
    <sheetView topLeftCell="A14" zoomScale="70" zoomScaleNormal="70" workbookViewId="0"/>
  </sheetViews>
  <sheetFormatPr defaultColWidth="9.1796875" defaultRowHeight="13.8" x14ac:dyDescent="0.25"/>
  <cols>
    <col min="1" max="1" width="2.1796875" style="1216" customWidth="1"/>
    <col min="2" max="2" width="19.81640625" style="1216" customWidth="1"/>
    <col min="3" max="5" width="15.54296875" style="1216" customWidth="1"/>
    <col min="6" max="6" width="47.08984375" style="1216" customWidth="1"/>
    <col min="7" max="7" width="15.81640625" style="1216" customWidth="1"/>
    <col min="8" max="8" width="17.54296875" style="1216" customWidth="1"/>
    <col min="9" max="9" width="9.08984375" style="1216" customWidth="1"/>
    <col min="10" max="11" width="8.1796875" style="1216" customWidth="1"/>
    <col min="12" max="16384" width="9.1796875" style="1216"/>
  </cols>
  <sheetData>
    <row r="1" spans="1:94" x14ac:dyDescent="0.25">
      <c r="A1" s="1268" t="s">
        <v>793</v>
      </c>
    </row>
    <row r="2" spans="1:94" ht="14.4" thickBot="1" x14ac:dyDescent="0.3">
      <c r="A2" s="1268"/>
    </row>
    <row r="3" spans="1:94" ht="47.7" customHeight="1" thickBot="1" x14ac:dyDescent="0.3">
      <c r="B3" s="428" t="s">
        <v>57</v>
      </c>
      <c r="C3" s="426" t="str">
        <f>'TITLE PAGE'!$D$18</f>
        <v>Bristol Water</v>
      </c>
      <c r="D3" s="1267" t="s">
        <v>2</v>
      </c>
      <c r="E3" s="1266"/>
      <c r="F3" s="1265"/>
      <c r="G3" s="1197" t="s">
        <v>56</v>
      </c>
      <c r="H3" s="7"/>
      <c r="I3" s="1265"/>
      <c r="J3" s="1264"/>
    </row>
    <row r="4" spans="1:94" ht="14.4" thickBot="1" x14ac:dyDescent="0.3"/>
    <row r="5" spans="1:94" ht="48.45" customHeight="1" x14ac:dyDescent="0.25">
      <c r="B5" s="1530" t="s">
        <v>794</v>
      </c>
      <c r="C5" s="1531"/>
      <c r="D5" s="1264"/>
      <c r="E5" s="1264"/>
      <c r="F5" s="1264"/>
      <c r="G5" s="1264"/>
      <c r="H5" s="1264"/>
      <c r="I5" s="1264"/>
      <c r="J5" s="1264"/>
      <c r="K5" s="1264"/>
    </row>
    <row r="6" spans="1:94" ht="110.4" x14ac:dyDescent="0.25">
      <c r="B6" s="1250" t="s">
        <v>795</v>
      </c>
      <c r="C6" s="1249" t="s">
        <v>714</v>
      </c>
      <c r="D6" s="1248" t="s">
        <v>715</v>
      </c>
      <c r="E6" s="1248" t="s">
        <v>796</v>
      </c>
      <c r="F6" s="1248" t="s">
        <v>797</v>
      </c>
      <c r="G6" s="1248" t="s">
        <v>798</v>
      </c>
      <c r="H6" s="1247" t="s">
        <v>799</v>
      </c>
      <c r="I6" s="1246" t="s">
        <v>119</v>
      </c>
      <c r="J6" s="1245" t="s">
        <v>120</v>
      </c>
      <c r="K6" s="1245" t="s">
        <v>121</v>
      </c>
      <c r="L6" s="1245" t="s">
        <v>122</v>
      </c>
      <c r="M6" s="1245" t="s">
        <v>123</v>
      </c>
      <c r="N6" s="1245" t="s">
        <v>124</v>
      </c>
      <c r="O6" s="1245" t="s">
        <v>125</v>
      </c>
      <c r="P6" s="1245" t="s">
        <v>126</v>
      </c>
      <c r="Q6" s="1245" t="s">
        <v>127</v>
      </c>
      <c r="R6" s="1245" t="s">
        <v>128</v>
      </c>
      <c r="S6" s="1245" t="s">
        <v>129</v>
      </c>
      <c r="T6" s="1245" t="s">
        <v>130</v>
      </c>
      <c r="U6" s="1245" t="s">
        <v>157</v>
      </c>
      <c r="V6" s="1245" t="s">
        <v>158</v>
      </c>
      <c r="W6" s="1245" t="s">
        <v>159</v>
      </c>
      <c r="X6" s="1245" t="s">
        <v>160</v>
      </c>
      <c r="Y6" s="1245" t="s">
        <v>131</v>
      </c>
      <c r="Z6" s="1245" t="s">
        <v>161</v>
      </c>
      <c r="AA6" s="1245" t="s">
        <v>162</v>
      </c>
      <c r="AB6" s="1245" t="s">
        <v>163</v>
      </c>
      <c r="AC6" s="1245" t="s">
        <v>164</v>
      </c>
      <c r="AD6" s="1245" t="s">
        <v>132</v>
      </c>
      <c r="AE6" s="1245" t="s">
        <v>165</v>
      </c>
      <c r="AF6" s="1245" t="s">
        <v>166</v>
      </c>
      <c r="AG6" s="1245" t="s">
        <v>167</v>
      </c>
      <c r="AH6" s="1245" t="s">
        <v>168</v>
      </c>
      <c r="AI6" s="1245" t="s">
        <v>133</v>
      </c>
      <c r="AJ6" s="1245" t="s">
        <v>169</v>
      </c>
      <c r="AK6" s="1245" t="s">
        <v>170</v>
      </c>
      <c r="AL6" s="1245" t="s">
        <v>171</v>
      </c>
      <c r="AM6" s="1245" t="s">
        <v>172</v>
      </c>
      <c r="AN6" s="1245" t="s">
        <v>134</v>
      </c>
      <c r="AO6" s="1245" t="s">
        <v>173</v>
      </c>
      <c r="AP6" s="1245" t="s">
        <v>174</v>
      </c>
      <c r="AQ6" s="1245" t="s">
        <v>175</v>
      </c>
      <c r="AR6" s="1245" t="s">
        <v>176</v>
      </c>
      <c r="AS6" s="1245" t="s">
        <v>135</v>
      </c>
      <c r="AT6" s="1245" t="s">
        <v>177</v>
      </c>
      <c r="AU6" s="1245" t="s">
        <v>178</v>
      </c>
      <c r="AV6" s="1245" t="s">
        <v>179</v>
      </c>
      <c r="AW6" s="1245" t="s">
        <v>180</v>
      </c>
      <c r="AX6" s="1245" t="s">
        <v>136</v>
      </c>
      <c r="AY6" s="1245" t="s">
        <v>181</v>
      </c>
      <c r="AZ6" s="1245" t="s">
        <v>182</v>
      </c>
      <c r="BA6" s="1245" t="s">
        <v>183</v>
      </c>
      <c r="BB6" s="1245" t="s">
        <v>184</v>
      </c>
      <c r="BC6" s="1245" t="s">
        <v>137</v>
      </c>
      <c r="BD6" s="1245" t="s">
        <v>185</v>
      </c>
      <c r="BE6" s="1245" t="s">
        <v>186</v>
      </c>
      <c r="BF6" s="1245" t="s">
        <v>187</v>
      </c>
      <c r="BG6" s="1245" t="s">
        <v>188</v>
      </c>
      <c r="BH6" s="1245" t="s">
        <v>138</v>
      </c>
      <c r="BI6" s="1245" t="s">
        <v>189</v>
      </c>
      <c r="BJ6" s="1245" t="s">
        <v>190</v>
      </c>
      <c r="BK6" s="1245" t="s">
        <v>191</v>
      </c>
      <c r="BL6" s="1245" t="s">
        <v>192</v>
      </c>
      <c r="BM6" s="1245" t="s">
        <v>139</v>
      </c>
      <c r="BN6" s="1245" t="s">
        <v>193</v>
      </c>
      <c r="BO6" s="1245" t="s">
        <v>194</v>
      </c>
      <c r="BP6" s="1245" t="s">
        <v>195</v>
      </c>
      <c r="BQ6" s="1245" t="s">
        <v>196</v>
      </c>
      <c r="BR6" s="1245" t="s">
        <v>140</v>
      </c>
      <c r="BS6" s="1245" t="s">
        <v>197</v>
      </c>
      <c r="BT6" s="1245" t="s">
        <v>198</v>
      </c>
      <c r="BU6" s="1245" t="s">
        <v>199</v>
      </c>
      <c r="BV6" s="1245" t="s">
        <v>200</v>
      </c>
      <c r="BW6" s="1245" t="s">
        <v>141</v>
      </c>
      <c r="BX6" s="1245" t="s">
        <v>201</v>
      </c>
      <c r="BY6" s="1245" t="s">
        <v>202</v>
      </c>
      <c r="BZ6" s="1245" t="s">
        <v>203</v>
      </c>
      <c r="CA6" s="1245" t="s">
        <v>204</v>
      </c>
      <c r="CB6" s="1245" t="s">
        <v>142</v>
      </c>
      <c r="CC6" s="1245" t="s">
        <v>205</v>
      </c>
      <c r="CD6" s="1245" t="s">
        <v>206</v>
      </c>
      <c r="CE6" s="1245" t="s">
        <v>207</v>
      </c>
      <c r="CF6" s="1245" t="s">
        <v>208</v>
      </c>
      <c r="CG6" s="1245" t="s">
        <v>143</v>
      </c>
      <c r="CH6" s="1245" t="s">
        <v>209</v>
      </c>
      <c r="CI6" s="1245" t="s">
        <v>210</v>
      </c>
      <c r="CJ6" s="1245" t="s">
        <v>211</v>
      </c>
      <c r="CK6" s="1245" t="s">
        <v>212</v>
      </c>
      <c r="CL6" s="1245" t="s">
        <v>213</v>
      </c>
      <c r="CM6" s="1245" t="s">
        <v>800</v>
      </c>
      <c r="CN6" s="1245" t="s">
        <v>801</v>
      </c>
      <c r="CO6" s="1245" t="s">
        <v>802</v>
      </c>
      <c r="CP6" s="1244" t="s">
        <v>803</v>
      </c>
    </row>
    <row r="7" spans="1:94" ht="106.5" customHeight="1" x14ac:dyDescent="0.25">
      <c r="B7" s="1532" t="s">
        <v>804</v>
      </c>
      <c r="C7" s="1263"/>
      <c r="D7" s="1241"/>
      <c r="E7" s="1241" t="s">
        <v>805</v>
      </c>
      <c r="F7" s="1262"/>
      <c r="G7" s="1262"/>
      <c r="H7" s="1242" t="s">
        <v>84</v>
      </c>
      <c r="I7" s="1238"/>
      <c r="J7" s="1237"/>
      <c r="K7" s="1237"/>
      <c r="L7" s="1237"/>
      <c r="M7" s="1237"/>
      <c r="N7" s="1236"/>
      <c r="O7" s="1236"/>
      <c r="P7" s="1236"/>
      <c r="Q7" s="1236"/>
      <c r="R7" s="1236"/>
      <c r="S7" s="1236"/>
      <c r="T7" s="1236"/>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c r="AR7" s="1236"/>
      <c r="AS7" s="1236"/>
      <c r="AT7" s="1236"/>
      <c r="AU7" s="1236"/>
      <c r="AV7" s="1236"/>
      <c r="AW7" s="1236"/>
      <c r="AX7" s="1236"/>
      <c r="AY7" s="1236"/>
      <c r="AZ7" s="1236"/>
      <c r="BA7" s="1236"/>
      <c r="BB7" s="1236"/>
      <c r="BC7" s="1236"/>
      <c r="BD7" s="1236"/>
      <c r="BE7" s="1236"/>
      <c r="BF7" s="1236"/>
      <c r="BG7" s="1236"/>
      <c r="BH7" s="1236"/>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5"/>
    </row>
    <row r="8" spans="1:94" ht="96" customHeight="1" x14ac:dyDescent="0.25">
      <c r="B8" s="1553"/>
      <c r="C8" s="1260"/>
      <c r="D8" s="1225"/>
      <c r="E8" s="1225" t="s">
        <v>806</v>
      </c>
      <c r="F8" s="1261"/>
      <c r="G8" s="1261"/>
      <c r="H8" s="1234" t="s">
        <v>807</v>
      </c>
      <c r="I8" s="1229"/>
      <c r="J8" s="1224"/>
      <c r="K8" s="1224"/>
      <c r="L8" s="1224"/>
      <c r="M8" s="1224"/>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c r="AR8" s="1223"/>
      <c r="AS8" s="1223"/>
      <c r="AT8" s="1223"/>
      <c r="AU8" s="1223"/>
      <c r="AV8" s="1223"/>
      <c r="AW8" s="1223"/>
      <c r="AX8" s="1223"/>
      <c r="AY8" s="1223"/>
      <c r="AZ8" s="1223"/>
      <c r="BA8" s="1223"/>
      <c r="BB8" s="1223"/>
      <c r="BC8" s="1223"/>
      <c r="BD8" s="1223"/>
      <c r="BE8" s="1223"/>
      <c r="BF8" s="1223"/>
      <c r="BG8" s="1223"/>
      <c r="BH8" s="1223"/>
      <c r="BI8" s="1223"/>
      <c r="BJ8" s="1223"/>
      <c r="BK8" s="1223"/>
      <c r="BL8" s="1223"/>
      <c r="BM8" s="1223"/>
      <c r="BN8" s="1223"/>
      <c r="BO8" s="1223"/>
      <c r="BP8" s="1223"/>
      <c r="BQ8" s="1223"/>
      <c r="BR8" s="1223"/>
      <c r="BS8" s="1223"/>
      <c r="BT8" s="1223"/>
      <c r="BU8" s="1223"/>
      <c r="BV8" s="1223"/>
      <c r="BW8" s="1223"/>
      <c r="BX8" s="1223"/>
      <c r="BY8" s="1223"/>
      <c r="BZ8" s="1223"/>
      <c r="CA8" s="1223"/>
      <c r="CB8" s="1223"/>
      <c r="CC8" s="1223"/>
      <c r="CD8" s="1223"/>
      <c r="CE8" s="1223"/>
      <c r="CF8" s="1223"/>
      <c r="CG8" s="1223"/>
      <c r="CH8" s="1223"/>
      <c r="CI8" s="1223"/>
      <c r="CJ8" s="1223"/>
      <c r="CK8" s="1223"/>
      <c r="CL8" s="1223"/>
      <c r="CM8" s="1223"/>
      <c r="CN8" s="1223"/>
      <c r="CO8" s="1223"/>
      <c r="CP8" s="1222"/>
    </row>
    <row r="9" spans="1:94" ht="118.5" customHeight="1" x14ac:dyDescent="0.25">
      <c r="B9" s="1553"/>
      <c r="C9" s="1260"/>
      <c r="D9" s="1225"/>
      <c r="E9" s="1225" t="s">
        <v>808</v>
      </c>
      <c r="F9" s="1261"/>
      <c r="G9" s="1261"/>
      <c r="H9" s="1234" t="s">
        <v>807</v>
      </c>
      <c r="I9" s="1229"/>
      <c r="J9" s="1224"/>
      <c r="K9" s="1224"/>
      <c r="L9" s="1224"/>
      <c r="M9" s="1224"/>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c r="AR9" s="1223"/>
      <c r="AS9" s="1223"/>
      <c r="AT9" s="1223"/>
      <c r="AU9" s="1223"/>
      <c r="AV9" s="1223"/>
      <c r="AW9" s="1223"/>
      <c r="AX9" s="1223"/>
      <c r="AY9" s="1223"/>
      <c r="AZ9" s="1223"/>
      <c r="BA9" s="1223"/>
      <c r="BB9" s="1223"/>
      <c r="BC9" s="1223"/>
      <c r="BD9" s="1223"/>
      <c r="BE9" s="1223"/>
      <c r="BF9" s="1223"/>
      <c r="BG9" s="1223"/>
      <c r="BH9" s="1223"/>
      <c r="BI9" s="1223"/>
      <c r="BJ9" s="1223"/>
      <c r="BK9" s="1223"/>
      <c r="BL9" s="1223"/>
      <c r="BM9" s="1223"/>
      <c r="BN9" s="1223"/>
      <c r="BO9" s="1223"/>
      <c r="BP9" s="1223"/>
      <c r="BQ9" s="1223"/>
      <c r="BR9" s="1223"/>
      <c r="BS9" s="1223"/>
      <c r="BT9" s="1223"/>
      <c r="BU9" s="1223"/>
      <c r="BV9" s="1223"/>
      <c r="BW9" s="1223"/>
      <c r="BX9" s="1223"/>
      <c r="BY9" s="1223"/>
      <c r="BZ9" s="1223"/>
      <c r="CA9" s="1223"/>
      <c r="CB9" s="1223"/>
      <c r="CC9" s="1223"/>
      <c r="CD9" s="1223"/>
      <c r="CE9" s="1223"/>
      <c r="CF9" s="1223"/>
      <c r="CG9" s="1223"/>
      <c r="CH9" s="1223"/>
      <c r="CI9" s="1223"/>
      <c r="CJ9" s="1223"/>
      <c r="CK9" s="1223"/>
      <c r="CL9" s="1223"/>
      <c r="CM9" s="1223"/>
      <c r="CN9" s="1223"/>
      <c r="CO9" s="1223"/>
      <c r="CP9" s="1222"/>
    </row>
    <row r="10" spans="1:94" ht="108" customHeight="1" x14ac:dyDescent="0.25">
      <c r="B10" s="1553"/>
      <c r="C10" s="1260"/>
      <c r="D10" s="1225"/>
      <c r="E10" s="1225" t="s">
        <v>809</v>
      </c>
      <c r="F10" s="1261"/>
      <c r="G10" s="1261"/>
      <c r="H10" s="1234" t="s">
        <v>807</v>
      </c>
      <c r="I10" s="1229"/>
      <c r="J10" s="1224"/>
      <c r="K10" s="1224"/>
      <c r="L10" s="1224"/>
      <c r="M10" s="1224"/>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c r="AR10" s="1223"/>
      <c r="AS10" s="1223"/>
      <c r="AT10" s="1223"/>
      <c r="AU10" s="1223"/>
      <c r="AV10" s="1223"/>
      <c r="AW10" s="1223"/>
      <c r="AX10" s="1223"/>
      <c r="AY10" s="1223"/>
      <c r="AZ10" s="1223"/>
      <c r="BA10" s="1223"/>
      <c r="BB10" s="1223"/>
      <c r="BC10" s="1223"/>
      <c r="BD10" s="1223"/>
      <c r="BE10" s="1223"/>
      <c r="BF10" s="1223"/>
      <c r="BG10" s="1223"/>
      <c r="BH10" s="1223"/>
      <c r="BI10" s="1223"/>
      <c r="BJ10" s="1223"/>
      <c r="BK10" s="1223"/>
      <c r="BL10" s="1223"/>
      <c r="BM10" s="1223"/>
      <c r="BN10" s="1223"/>
      <c r="BO10" s="1223"/>
      <c r="BP10" s="1223"/>
      <c r="BQ10" s="1223"/>
      <c r="BR10" s="1223"/>
      <c r="BS10" s="1223"/>
      <c r="BT10" s="1223"/>
      <c r="BU10" s="1223"/>
      <c r="BV10" s="1223"/>
      <c r="BW10" s="1223"/>
      <c r="BX10" s="1223"/>
      <c r="BY10" s="1223"/>
      <c r="BZ10" s="1223"/>
      <c r="CA10" s="1223"/>
      <c r="CB10" s="1223"/>
      <c r="CC10" s="1223"/>
      <c r="CD10" s="1223"/>
      <c r="CE10" s="1223"/>
      <c r="CF10" s="1223"/>
      <c r="CG10" s="1223"/>
      <c r="CH10" s="1223"/>
      <c r="CI10" s="1223"/>
      <c r="CJ10" s="1223"/>
      <c r="CK10" s="1223"/>
      <c r="CL10" s="1223"/>
      <c r="CM10" s="1223"/>
      <c r="CN10" s="1223"/>
      <c r="CO10" s="1223"/>
      <c r="CP10" s="1222"/>
    </row>
    <row r="11" spans="1:94" ht="108" customHeight="1" x14ac:dyDescent="0.25">
      <c r="B11" s="1553"/>
      <c r="C11" s="1260"/>
      <c r="D11" s="1225"/>
      <c r="E11" s="1225" t="s">
        <v>810</v>
      </c>
      <c r="F11" s="1261"/>
      <c r="G11" s="1261"/>
      <c r="H11" s="1234" t="s">
        <v>807</v>
      </c>
      <c r="I11" s="1229"/>
      <c r="J11" s="1224"/>
      <c r="K11" s="1224"/>
      <c r="L11" s="1224"/>
      <c r="M11" s="1224"/>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 r="BD11" s="1223"/>
      <c r="BE11" s="1223"/>
      <c r="BF11" s="1223"/>
      <c r="BG11" s="1223"/>
      <c r="BH11" s="1223"/>
      <c r="BI11" s="1223"/>
      <c r="BJ11" s="1223"/>
      <c r="BK11" s="1223"/>
      <c r="BL11" s="1223"/>
      <c r="BM11" s="1223"/>
      <c r="BN11" s="1223"/>
      <c r="BO11" s="1223"/>
      <c r="BP11" s="1223"/>
      <c r="BQ11" s="1223"/>
      <c r="BR11" s="1223"/>
      <c r="BS11" s="1223"/>
      <c r="BT11" s="1223"/>
      <c r="BU11" s="1223"/>
      <c r="BV11" s="1223"/>
      <c r="BW11" s="1223"/>
      <c r="BX11" s="1223"/>
      <c r="BY11" s="1223"/>
      <c r="BZ11" s="1223"/>
      <c r="CA11" s="1223"/>
      <c r="CB11" s="1223"/>
      <c r="CC11" s="1223"/>
      <c r="CD11" s="1223"/>
      <c r="CE11" s="1223"/>
      <c r="CF11" s="1223"/>
      <c r="CG11" s="1223"/>
      <c r="CH11" s="1223"/>
      <c r="CI11" s="1223"/>
      <c r="CJ11" s="1223"/>
      <c r="CK11" s="1223"/>
      <c r="CL11" s="1223"/>
      <c r="CM11" s="1223"/>
      <c r="CN11" s="1223"/>
      <c r="CO11" s="1223"/>
      <c r="CP11" s="1222"/>
    </row>
    <row r="12" spans="1:94" ht="108" customHeight="1" x14ac:dyDescent="0.25">
      <c r="B12" s="1553"/>
      <c r="C12" s="1260"/>
      <c r="D12" s="1225"/>
      <c r="E12" s="1225" t="s">
        <v>811</v>
      </c>
      <c r="F12" s="1225" t="s">
        <v>812</v>
      </c>
      <c r="G12" s="1225"/>
      <c r="H12" s="1225" t="s">
        <v>813</v>
      </c>
      <c r="I12" s="1229"/>
      <c r="J12" s="1224"/>
      <c r="K12" s="1224"/>
      <c r="L12" s="1224"/>
      <c r="M12" s="1224"/>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c r="AR12" s="1223"/>
      <c r="AS12" s="1223"/>
      <c r="AT12" s="1223"/>
      <c r="AU12" s="1223"/>
      <c r="AV12" s="1223"/>
      <c r="AW12" s="1223"/>
      <c r="AX12" s="1223"/>
      <c r="AY12" s="1223"/>
      <c r="AZ12" s="1223"/>
      <c r="BA12" s="1223"/>
      <c r="BB12" s="1223"/>
      <c r="BC12" s="1223"/>
      <c r="BD12" s="1223"/>
      <c r="BE12" s="1223"/>
      <c r="BF12" s="1223"/>
      <c r="BG12" s="1223"/>
      <c r="BH12" s="1223"/>
      <c r="BI12" s="1223"/>
      <c r="BJ12" s="1223"/>
      <c r="BK12" s="1223"/>
      <c r="BL12" s="1223"/>
      <c r="BM12" s="1223"/>
      <c r="BN12" s="1223"/>
      <c r="BO12" s="1223"/>
      <c r="BP12" s="1223"/>
      <c r="BQ12" s="1223"/>
      <c r="BR12" s="1223"/>
      <c r="BS12" s="1223"/>
      <c r="BT12" s="1223"/>
      <c r="BU12" s="1223"/>
      <c r="BV12" s="1223"/>
      <c r="BW12" s="1223"/>
      <c r="BX12" s="1223"/>
      <c r="BY12" s="1223"/>
      <c r="BZ12" s="1223"/>
      <c r="CA12" s="1223"/>
      <c r="CB12" s="1223"/>
      <c r="CC12" s="1223"/>
      <c r="CD12" s="1223"/>
      <c r="CE12" s="1223"/>
      <c r="CF12" s="1223"/>
      <c r="CG12" s="1223"/>
      <c r="CH12" s="1223"/>
      <c r="CI12" s="1223"/>
      <c r="CJ12" s="1223"/>
      <c r="CK12" s="1223"/>
      <c r="CL12" s="1223"/>
      <c r="CM12" s="1223"/>
      <c r="CN12" s="1223"/>
      <c r="CO12" s="1223"/>
      <c r="CP12" s="1222"/>
    </row>
    <row r="13" spans="1:94" ht="108" customHeight="1" x14ac:dyDescent="0.25">
      <c r="B13" s="1553"/>
      <c r="C13" s="1260"/>
      <c r="D13" s="1225"/>
      <c r="E13" s="1234" t="s">
        <v>811</v>
      </c>
      <c r="F13" s="1225" t="s">
        <v>814</v>
      </c>
      <c r="G13" s="1225"/>
      <c r="H13" s="1259" t="s">
        <v>813</v>
      </c>
      <c r="I13" s="1258"/>
      <c r="J13" s="1224"/>
      <c r="K13" s="1224"/>
      <c r="L13" s="1224"/>
      <c r="M13" s="1224"/>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1223"/>
      <c r="AV13" s="1223"/>
      <c r="AW13" s="1223"/>
      <c r="AX13" s="1223"/>
      <c r="AY13" s="1223"/>
      <c r="AZ13" s="1223"/>
      <c r="BA13" s="1223"/>
      <c r="BB13" s="1223"/>
      <c r="BC13" s="1223"/>
      <c r="BD13" s="1223"/>
      <c r="BE13" s="1223"/>
      <c r="BF13" s="1223"/>
      <c r="BG13" s="1223"/>
      <c r="BH13" s="1223"/>
      <c r="BI13" s="1223"/>
      <c r="BJ13" s="1223"/>
      <c r="BK13" s="1223"/>
      <c r="BL13" s="1223"/>
      <c r="BM13" s="1223"/>
      <c r="BN13" s="1223"/>
      <c r="BO13" s="1223"/>
      <c r="BP13" s="1223"/>
      <c r="BQ13" s="1223"/>
      <c r="BR13" s="1223"/>
      <c r="BS13" s="1223"/>
      <c r="BT13" s="1223"/>
      <c r="BU13" s="1223"/>
      <c r="BV13" s="1223"/>
      <c r="BW13" s="1223"/>
      <c r="BX13" s="1223"/>
      <c r="BY13" s="1223"/>
      <c r="BZ13" s="1223"/>
      <c r="CA13" s="1223"/>
      <c r="CB13" s="1223"/>
      <c r="CC13" s="1223"/>
      <c r="CD13" s="1223"/>
      <c r="CE13" s="1223"/>
      <c r="CF13" s="1223"/>
      <c r="CG13" s="1223"/>
      <c r="CH13" s="1223"/>
      <c r="CI13" s="1223"/>
      <c r="CJ13" s="1223"/>
      <c r="CK13" s="1223"/>
      <c r="CL13" s="1223"/>
      <c r="CM13" s="1223"/>
      <c r="CN13" s="1223"/>
      <c r="CO13" s="1223"/>
      <c r="CP13" s="1222"/>
    </row>
    <row r="14" spans="1:94" s="1251" customFormat="1" ht="80.25" customHeight="1" x14ac:dyDescent="0.25">
      <c r="B14" s="1553"/>
      <c r="C14" s="1254"/>
      <c r="D14" s="1252"/>
      <c r="E14" s="1253" t="s">
        <v>815</v>
      </c>
      <c r="F14" s="1252"/>
      <c r="G14" s="1252"/>
      <c r="H14" s="1252" t="s">
        <v>84</v>
      </c>
      <c r="I14" s="1257"/>
      <c r="J14" s="1256"/>
      <c r="K14" s="1256"/>
      <c r="L14" s="1256"/>
      <c r="M14" s="1256"/>
      <c r="N14" s="1255" t="str">
        <f t="shared" ref="N14:AS14" si="0">IF((N8+N9)*N11&lt;&gt;0,(N8+N9)*N11,"")</f>
        <v/>
      </c>
      <c r="O14" s="1255" t="str">
        <f t="shared" si="0"/>
        <v/>
      </c>
      <c r="P14" s="1255" t="str">
        <f t="shared" si="0"/>
        <v/>
      </c>
      <c r="Q14" s="1255" t="str">
        <f t="shared" si="0"/>
        <v/>
      </c>
      <c r="R14" s="1255" t="str">
        <f t="shared" si="0"/>
        <v/>
      </c>
      <c r="S14" s="1255" t="str">
        <f t="shared" si="0"/>
        <v/>
      </c>
      <c r="T14" s="1255" t="str">
        <f t="shared" si="0"/>
        <v/>
      </c>
      <c r="U14" s="1255" t="str">
        <f t="shared" si="0"/>
        <v/>
      </c>
      <c r="V14" s="1255" t="str">
        <f t="shared" si="0"/>
        <v/>
      </c>
      <c r="W14" s="1255" t="str">
        <f t="shared" si="0"/>
        <v/>
      </c>
      <c r="X14" s="1255" t="str">
        <f t="shared" si="0"/>
        <v/>
      </c>
      <c r="Y14" s="1255" t="str">
        <f t="shared" si="0"/>
        <v/>
      </c>
      <c r="Z14" s="1255" t="str">
        <f t="shared" si="0"/>
        <v/>
      </c>
      <c r="AA14" s="1255" t="str">
        <f t="shared" si="0"/>
        <v/>
      </c>
      <c r="AB14" s="1255" t="str">
        <f t="shared" si="0"/>
        <v/>
      </c>
      <c r="AC14" s="1255" t="str">
        <f t="shared" si="0"/>
        <v/>
      </c>
      <c r="AD14" s="1255" t="str">
        <f t="shared" si="0"/>
        <v/>
      </c>
      <c r="AE14" s="1255" t="str">
        <f t="shared" si="0"/>
        <v/>
      </c>
      <c r="AF14" s="1255" t="str">
        <f t="shared" si="0"/>
        <v/>
      </c>
      <c r="AG14" s="1255" t="str">
        <f t="shared" si="0"/>
        <v/>
      </c>
      <c r="AH14" s="1255" t="str">
        <f t="shared" si="0"/>
        <v/>
      </c>
      <c r="AI14" s="1255" t="str">
        <f t="shared" si="0"/>
        <v/>
      </c>
      <c r="AJ14" s="1255" t="str">
        <f t="shared" si="0"/>
        <v/>
      </c>
      <c r="AK14" s="1255" t="str">
        <f t="shared" si="0"/>
        <v/>
      </c>
      <c r="AL14" s="1255" t="str">
        <f t="shared" si="0"/>
        <v/>
      </c>
      <c r="AM14" s="1255" t="str">
        <f t="shared" si="0"/>
        <v/>
      </c>
      <c r="AN14" s="1255" t="str">
        <f t="shared" si="0"/>
        <v/>
      </c>
      <c r="AO14" s="1255" t="str">
        <f t="shared" si="0"/>
        <v/>
      </c>
      <c r="AP14" s="1255" t="str">
        <f t="shared" si="0"/>
        <v/>
      </c>
      <c r="AQ14" s="1255" t="str">
        <f t="shared" si="0"/>
        <v/>
      </c>
      <c r="AR14" s="1255" t="str">
        <f t="shared" si="0"/>
        <v/>
      </c>
      <c r="AS14" s="1255" t="str">
        <f t="shared" si="0"/>
        <v/>
      </c>
      <c r="AT14" s="1255" t="str">
        <f t="shared" ref="AT14:BY14" si="1">IF((AT8+AT9)*AT11&lt;&gt;0,(AT8+AT9)*AT11,"")</f>
        <v/>
      </c>
      <c r="AU14" s="1255" t="str">
        <f t="shared" si="1"/>
        <v/>
      </c>
      <c r="AV14" s="1255" t="str">
        <f t="shared" si="1"/>
        <v/>
      </c>
      <c r="AW14" s="1255" t="str">
        <f t="shared" si="1"/>
        <v/>
      </c>
      <c r="AX14" s="1255" t="str">
        <f t="shared" si="1"/>
        <v/>
      </c>
      <c r="AY14" s="1255" t="str">
        <f t="shared" si="1"/>
        <v/>
      </c>
      <c r="AZ14" s="1255" t="str">
        <f t="shared" si="1"/>
        <v/>
      </c>
      <c r="BA14" s="1255" t="str">
        <f t="shared" si="1"/>
        <v/>
      </c>
      <c r="BB14" s="1255" t="str">
        <f t="shared" si="1"/>
        <v/>
      </c>
      <c r="BC14" s="1255" t="str">
        <f t="shared" si="1"/>
        <v/>
      </c>
      <c r="BD14" s="1255" t="str">
        <f t="shared" si="1"/>
        <v/>
      </c>
      <c r="BE14" s="1255" t="str">
        <f t="shared" si="1"/>
        <v/>
      </c>
      <c r="BF14" s="1255" t="str">
        <f t="shared" si="1"/>
        <v/>
      </c>
      <c r="BG14" s="1255" t="str">
        <f t="shared" si="1"/>
        <v/>
      </c>
      <c r="BH14" s="1255" t="str">
        <f t="shared" si="1"/>
        <v/>
      </c>
      <c r="BI14" s="1255" t="str">
        <f t="shared" si="1"/>
        <v/>
      </c>
      <c r="BJ14" s="1255" t="str">
        <f t="shared" si="1"/>
        <v/>
      </c>
      <c r="BK14" s="1255" t="str">
        <f t="shared" si="1"/>
        <v/>
      </c>
      <c r="BL14" s="1255" t="str">
        <f t="shared" si="1"/>
        <v/>
      </c>
      <c r="BM14" s="1255" t="str">
        <f t="shared" si="1"/>
        <v/>
      </c>
      <c r="BN14" s="1255" t="str">
        <f t="shared" si="1"/>
        <v/>
      </c>
      <c r="BO14" s="1255" t="str">
        <f t="shared" si="1"/>
        <v/>
      </c>
      <c r="BP14" s="1255" t="str">
        <f t="shared" si="1"/>
        <v/>
      </c>
      <c r="BQ14" s="1255" t="str">
        <f t="shared" si="1"/>
        <v/>
      </c>
      <c r="BR14" s="1255" t="str">
        <f t="shared" si="1"/>
        <v/>
      </c>
      <c r="BS14" s="1255" t="str">
        <f t="shared" si="1"/>
        <v/>
      </c>
      <c r="BT14" s="1255" t="str">
        <f t="shared" si="1"/>
        <v/>
      </c>
      <c r="BU14" s="1255" t="str">
        <f t="shared" si="1"/>
        <v/>
      </c>
      <c r="BV14" s="1255" t="str">
        <f t="shared" si="1"/>
        <v/>
      </c>
      <c r="BW14" s="1255" t="str">
        <f t="shared" si="1"/>
        <v/>
      </c>
      <c r="BX14" s="1255" t="str">
        <f t="shared" si="1"/>
        <v/>
      </c>
      <c r="BY14" s="1255" t="str">
        <f t="shared" si="1"/>
        <v/>
      </c>
      <c r="BZ14" s="1255" t="str">
        <f t="shared" ref="BZ14:CP14" si="2">IF((BZ8+BZ9)*BZ11&lt;&gt;0,(BZ8+BZ9)*BZ11,"")</f>
        <v/>
      </c>
      <c r="CA14" s="1255" t="str">
        <f t="shared" si="2"/>
        <v/>
      </c>
      <c r="CB14" s="1255" t="str">
        <f t="shared" si="2"/>
        <v/>
      </c>
      <c r="CC14" s="1255" t="str">
        <f t="shared" si="2"/>
        <v/>
      </c>
      <c r="CD14" s="1255" t="str">
        <f t="shared" si="2"/>
        <v/>
      </c>
      <c r="CE14" s="1255" t="str">
        <f t="shared" si="2"/>
        <v/>
      </c>
      <c r="CF14" s="1255" t="str">
        <f t="shared" si="2"/>
        <v/>
      </c>
      <c r="CG14" s="1255" t="str">
        <f t="shared" si="2"/>
        <v/>
      </c>
      <c r="CH14" s="1255" t="str">
        <f t="shared" si="2"/>
        <v/>
      </c>
      <c r="CI14" s="1255" t="str">
        <f t="shared" si="2"/>
        <v/>
      </c>
      <c r="CJ14" s="1255" t="str">
        <f t="shared" si="2"/>
        <v/>
      </c>
      <c r="CK14" s="1255" t="str">
        <f t="shared" si="2"/>
        <v/>
      </c>
      <c r="CL14" s="1255" t="str">
        <f t="shared" si="2"/>
        <v/>
      </c>
      <c r="CM14" s="1255" t="str">
        <f t="shared" si="2"/>
        <v/>
      </c>
      <c r="CN14" s="1255" t="str">
        <f t="shared" si="2"/>
        <v/>
      </c>
      <c r="CO14" s="1255" t="str">
        <f t="shared" si="2"/>
        <v/>
      </c>
      <c r="CP14" s="1217" t="str">
        <f t="shared" si="2"/>
        <v/>
      </c>
    </row>
    <row r="15" spans="1:94" s="1251" customFormat="1" ht="80.25" customHeight="1" x14ac:dyDescent="0.25">
      <c r="B15" s="1554"/>
      <c r="C15" s="1254"/>
      <c r="D15" s="1252"/>
      <c r="E15" s="1253" t="s">
        <v>816</v>
      </c>
      <c r="F15" s="1252"/>
      <c r="G15" s="1252"/>
      <c r="H15" s="1252" t="s">
        <v>84</v>
      </c>
      <c r="I15" s="1550" t="str">
        <f>IF(SUM($N$14:$CP$14)&lt;&gt;0,SUM($N$14:$CP$14),"")</f>
        <v/>
      </c>
      <c r="J15" s="1551"/>
      <c r="K15" s="1551"/>
      <c r="L15" s="1551"/>
      <c r="M15" s="1552"/>
    </row>
    <row r="16" spans="1:94" s="1251" customFormat="1" ht="35.25" customHeight="1" x14ac:dyDescent="0.25">
      <c r="B16" s="1323"/>
      <c r="C16" s="1316"/>
      <c r="D16" s="1316"/>
      <c r="E16" s="1317"/>
      <c r="F16" s="1316"/>
      <c r="G16" s="1316"/>
      <c r="H16" s="1316"/>
      <c r="I16" s="1318"/>
      <c r="J16" s="1319"/>
    </row>
    <row r="17" spans="2:94" ht="108" customHeight="1" x14ac:dyDescent="0.25">
      <c r="B17" s="1535" t="s">
        <v>817</v>
      </c>
      <c r="C17" s="1536"/>
      <c r="D17" s="1320"/>
      <c r="E17" s="1321"/>
      <c r="F17" s="1320"/>
      <c r="G17" s="1320"/>
      <c r="H17" s="1320"/>
      <c r="I17" s="1333"/>
      <c r="J17" s="1334"/>
      <c r="K17" s="1322"/>
      <c r="L17" s="1322"/>
      <c r="M17" s="1322"/>
      <c r="N17" s="1322"/>
      <c r="O17" s="1322"/>
      <c r="P17" s="1322"/>
      <c r="Q17" s="1322"/>
      <c r="R17" s="1322"/>
      <c r="S17" s="1322"/>
      <c r="T17" s="1322"/>
      <c r="U17" s="1322"/>
      <c r="V17" s="1322"/>
      <c r="W17" s="1322"/>
      <c r="X17" s="1322"/>
      <c r="Y17" s="1322"/>
      <c r="Z17" s="1322"/>
      <c r="AA17" s="1322"/>
      <c r="AB17" s="1322"/>
      <c r="AC17" s="1322"/>
      <c r="AD17" s="1322"/>
      <c r="AE17" s="1322"/>
      <c r="AF17" s="1322"/>
      <c r="AG17" s="1322"/>
      <c r="AH17" s="1322"/>
      <c r="AI17" s="1322"/>
      <c r="AJ17" s="1322"/>
      <c r="AK17" s="1322"/>
      <c r="AL17" s="1322"/>
      <c r="AM17" s="1322"/>
      <c r="AN17" s="1322"/>
      <c r="AO17" s="1322"/>
      <c r="AP17" s="1322"/>
      <c r="AQ17" s="1322"/>
      <c r="AR17" s="1322"/>
      <c r="AS17" s="1322"/>
      <c r="AT17" s="1322"/>
      <c r="AU17" s="1322"/>
      <c r="AV17" s="1322"/>
      <c r="AW17" s="1322"/>
      <c r="AX17" s="1322"/>
      <c r="AY17" s="1322"/>
      <c r="AZ17" s="1322"/>
      <c r="BA17" s="1322"/>
      <c r="BB17" s="1322"/>
      <c r="BC17" s="1322"/>
      <c r="BD17" s="1322"/>
      <c r="BE17" s="1322"/>
      <c r="BF17" s="1322"/>
      <c r="BG17" s="1322"/>
      <c r="BH17" s="1322"/>
      <c r="BI17" s="1322"/>
      <c r="BJ17" s="1322"/>
      <c r="BK17" s="1322"/>
      <c r="BL17" s="1322"/>
      <c r="BM17" s="1322"/>
      <c r="BN17" s="1322"/>
      <c r="BO17" s="1322"/>
      <c r="BP17" s="1322"/>
      <c r="BQ17" s="1322"/>
      <c r="BR17" s="1322"/>
      <c r="BS17" s="1322"/>
      <c r="BT17" s="1322"/>
      <c r="BU17" s="1322"/>
      <c r="BV17" s="1322"/>
      <c r="BW17" s="1322"/>
      <c r="BX17" s="1322"/>
      <c r="BY17" s="1322"/>
      <c r="BZ17" s="1322"/>
      <c r="CA17" s="1322"/>
      <c r="CB17" s="1322"/>
      <c r="CC17" s="1322"/>
      <c r="CD17" s="1322"/>
      <c r="CE17" s="1322"/>
      <c r="CF17" s="1322"/>
      <c r="CG17" s="1322"/>
      <c r="CH17" s="1322"/>
      <c r="CI17" s="1322"/>
      <c r="CJ17" s="1322"/>
      <c r="CK17" s="1322"/>
      <c r="CL17" s="1322"/>
      <c r="CM17" s="1322"/>
      <c r="CN17" s="1322"/>
      <c r="CO17" s="1322"/>
      <c r="CP17" s="1322"/>
    </row>
    <row r="18" spans="2:94" ht="110.4" x14ac:dyDescent="0.25">
      <c r="B18" s="1324" t="s">
        <v>795</v>
      </c>
      <c r="C18" s="1325" t="s">
        <v>714</v>
      </c>
      <c r="D18" s="1314" t="s">
        <v>715</v>
      </c>
      <c r="E18" s="1314" t="s">
        <v>796</v>
      </c>
      <c r="F18" s="1314" t="s">
        <v>797</v>
      </c>
      <c r="G18" s="1314" t="s">
        <v>798</v>
      </c>
      <c r="H18" s="1315"/>
      <c r="I18" s="435" t="s">
        <v>119</v>
      </c>
      <c r="J18" s="436" t="s">
        <v>120</v>
      </c>
      <c r="K18" s="436" t="s">
        <v>121</v>
      </c>
      <c r="L18" s="436" t="s">
        <v>122</v>
      </c>
      <c r="M18" s="436" t="s">
        <v>123</v>
      </c>
      <c r="N18" s="436" t="s">
        <v>124</v>
      </c>
      <c r="O18" s="436" t="s">
        <v>125</v>
      </c>
      <c r="P18" s="436" t="s">
        <v>126</v>
      </c>
      <c r="Q18" s="436" t="s">
        <v>127</v>
      </c>
      <c r="R18" s="436" t="s">
        <v>128</v>
      </c>
      <c r="S18" s="436" t="s">
        <v>129</v>
      </c>
      <c r="T18" s="436" t="s">
        <v>130</v>
      </c>
      <c r="U18" s="436" t="s">
        <v>157</v>
      </c>
      <c r="V18" s="436" t="s">
        <v>158</v>
      </c>
      <c r="W18" s="436" t="s">
        <v>159</v>
      </c>
      <c r="X18" s="436" t="s">
        <v>160</v>
      </c>
      <c r="Y18" s="436" t="s">
        <v>131</v>
      </c>
      <c r="Z18" s="436" t="s">
        <v>161</v>
      </c>
      <c r="AA18" s="436" t="s">
        <v>162</v>
      </c>
      <c r="AB18" s="436" t="s">
        <v>163</v>
      </c>
      <c r="AC18" s="436" t="s">
        <v>164</v>
      </c>
      <c r="AD18" s="436" t="s">
        <v>132</v>
      </c>
      <c r="AE18" s="436" t="s">
        <v>165</v>
      </c>
      <c r="AF18" s="436" t="s">
        <v>166</v>
      </c>
      <c r="AG18" s="436" t="s">
        <v>167</v>
      </c>
      <c r="AH18" s="436" t="s">
        <v>168</v>
      </c>
      <c r="AI18" s="436" t="s">
        <v>133</v>
      </c>
      <c r="AJ18" s="436" t="s">
        <v>169</v>
      </c>
      <c r="AK18" s="436" t="s">
        <v>170</v>
      </c>
      <c r="AL18" s="436" t="s">
        <v>171</v>
      </c>
      <c r="AM18" s="436" t="s">
        <v>172</v>
      </c>
      <c r="AN18" s="436" t="s">
        <v>134</v>
      </c>
      <c r="AO18" s="436" t="s">
        <v>173</v>
      </c>
      <c r="AP18" s="436" t="s">
        <v>174</v>
      </c>
      <c r="AQ18" s="436" t="s">
        <v>175</v>
      </c>
      <c r="AR18" s="436" t="s">
        <v>176</v>
      </c>
      <c r="AS18" s="436" t="s">
        <v>135</v>
      </c>
      <c r="AT18" s="436" t="s">
        <v>177</v>
      </c>
      <c r="AU18" s="436" t="s">
        <v>178</v>
      </c>
      <c r="AV18" s="436" t="s">
        <v>179</v>
      </c>
      <c r="AW18" s="436" t="s">
        <v>180</v>
      </c>
      <c r="AX18" s="436" t="s">
        <v>136</v>
      </c>
      <c r="AY18" s="436" t="s">
        <v>181</v>
      </c>
      <c r="AZ18" s="436" t="s">
        <v>182</v>
      </c>
      <c r="BA18" s="436" t="s">
        <v>183</v>
      </c>
      <c r="BB18" s="436" t="s">
        <v>184</v>
      </c>
      <c r="BC18" s="436" t="s">
        <v>137</v>
      </c>
      <c r="BD18" s="436" t="s">
        <v>185</v>
      </c>
      <c r="BE18" s="436" t="s">
        <v>186</v>
      </c>
      <c r="BF18" s="436" t="s">
        <v>187</v>
      </c>
      <c r="BG18" s="436" t="s">
        <v>188</v>
      </c>
      <c r="BH18" s="436" t="s">
        <v>138</v>
      </c>
      <c r="BI18" s="436" t="s">
        <v>189</v>
      </c>
      <c r="BJ18" s="436" t="s">
        <v>190</v>
      </c>
      <c r="BK18" s="436" t="s">
        <v>191</v>
      </c>
      <c r="BL18" s="436" t="s">
        <v>192</v>
      </c>
      <c r="BM18" s="436" t="s">
        <v>139</v>
      </c>
      <c r="BN18" s="436" t="s">
        <v>193</v>
      </c>
      <c r="BO18" s="436" t="s">
        <v>194</v>
      </c>
      <c r="BP18" s="436" t="s">
        <v>195</v>
      </c>
      <c r="BQ18" s="436" t="s">
        <v>196</v>
      </c>
      <c r="BR18" s="436" t="s">
        <v>140</v>
      </c>
      <c r="BS18" s="436" t="s">
        <v>197</v>
      </c>
      <c r="BT18" s="436" t="s">
        <v>198</v>
      </c>
      <c r="BU18" s="436" t="s">
        <v>199</v>
      </c>
      <c r="BV18" s="436" t="s">
        <v>200</v>
      </c>
      <c r="BW18" s="436" t="s">
        <v>141</v>
      </c>
      <c r="BX18" s="436" t="s">
        <v>201</v>
      </c>
      <c r="BY18" s="436" t="s">
        <v>202</v>
      </c>
      <c r="BZ18" s="436" t="s">
        <v>203</v>
      </c>
      <c r="CA18" s="436" t="s">
        <v>204</v>
      </c>
      <c r="CB18" s="436" t="s">
        <v>142</v>
      </c>
      <c r="CC18" s="436" t="s">
        <v>205</v>
      </c>
      <c r="CD18" s="436" t="s">
        <v>206</v>
      </c>
      <c r="CE18" s="436" t="s">
        <v>207</v>
      </c>
      <c r="CF18" s="436" t="s">
        <v>208</v>
      </c>
      <c r="CG18" s="436" t="s">
        <v>143</v>
      </c>
      <c r="CH18" s="436" t="s">
        <v>209</v>
      </c>
      <c r="CI18" s="436" t="s">
        <v>210</v>
      </c>
      <c r="CJ18" s="436" t="s">
        <v>211</v>
      </c>
      <c r="CK18" s="436" t="s">
        <v>212</v>
      </c>
      <c r="CL18" s="436" t="s">
        <v>213</v>
      </c>
      <c r="CM18" s="436" t="s">
        <v>800</v>
      </c>
      <c r="CN18" s="436" t="s">
        <v>801</v>
      </c>
      <c r="CO18" s="436" t="s">
        <v>802</v>
      </c>
      <c r="CP18" s="437" t="s">
        <v>803</v>
      </c>
    </row>
    <row r="19" spans="2:94" ht="17.7" customHeight="1" x14ac:dyDescent="0.25">
      <c r="B19" s="1532" t="s">
        <v>818</v>
      </c>
      <c r="C19" s="1243"/>
      <c r="D19" s="1241"/>
      <c r="E19" s="1241" t="s">
        <v>806</v>
      </c>
      <c r="F19" s="1242" t="s">
        <v>819</v>
      </c>
      <c r="G19" s="1242"/>
      <c r="H19" s="1241" t="s">
        <v>813</v>
      </c>
      <c r="I19" s="1240"/>
      <c r="J19" s="1239"/>
      <c r="K19" s="1238"/>
      <c r="L19" s="1237"/>
      <c r="M19" s="1237"/>
      <c r="N19" s="1236"/>
      <c r="O19" s="1236"/>
      <c r="P19" s="1236"/>
      <c r="Q19" s="1236"/>
      <c r="R19" s="1236"/>
      <c r="S19" s="1236"/>
      <c r="T19" s="1236"/>
      <c r="U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236"/>
      <c r="BT19" s="1236"/>
      <c r="BU19" s="1236"/>
      <c r="BV19" s="1236"/>
      <c r="BW19" s="1236"/>
      <c r="BX19" s="1236"/>
      <c r="BY19" s="1236"/>
      <c r="BZ19" s="1236"/>
      <c r="CA19" s="1236"/>
      <c r="CB19" s="1236"/>
      <c r="CC19" s="1236"/>
      <c r="CD19" s="1236"/>
      <c r="CE19" s="1236"/>
      <c r="CF19" s="1236"/>
      <c r="CG19" s="1236"/>
      <c r="CH19" s="1236"/>
      <c r="CI19" s="1236"/>
      <c r="CJ19" s="1236"/>
      <c r="CK19" s="1236"/>
      <c r="CL19" s="1236"/>
      <c r="CM19" s="1236"/>
      <c r="CN19" s="1236"/>
      <c r="CO19" s="1236"/>
      <c r="CP19" s="1235"/>
    </row>
    <row r="20" spans="2:94" ht="17.7" customHeight="1" x14ac:dyDescent="0.25">
      <c r="B20" s="1533"/>
      <c r="C20" s="1227"/>
      <c r="D20" s="1225"/>
      <c r="E20" s="1225" t="s">
        <v>806</v>
      </c>
      <c r="F20" s="1234" t="s">
        <v>819</v>
      </c>
      <c r="G20" s="1234"/>
      <c r="H20" s="1225" t="s">
        <v>820</v>
      </c>
      <c r="I20" s="1232"/>
      <c r="J20" s="1233"/>
      <c r="K20" s="1229"/>
      <c r="L20" s="1224"/>
      <c r="M20" s="1224"/>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c r="AR20" s="1223"/>
      <c r="AS20" s="1223"/>
      <c r="AT20" s="1223"/>
      <c r="AU20" s="1223"/>
      <c r="AV20" s="1223"/>
      <c r="AW20" s="1223"/>
      <c r="AX20" s="1223"/>
      <c r="AY20" s="1223"/>
      <c r="AZ20" s="1223"/>
      <c r="BA20" s="1223"/>
      <c r="BB20" s="1223"/>
      <c r="BC20" s="1223"/>
      <c r="BD20" s="1223"/>
      <c r="BE20" s="1223"/>
      <c r="BF20" s="1223"/>
      <c r="BG20" s="1223"/>
      <c r="BH20" s="1223"/>
      <c r="BI20" s="1223"/>
      <c r="BJ20" s="1223"/>
      <c r="BK20" s="1223"/>
      <c r="BL20" s="1223"/>
      <c r="BM20" s="1223"/>
      <c r="BN20" s="1223"/>
      <c r="BO20" s="1223"/>
      <c r="BP20" s="1223"/>
      <c r="BQ20" s="1223"/>
      <c r="BR20" s="1223"/>
      <c r="BS20" s="1223"/>
      <c r="BT20" s="1223"/>
      <c r="BU20" s="1223"/>
      <c r="BV20" s="1223"/>
      <c r="BW20" s="1223"/>
      <c r="BX20" s="1223"/>
      <c r="BY20" s="1223"/>
      <c r="BZ20" s="1223"/>
      <c r="CA20" s="1223"/>
      <c r="CB20" s="1223"/>
      <c r="CC20" s="1223"/>
      <c r="CD20" s="1223"/>
      <c r="CE20" s="1223"/>
      <c r="CF20" s="1223"/>
      <c r="CG20" s="1223"/>
      <c r="CH20" s="1223"/>
      <c r="CI20" s="1223"/>
      <c r="CJ20" s="1223"/>
      <c r="CK20" s="1223"/>
      <c r="CL20" s="1223"/>
      <c r="CM20" s="1223"/>
      <c r="CN20" s="1223"/>
      <c r="CO20" s="1223"/>
      <c r="CP20" s="1222"/>
    </row>
    <row r="21" spans="2:94" ht="17.7" customHeight="1" x14ac:dyDescent="0.25">
      <c r="B21" s="1533"/>
      <c r="C21" s="1227"/>
      <c r="D21" s="1225"/>
      <c r="E21" s="1225" t="s">
        <v>811</v>
      </c>
      <c r="F21" s="1225" t="s">
        <v>821</v>
      </c>
      <c r="G21" s="1225"/>
      <c r="H21" s="1225" t="s">
        <v>813</v>
      </c>
      <c r="I21" s="1231"/>
      <c r="J21" s="1233"/>
      <c r="K21" s="1229"/>
      <c r="L21" s="1224"/>
      <c r="M21" s="1224"/>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c r="AR21" s="1223"/>
      <c r="AS21" s="1223"/>
      <c r="AT21" s="1223"/>
      <c r="AU21" s="1223"/>
      <c r="AV21" s="1223"/>
      <c r="AW21" s="1223"/>
      <c r="AX21" s="1223"/>
      <c r="AY21" s="1223"/>
      <c r="AZ21" s="1223"/>
      <c r="BA21" s="1223"/>
      <c r="BB21" s="1223"/>
      <c r="BC21" s="1223"/>
      <c r="BD21" s="1223"/>
      <c r="BE21" s="1223"/>
      <c r="BF21" s="1223"/>
      <c r="BG21" s="1223"/>
      <c r="BH21" s="1223"/>
      <c r="BI21" s="1223"/>
      <c r="BJ21" s="1223"/>
      <c r="BK21" s="1223"/>
      <c r="BL21" s="1223"/>
      <c r="BM21" s="1223"/>
      <c r="BN21" s="1223"/>
      <c r="BO21" s="1223"/>
      <c r="BP21" s="1223"/>
      <c r="BQ21" s="1223"/>
      <c r="BR21" s="1223"/>
      <c r="BS21" s="1223"/>
      <c r="BT21" s="1223"/>
      <c r="BU21" s="1223"/>
      <c r="BV21" s="1223"/>
      <c r="BW21" s="1223"/>
      <c r="BX21" s="1223"/>
      <c r="BY21" s="1223"/>
      <c r="BZ21" s="1223"/>
      <c r="CA21" s="1223"/>
      <c r="CB21" s="1223"/>
      <c r="CC21" s="1223"/>
      <c r="CD21" s="1223"/>
      <c r="CE21" s="1223"/>
      <c r="CF21" s="1223"/>
      <c r="CG21" s="1223"/>
      <c r="CH21" s="1223"/>
      <c r="CI21" s="1223"/>
      <c r="CJ21" s="1223"/>
      <c r="CK21" s="1223"/>
      <c r="CL21" s="1223"/>
      <c r="CM21" s="1223"/>
      <c r="CN21" s="1223"/>
      <c r="CO21" s="1223"/>
      <c r="CP21" s="1222"/>
    </row>
    <row r="22" spans="2:94" ht="17.7" customHeight="1" x14ac:dyDescent="0.25">
      <c r="B22" s="1533"/>
      <c r="C22" s="1227"/>
      <c r="D22" s="1225"/>
      <c r="E22" s="1225" t="s">
        <v>811</v>
      </c>
      <c r="F22" s="1225" t="s">
        <v>822</v>
      </c>
      <c r="G22" s="1225"/>
      <c r="H22" s="1225" t="s">
        <v>813</v>
      </c>
      <c r="I22" s="1231"/>
      <c r="J22" s="1233"/>
      <c r="K22" s="1229"/>
      <c r="L22" s="1224"/>
      <c r="M22" s="1224"/>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c r="AR22" s="1223"/>
      <c r="AS22" s="1223"/>
      <c r="AT22" s="1223"/>
      <c r="AU22" s="1223"/>
      <c r="AV22" s="1223"/>
      <c r="AW22" s="1223"/>
      <c r="AX22" s="1223"/>
      <c r="AY22" s="1223"/>
      <c r="AZ22" s="1223"/>
      <c r="BA22" s="1223"/>
      <c r="BB22" s="1223"/>
      <c r="BC22" s="1223"/>
      <c r="BD22" s="1223"/>
      <c r="BE22" s="1223"/>
      <c r="BF22" s="1223"/>
      <c r="BG22" s="1223"/>
      <c r="BH22" s="1223"/>
      <c r="BI22" s="1223"/>
      <c r="BJ22" s="1223"/>
      <c r="BK22" s="1223"/>
      <c r="BL22" s="1223"/>
      <c r="BM22" s="1223"/>
      <c r="BN22" s="1223"/>
      <c r="BO22" s="1223"/>
      <c r="BP22" s="1223"/>
      <c r="BQ22" s="1223"/>
      <c r="BR22" s="1223"/>
      <c r="BS22" s="1223"/>
      <c r="BT22" s="1223"/>
      <c r="BU22" s="1223"/>
      <c r="BV22" s="1223"/>
      <c r="BW22" s="1223"/>
      <c r="BX22" s="1223"/>
      <c r="BY22" s="1223"/>
      <c r="BZ22" s="1223"/>
      <c r="CA22" s="1223"/>
      <c r="CB22" s="1223"/>
      <c r="CC22" s="1223"/>
      <c r="CD22" s="1223"/>
      <c r="CE22" s="1223"/>
      <c r="CF22" s="1223"/>
      <c r="CG22" s="1223"/>
      <c r="CH22" s="1223"/>
      <c r="CI22" s="1223"/>
      <c r="CJ22" s="1223"/>
      <c r="CK22" s="1223"/>
      <c r="CL22" s="1223"/>
      <c r="CM22" s="1223"/>
      <c r="CN22" s="1223"/>
      <c r="CO22" s="1223"/>
      <c r="CP22" s="1222"/>
    </row>
    <row r="23" spans="2:94" ht="17.7" customHeight="1" x14ac:dyDescent="0.25">
      <c r="B23" s="1533"/>
      <c r="C23" s="1227"/>
      <c r="D23" s="1225"/>
      <c r="E23" s="1225" t="s">
        <v>811</v>
      </c>
      <c r="F23" s="1225" t="s">
        <v>823</v>
      </c>
      <c r="G23" s="1225"/>
      <c r="H23" s="1225" t="s">
        <v>813</v>
      </c>
      <c r="I23" s="1231"/>
      <c r="J23" s="1233"/>
      <c r="K23" s="1229"/>
      <c r="L23" s="1224"/>
      <c r="M23" s="1224"/>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c r="AR23" s="1223"/>
      <c r="AS23" s="1223"/>
      <c r="AT23" s="1223"/>
      <c r="AU23" s="1223"/>
      <c r="AV23" s="1223"/>
      <c r="AW23" s="1223"/>
      <c r="AX23" s="1223"/>
      <c r="AY23" s="1223"/>
      <c r="AZ23" s="1223"/>
      <c r="BA23" s="1223"/>
      <c r="BB23" s="1223"/>
      <c r="BC23" s="1223"/>
      <c r="BD23" s="1223"/>
      <c r="BE23" s="1223"/>
      <c r="BF23" s="1223"/>
      <c r="BG23" s="1223"/>
      <c r="BH23" s="1223"/>
      <c r="BI23" s="1223"/>
      <c r="BJ23" s="1223"/>
      <c r="BK23" s="1223"/>
      <c r="BL23" s="1223"/>
      <c r="BM23" s="1223"/>
      <c r="BN23" s="1223"/>
      <c r="BO23" s="1223"/>
      <c r="BP23" s="1223"/>
      <c r="BQ23" s="1223"/>
      <c r="BR23" s="1223"/>
      <c r="BS23" s="1223"/>
      <c r="BT23" s="1223"/>
      <c r="BU23" s="1223"/>
      <c r="BV23" s="1223"/>
      <c r="BW23" s="1223"/>
      <c r="BX23" s="1223"/>
      <c r="BY23" s="1223"/>
      <c r="BZ23" s="1223"/>
      <c r="CA23" s="1223"/>
      <c r="CB23" s="1223"/>
      <c r="CC23" s="1223"/>
      <c r="CD23" s="1223"/>
      <c r="CE23" s="1223"/>
      <c r="CF23" s="1223"/>
      <c r="CG23" s="1223"/>
      <c r="CH23" s="1223"/>
      <c r="CI23" s="1223"/>
      <c r="CJ23" s="1223"/>
      <c r="CK23" s="1223"/>
      <c r="CL23" s="1223"/>
      <c r="CM23" s="1223"/>
      <c r="CN23" s="1223"/>
      <c r="CO23" s="1223"/>
      <c r="CP23" s="1222"/>
    </row>
    <row r="24" spans="2:94" ht="17.7" customHeight="1" x14ac:dyDescent="0.25">
      <c r="B24" s="1533"/>
      <c r="C24" s="1227"/>
      <c r="D24" s="1225"/>
      <c r="E24" s="1225" t="s">
        <v>811</v>
      </c>
      <c r="F24" s="1225" t="s">
        <v>824</v>
      </c>
      <c r="G24" s="1225"/>
      <c r="H24" s="1225" t="s">
        <v>813</v>
      </c>
      <c r="I24" s="1232"/>
      <c r="J24" s="1233"/>
      <c r="K24" s="1229"/>
      <c r="L24" s="1224"/>
      <c r="M24" s="1224"/>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c r="AR24" s="1223"/>
      <c r="AS24" s="1223"/>
      <c r="AT24" s="1223"/>
      <c r="AU24" s="1223"/>
      <c r="AV24" s="1223"/>
      <c r="AW24" s="1223"/>
      <c r="AX24" s="1223"/>
      <c r="AY24" s="1223"/>
      <c r="AZ24" s="1223"/>
      <c r="BA24" s="1223"/>
      <c r="BB24" s="1223"/>
      <c r="BC24" s="1223"/>
      <c r="BD24" s="1223"/>
      <c r="BE24" s="1223"/>
      <c r="BF24" s="1223"/>
      <c r="BG24" s="1223"/>
      <c r="BH24" s="1223"/>
      <c r="BI24" s="1223"/>
      <c r="BJ24" s="1223"/>
      <c r="BK24" s="1223"/>
      <c r="BL24" s="1223"/>
      <c r="BM24" s="1223"/>
      <c r="BN24" s="1223"/>
      <c r="BO24" s="1223"/>
      <c r="BP24" s="1223"/>
      <c r="BQ24" s="1223"/>
      <c r="BR24" s="1223"/>
      <c r="BS24" s="1223"/>
      <c r="BT24" s="1223"/>
      <c r="BU24" s="1223"/>
      <c r="BV24" s="1223"/>
      <c r="BW24" s="1223"/>
      <c r="BX24" s="1223"/>
      <c r="BY24" s="1223"/>
      <c r="BZ24" s="1223"/>
      <c r="CA24" s="1223"/>
      <c r="CB24" s="1223"/>
      <c r="CC24" s="1223"/>
      <c r="CD24" s="1223"/>
      <c r="CE24" s="1223"/>
      <c r="CF24" s="1223"/>
      <c r="CG24" s="1223"/>
      <c r="CH24" s="1223"/>
      <c r="CI24" s="1223"/>
      <c r="CJ24" s="1223"/>
      <c r="CK24" s="1223"/>
      <c r="CL24" s="1223"/>
      <c r="CM24" s="1223"/>
      <c r="CN24" s="1223"/>
      <c r="CO24" s="1223"/>
      <c r="CP24" s="1222"/>
    </row>
    <row r="25" spans="2:94" ht="17.7" customHeight="1" x14ac:dyDescent="0.25">
      <c r="B25" s="1533"/>
      <c r="C25" s="1227"/>
      <c r="D25" s="1225"/>
      <c r="E25" s="1225" t="s">
        <v>811</v>
      </c>
      <c r="F25" s="1225" t="s">
        <v>825</v>
      </c>
      <c r="G25" s="1225"/>
      <c r="H25" s="1225" t="s">
        <v>813</v>
      </c>
      <c r="I25" s="1231"/>
      <c r="J25" s="1233"/>
      <c r="K25" s="1229"/>
      <c r="L25" s="1224"/>
      <c r="M25" s="1224"/>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c r="AR25" s="1223"/>
      <c r="AS25" s="1223"/>
      <c r="AT25" s="1223"/>
      <c r="AU25" s="1223"/>
      <c r="AV25" s="1223"/>
      <c r="AW25" s="1223"/>
      <c r="AX25" s="1223"/>
      <c r="AY25" s="1223"/>
      <c r="AZ25" s="1223"/>
      <c r="BA25" s="1223"/>
      <c r="BB25" s="1223"/>
      <c r="BC25" s="1223"/>
      <c r="BD25" s="1223"/>
      <c r="BE25" s="1223"/>
      <c r="BF25" s="1223"/>
      <c r="BG25" s="1223"/>
      <c r="BH25" s="1223"/>
      <c r="BI25" s="1223"/>
      <c r="BJ25" s="1223"/>
      <c r="BK25" s="1223"/>
      <c r="BL25" s="1223"/>
      <c r="BM25" s="1223"/>
      <c r="BN25" s="1223"/>
      <c r="BO25" s="1223"/>
      <c r="BP25" s="1223"/>
      <c r="BQ25" s="1223"/>
      <c r="BR25" s="1223"/>
      <c r="BS25" s="1223"/>
      <c r="BT25" s="1223"/>
      <c r="BU25" s="1223"/>
      <c r="BV25" s="1223"/>
      <c r="BW25" s="1223"/>
      <c r="BX25" s="1223"/>
      <c r="BY25" s="1223"/>
      <c r="BZ25" s="1223"/>
      <c r="CA25" s="1223"/>
      <c r="CB25" s="1223"/>
      <c r="CC25" s="1223"/>
      <c r="CD25" s="1223"/>
      <c r="CE25" s="1223"/>
      <c r="CF25" s="1223"/>
      <c r="CG25" s="1223"/>
      <c r="CH25" s="1223"/>
      <c r="CI25" s="1223"/>
      <c r="CJ25" s="1223"/>
      <c r="CK25" s="1223"/>
      <c r="CL25" s="1223"/>
      <c r="CM25" s="1223"/>
      <c r="CN25" s="1223"/>
      <c r="CO25" s="1223"/>
      <c r="CP25" s="1222"/>
    </row>
    <row r="26" spans="2:94" ht="17.7" customHeight="1" x14ac:dyDescent="0.25">
      <c r="B26" s="1533"/>
      <c r="C26" s="1227"/>
      <c r="D26" s="1225"/>
      <c r="E26" s="1225" t="s">
        <v>811</v>
      </c>
      <c r="F26" s="1225" t="s">
        <v>826</v>
      </c>
      <c r="G26" s="1225"/>
      <c r="H26" s="1225" t="s">
        <v>813</v>
      </c>
      <c r="I26" s="1232"/>
      <c r="J26" s="1230"/>
      <c r="K26" s="1229"/>
      <c r="L26" s="1224"/>
      <c r="M26" s="1224"/>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223"/>
      <c r="AM26" s="1223"/>
      <c r="AN26" s="1223"/>
      <c r="AO26" s="1223"/>
      <c r="AP26" s="1223"/>
      <c r="AQ26" s="1223"/>
      <c r="AR26" s="1223"/>
      <c r="AS26" s="1223"/>
      <c r="AT26" s="1223"/>
      <c r="AU26" s="1223"/>
      <c r="AV26" s="1223"/>
      <c r="AW26" s="1223"/>
      <c r="AX26" s="1223"/>
      <c r="AY26" s="1223"/>
      <c r="AZ26" s="1223"/>
      <c r="BA26" s="1223"/>
      <c r="BB26" s="1223"/>
      <c r="BC26" s="1223"/>
      <c r="BD26" s="1223"/>
      <c r="BE26" s="1223"/>
      <c r="BF26" s="1223"/>
      <c r="BG26" s="1223"/>
      <c r="BH26" s="1223"/>
      <c r="BI26" s="1223"/>
      <c r="BJ26" s="1223"/>
      <c r="BK26" s="1223"/>
      <c r="BL26" s="1223"/>
      <c r="BM26" s="1223"/>
      <c r="BN26" s="1223"/>
      <c r="BO26" s="1223"/>
      <c r="BP26" s="1223"/>
      <c r="BQ26" s="1223"/>
      <c r="BR26" s="1223"/>
      <c r="BS26" s="1223"/>
      <c r="BT26" s="1223"/>
      <c r="BU26" s="1223"/>
      <c r="BV26" s="1223"/>
      <c r="BW26" s="1223"/>
      <c r="BX26" s="1223"/>
      <c r="BY26" s="1223"/>
      <c r="BZ26" s="1223"/>
      <c r="CA26" s="1223"/>
      <c r="CB26" s="1223"/>
      <c r="CC26" s="1223"/>
      <c r="CD26" s="1223"/>
      <c r="CE26" s="1223"/>
      <c r="CF26" s="1223"/>
      <c r="CG26" s="1223"/>
      <c r="CH26" s="1223"/>
      <c r="CI26" s="1223"/>
      <c r="CJ26" s="1223"/>
      <c r="CK26" s="1223"/>
      <c r="CL26" s="1223"/>
      <c r="CM26" s="1223"/>
      <c r="CN26" s="1223"/>
      <c r="CO26" s="1223"/>
      <c r="CP26" s="1222"/>
    </row>
    <row r="27" spans="2:94" ht="17.7" customHeight="1" x14ac:dyDescent="0.25">
      <c r="B27" s="1533"/>
      <c r="C27" s="1227"/>
      <c r="D27" s="1225"/>
      <c r="E27" s="1225" t="s">
        <v>811</v>
      </c>
      <c r="F27" s="1225" t="s">
        <v>827</v>
      </c>
      <c r="G27" s="1225"/>
      <c r="H27" s="1225" t="s">
        <v>813</v>
      </c>
      <c r="I27" s="1231"/>
      <c r="J27" s="1230"/>
      <c r="K27" s="1229"/>
      <c r="L27" s="1224"/>
      <c r="M27" s="1224"/>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223"/>
      <c r="AM27" s="1223"/>
      <c r="AN27" s="1223"/>
      <c r="AO27" s="1223"/>
      <c r="AP27" s="1223"/>
      <c r="AQ27" s="1223"/>
      <c r="AR27" s="1223"/>
      <c r="AS27" s="1223"/>
      <c r="AT27" s="1223"/>
      <c r="AU27" s="1223"/>
      <c r="AV27" s="1223"/>
      <c r="AW27" s="1223"/>
      <c r="AX27" s="1223"/>
      <c r="AY27" s="1223"/>
      <c r="AZ27" s="1223"/>
      <c r="BA27" s="1223"/>
      <c r="BB27" s="1223"/>
      <c r="BC27" s="1223"/>
      <c r="BD27" s="1223"/>
      <c r="BE27" s="1223"/>
      <c r="BF27" s="1223"/>
      <c r="BG27" s="1223"/>
      <c r="BH27" s="1223"/>
      <c r="BI27" s="1223"/>
      <c r="BJ27" s="1223"/>
      <c r="BK27" s="1223"/>
      <c r="BL27" s="1223"/>
      <c r="BM27" s="1223"/>
      <c r="BN27" s="1223"/>
      <c r="BO27" s="1223"/>
      <c r="BP27" s="1223"/>
      <c r="BQ27" s="1223"/>
      <c r="BR27" s="1223"/>
      <c r="BS27" s="1223"/>
      <c r="BT27" s="1223"/>
      <c r="BU27" s="1223"/>
      <c r="BV27" s="1223"/>
      <c r="BW27" s="1223"/>
      <c r="BX27" s="1223"/>
      <c r="BY27" s="1223"/>
      <c r="BZ27" s="1223"/>
      <c r="CA27" s="1223"/>
      <c r="CB27" s="1223"/>
      <c r="CC27" s="1223"/>
      <c r="CD27" s="1223"/>
      <c r="CE27" s="1223"/>
      <c r="CF27" s="1223"/>
      <c r="CG27" s="1223"/>
      <c r="CH27" s="1223"/>
      <c r="CI27" s="1223"/>
      <c r="CJ27" s="1223"/>
      <c r="CK27" s="1223"/>
      <c r="CL27" s="1223"/>
      <c r="CM27" s="1223"/>
      <c r="CN27" s="1223"/>
      <c r="CO27" s="1223"/>
      <c r="CP27" s="1222"/>
    </row>
    <row r="28" spans="2:94" ht="17.7" customHeight="1" x14ac:dyDescent="0.25">
      <c r="B28" s="1533"/>
      <c r="C28" s="1227"/>
      <c r="D28" s="1225"/>
      <c r="E28" s="1225" t="s">
        <v>811</v>
      </c>
      <c r="F28" s="1225" t="s">
        <v>828</v>
      </c>
      <c r="G28" s="1225"/>
      <c r="H28" s="1225" t="s">
        <v>813</v>
      </c>
      <c r="I28" s="1231"/>
      <c r="J28" s="1230"/>
      <c r="K28" s="1229"/>
      <c r="L28" s="1224"/>
      <c r="M28" s="1224"/>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3"/>
      <c r="AN28" s="1223"/>
      <c r="AO28" s="1223"/>
      <c r="AP28" s="1223"/>
      <c r="AQ28" s="1223"/>
      <c r="AR28" s="1223"/>
      <c r="AS28" s="1223"/>
      <c r="AT28" s="1223"/>
      <c r="AU28" s="1223"/>
      <c r="AV28" s="1223"/>
      <c r="AW28" s="1223"/>
      <c r="AX28" s="1223"/>
      <c r="AY28" s="1223"/>
      <c r="AZ28" s="1223"/>
      <c r="BA28" s="1223"/>
      <c r="BB28" s="1223"/>
      <c r="BC28" s="1223"/>
      <c r="BD28" s="1223"/>
      <c r="BE28" s="1223"/>
      <c r="BF28" s="1223"/>
      <c r="BG28" s="1223"/>
      <c r="BH28" s="1223"/>
      <c r="BI28" s="1223"/>
      <c r="BJ28" s="1223"/>
      <c r="BK28" s="1223"/>
      <c r="BL28" s="1223"/>
      <c r="BM28" s="1223"/>
      <c r="BN28" s="1223"/>
      <c r="BO28" s="1223"/>
      <c r="BP28" s="1223"/>
      <c r="BQ28" s="1223"/>
      <c r="BR28" s="1223"/>
      <c r="BS28" s="1223"/>
      <c r="BT28" s="1223"/>
      <c r="BU28" s="1223"/>
      <c r="BV28" s="1223"/>
      <c r="BW28" s="1223"/>
      <c r="BX28" s="1223"/>
      <c r="BY28" s="1223"/>
      <c r="BZ28" s="1223"/>
      <c r="CA28" s="1223"/>
      <c r="CB28" s="1223"/>
      <c r="CC28" s="1223"/>
      <c r="CD28" s="1223"/>
      <c r="CE28" s="1223"/>
      <c r="CF28" s="1223"/>
      <c r="CG28" s="1223"/>
      <c r="CH28" s="1223"/>
      <c r="CI28" s="1223"/>
      <c r="CJ28" s="1223"/>
      <c r="CK28" s="1223"/>
      <c r="CL28" s="1223"/>
      <c r="CM28" s="1223"/>
      <c r="CN28" s="1223"/>
      <c r="CO28" s="1223"/>
      <c r="CP28" s="1222"/>
    </row>
    <row r="29" spans="2:94" ht="17.7" customHeight="1" x14ac:dyDescent="0.25">
      <c r="B29" s="1533"/>
      <c r="C29" s="1227"/>
      <c r="D29" s="1225"/>
      <c r="E29" s="1225" t="s">
        <v>811</v>
      </c>
      <c r="F29" s="1225" t="s">
        <v>829</v>
      </c>
      <c r="G29" s="1225"/>
      <c r="H29" s="1225" t="s">
        <v>813</v>
      </c>
      <c r="I29" s="1228"/>
      <c r="J29" s="1224"/>
      <c r="K29" s="1224"/>
      <c r="L29" s="1224"/>
      <c r="M29" s="1224"/>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223"/>
      <c r="AM29" s="1223"/>
      <c r="AN29" s="1223"/>
      <c r="AO29" s="1223"/>
      <c r="AP29" s="1223"/>
      <c r="AQ29" s="1223"/>
      <c r="AR29" s="1223"/>
      <c r="AS29" s="1223"/>
      <c r="AT29" s="1223"/>
      <c r="AU29" s="1223"/>
      <c r="AV29" s="1223"/>
      <c r="AW29" s="1223"/>
      <c r="AX29" s="1223"/>
      <c r="AY29" s="1223"/>
      <c r="AZ29" s="1223"/>
      <c r="BA29" s="1223"/>
      <c r="BB29" s="1223"/>
      <c r="BC29" s="1223"/>
      <c r="BD29" s="1223"/>
      <c r="BE29" s="1223"/>
      <c r="BF29" s="1223"/>
      <c r="BG29" s="1223"/>
      <c r="BH29" s="1223"/>
      <c r="BI29" s="1223"/>
      <c r="BJ29" s="1223"/>
      <c r="BK29" s="1223"/>
      <c r="BL29" s="1223"/>
      <c r="BM29" s="1223"/>
      <c r="BN29" s="1223"/>
      <c r="BO29" s="1223"/>
      <c r="BP29" s="1223"/>
      <c r="BQ29" s="1223"/>
      <c r="BR29" s="1223"/>
      <c r="BS29" s="1223"/>
      <c r="BT29" s="1223"/>
      <c r="BU29" s="1223"/>
      <c r="BV29" s="1223"/>
      <c r="BW29" s="1223"/>
      <c r="BX29" s="1223"/>
      <c r="BY29" s="1223"/>
      <c r="BZ29" s="1223"/>
      <c r="CA29" s="1223"/>
      <c r="CB29" s="1223"/>
      <c r="CC29" s="1223"/>
      <c r="CD29" s="1223"/>
      <c r="CE29" s="1223"/>
      <c r="CF29" s="1223"/>
      <c r="CG29" s="1223"/>
      <c r="CH29" s="1223"/>
      <c r="CI29" s="1223"/>
      <c r="CJ29" s="1223"/>
      <c r="CK29" s="1223"/>
      <c r="CL29" s="1223"/>
      <c r="CM29" s="1223"/>
      <c r="CN29" s="1223"/>
      <c r="CO29" s="1223"/>
      <c r="CP29" s="1222"/>
    </row>
    <row r="30" spans="2:94" ht="17.7" customHeight="1" x14ac:dyDescent="0.25">
      <c r="B30" s="1533"/>
      <c r="C30" s="1227"/>
      <c r="D30" s="1225"/>
      <c r="E30" s="1225" t="s">
        <v>811</v>
      </c>
      <c r="F30" s="1225" t="s">
        <v>830</v>
      </c>
      <c r="G30" s="1225"/>
      <c r="H30" s="1225" t="s">
        <v>813</v>
      </c>
      <c r="I30" s="1228"/>
      <c r="J30" s="1224"/>
      <c r="K30" s="1224"/>
      <c r="L30" s="1224"/>
      <c r="M30" s="1224"/>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c r="AR30" s="1223"/>
      <c r="AS30" s="1223"/>
      <c r="AT30" s="1223"/>
      <c r="AU30" s="1223"/>
      <c r="AV30" s="1223"/>
      <c r="AW30" s="1223"/>
      <c r="AX30" s="1223"/>
      <c r="AY30" s="1223"/>
      <c r="AZ30" s="1223"/>
      <c r="BA30" s="1223"/>
      <c r="BB30" s="1223"/>
      <c r="BC30" s="1223"/>
      <c r="BD30" s="1223"/>
      <c r="BE30" s="1223"/>
      <c r="BF30" s="1223"/>
      <c r="BG30" s="1223"/>
      <c r="BH30" s="1223"/>
      <c r="BI30" s="1223"/>
      <c r="BJ30" s="1223"/>
      <c r="BK30" s="1223"/>
      <c r="BL30" s="1223"/>
      <c r="BM30" s="1223"/>
      <c r="BN30" s="1223"/>
      <c r="BO30" s="1223"/>
      <c r="BP30" s="1223"/>
      <c r="BQ30" s="1223"/>
      <c r="BR30" s="1223"/>
      <c r="BS30" s="1223"/>
      <c r="BT30" s="1223"/>
      <c r="BU30" s="1223"/>
      <c r="BV30" s="1223"/>
      <c r="BW30" s="1223"/>
      <c r="BX30" s="1223"/>
      <c r="BY30" s="1223"/>
      <c r="BZ30" s="1223"/>
      <c r="CA30" s="1223"/>
      <c r="CB30" s="1223"/>
      <c r="CC30" s="1223"/>
      <c r="CD30" s="1223"/>
      <c r="CE30" s="1223"/>
      <c r="CF30" s="1223"/>
      <c r="CG30" s="1223"/>
      <c r="CH30" s="1223"/>
      <c r="CI30" s="1223"/>
      <c r="CJ30" s="1223"/>
      <c r="CK30" s="1223"/>
      <c r="CL30" s="1223"/>
      <c r="CM30" s="1223"/>
      <c r="CN30" s="1223"/>
      <c r="CO30" s="1223"/>
      <c r="CP30" s="1222"/>
    </row>
    <row r="31" spans="2:94" ht="17.7" customHeight="1" x14ac:dyDescent="0.25">
      <c r="B31" s="1533"/>
      <c r="C31" s="1227"/>
      <c r="D31" s="1225"/>
      <c r="E31" s="1225" t="s">
        <v>811</v>
      </c>
      <c r="F31" s="1225" t="s">
        <v>831</v>
      </c>
      <c r="G31" s="1225"/>
      <c r="H31" s="1225" t="s">
        <v>813</v>
      </c>
      <c r="I31" s="1228"/>
      <c r="J31" s="1224"/>
      <c r="K31" s="1224"/>
      <c r="L31" s="1224"/>
      <c r="M31" s="1224"/>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c r="AR31" s="1223"/>
      <c r="AS31" s="1223"/>
      <c r="AT31" s="1223"/>
      <c r="AU31" s="1223"/>
      <c r="AV31" s="1223"/>
      <c r="AW31" s="1223"/>
      <c r="AX31" s="1223"/>
      <c r="AY31" s="1223"/>
      <c r="AZ31" s="1223"/>
      <c r="BA31" s="1223"/>
      <c r="BB31" s="1223"/>
      <c r="BC31" s="1223"/>
      <c r="BD31" s="1223"/>
      <c r="BE31" s="1223"/>
      <c r="BF31" s="1223"/>
      <c r="BG31" s="1223"/>
      <c r="BH31" s="1223"/>
      <c r="BI31" s="1223"/>
      <c r="BJ31" s="1223"/>
      <c r="BK31" s="1223"/>
      <c r="BL31" s="1223"/>
      <c r="BM31" s="1223"/>
      <c r="BN31" s="1223"/>
      <c r="BO31" s="1223"/>
      <c r="BP31" s="1223"/>
      <c r="BQ31" s="1223"/>
      <c r="BR31" s="1223"/>
      <c r="BS31" s="1223"/>
      <c r="BT31" s="1223"/>
      <c r="BU31" s="1223"/>
      <c r="BV31" s="1223"/>
      <c r="BW31" s="1223"/>
      <c r="BX31" s="1223"/>
      <c r="BY31" s="1223"/>
      <c r="BZ31" s="1223"/>
      <c r="CA31" s="1223"/>
      <c r="CB31" s="1223"/>
      <c r="CC31" s="1223"/>
      <c r="CD31" s="1223"/>
      <c r="CE31" s="1223"/>
      <c r="CF31" s="1223"/>
      <c r="CG31" s="1223"/>
      <c r="CH31" s="1223"/>
      <c r="CI31" s="1223"/>
      <c r="CJ31" s="1223"/>
      <c r="CK31" s="1223"/>
      <c r="CL31" s="1223"/>
      <c r="CM31" s="1223"/>
      <c r="CN31" s="1223"/>
      <c r="CO31" s="1223"/>
      <c r="CP31" s="1222"/>
    </row>
    <row r="32" spans="2:94" ht="17.7" customHeight="1" x14ac:dyDescent="0.25">
      <c r="B32" s="1533"/>
      <c r="C32" s="1227"/>
      <c r="D32" s="1225"/>
      <c r="E32" s="1225" t="s">
        <v>811</v>
      </c>
      <c r="F32" s="1225" t="s">
        <v>832</v>
      </c>
      <c r="G32" s="1225"/>
      <c r="H32" s="1225" t="s">
        <v>813</v>
      </c>
      <c r="I32" s="1228"/>
      <c r="J32" s="1224"/>
      <c r="K32" s="1224"/>
      <c r="L32" s="1224"/>
      <c r="M32" s="1224"/>
      <c r="N32" s="1223"/>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c r="AR32" s="1223"/>
      <c r="AS32" s="1223"/>
      <c r="AT32" s="1223"/>
      <c r="AU32" s="1223"/>
      <c r="AV32" s="1223"/>
      <c r="AW32" s="1223"/>
      <c r="AX32" s="1223"/>
      <c r="AY32" s="1223"/>
      <c r="AZ32" s="1223"/>
      <c r="BA32" s="1223"/>
      <c r="BB32" s="1223"/>
      <c r="BC32" s="1223"/>
      <c r="BD32" s="1223"/>
      <c r="BE32" s="1223"/>
      <c r="BF32" s="1223"/>
      <c r="BG32" s="1223"/>
      <c r="BH32" s="1223"/>
      <c r="BI32" s="1223"/>
      <c r="BJ32" s="1223"/>
      <c r="BK32" s="1223"/>
      <c r="BL32" s="1223"/>
      <c r="BM32" s="1223"/>
      <c r="BN32" s="1223"/>
      <c r="BO32" s="1223"/>
      <c r="BP32" s="1223"/>
      <c r="BQ32" s="1223"/>
      <c r="BR32" s="1223"/>
      <c r="BS32" s="1223"/>
      <c r="BT32" s="1223"/>
      <c r="BU32" s="1223"/>
      <c r="BV32" s="1223"/>
      <c r="BW32" s="1223"/>
      <c r="BX32" s="1223"/>
      <c r="BY32" s="1223"/>
      <c r="BZ32" s="1223"/>
      <c r="CA32" s="1223"/>
      <c r="CB32" s="1223"/>
      <c r="CC32" s="1223"/>
      <c r="CD32" s="1223"/>
      <c r="CE32" s="1223"/>
      <c r="CF32" s="1223"/>
      <c r="CG32" s="1223"/>
      <c r="CH32" s="1223"/>
      <c r="CI32" s="1223"/>
      <c r="CJ32" s="1223"/>
      <c r="CK32" s="1223"/>
      <c r="CL32" s="1223"/>
      <c r="CM32" s="1223"/>
      <c r="CN32" s="1223"/>
      <c r="CO32" s="1223"/>
      <c r="CP32" s="1222"/>
    </row>
    <row r="33" spans="2:94" ht="33.75" customHeight="1" x14ac:dyDescent="0.25">
      <c r="B33" s="1533"/>
      <c r="C33" s="1227"/>
      <c r="D33" s="1225"/>
      <c r="E33" s="1225" t="s">
        <v>811</v>
      </c>
      <c r="F33" s="1225" t="s">
        <v>833</v>
      </c>
      <c r="G33" s="1225"/>
      <c r="H33" s="1225" t="s">
        <v>813</v>
      </c>
      <c r="I33" s="1228"/>
      <c r="J33" s="1224"/>
      <c r="K33" s="1224"/>
      <c r="L33" s="1224"/>
      <c r="M33" s="1224"/>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c r="AR33" s="1223"/>
      <c r="AS33" s="1223"/>
      <c r="AT33" s="1223"/>
      <c r="AU33" s="1223"/>
      <c r="AV33" s="1223"/>
      <c r="AW33" s="1223"/>
      <c r="AX33" s="1223"/>
      <c r="AY33" s="1223"/>
      <c r="AZ33" s="1223"/>
      <c r="BA33" s="1223"/>
      <c r="BB33" s="1223"/>
      <c r="BC33" s="1223"/>
      <c r="BD33" s="1223"/>
      <c r="BE33" s="1223"/>
      <c r="BF33" s="1223"/>
      <c r="BG33" s="1223"/>
      <c r="BH33" s="1223"/>
      <c r="BI33" s="1223"/>
      <c r="BJ33" s="1223"/>
      <c r="BK33" s="1223"/>
      <c r="BL33" s="1223"/>
      <c r="BM33" s="1223"/>
      <c r="BN33" s="1223"/>
      <c r="BO33" s="1223"/>
      <c r="BP33" s="1223"/>
      <c r="BQ33" s="1223"/>
      <c r="BR33" s="1223"/>
      <c r="BS33" s="1223"/>
      <c r="BT33" s="1223"/>
      <c r="BU33" s="1223"/>
      <c r="BV33" s="1223"/>
      <c r="BW33" s="1223"/>
      <c r="BX33" s="1223"/>
      <c r="BY33" s="1223"/>
      <c r="BZ33" s="1223"/>
      <c r="CA33" s="1223"/>
      <c r="CB33" s="1223"/>
      <c r="CC33" s="1223"/>
      <c r="CD33" s="1223"/>
      <c r="CE33" s="1223"/>
      <c r="CF33" s="1223"/>
      <c r="CG33" s="1223"/>
      <c r="CH33" s="1223"/>
      <c r="CI33" s="1223"/>
      <c r="CJ33" s="1223"/>
      <c r="CK33" s="1223"/>
      <c r="CL33" s="1223"/>
      <c r="CM33" s="1223"/>
      <c r="CN33" s="1223"/>
      <c r="CO33" s="1223"/>
      <c r="CP33" s="1222"/>
    </row>
    <row r="34" spans="2:94" ht="17.7" customHeight="1" x14ac:dyDescent="0.25">
      <c r="B34" s="1533"/>
      <c r="C34" s="1227"/>
      <c r="D34" s="1225"/>
      <c r="E34" s="1225" t="s">
        <v>811</v>
      </c>
      <c r="F34" s="1225" t="s">
        <v>834</v>
      </c>
      <c r="G34" s="1225"/>
      <c r="H34" s="1225" t="s">
        <v>813</v>
      </c>
      <c r="I34" s="1228"/>
      <c r="J34" s="1224"/>
      <c r="K34" s="1224"/>
      <c r="L34" s="1224"/>
      <c r="M34" s="1224"/>
      <c r="N34" s="1223"/>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c r="AR34" s="1223"/>
      <c r="AS34" s="1223"/>
      <c r="AT34" s="1223"/>
      <c r="AU34" s="1223"/>
      <c r="AV34" s="1223"/>
      <c r="AW34" s="1223"/>
      <c r="AX34" s="1223"/>
      <c r="AY34" s="1223"/>
      <c r="AZ34" s="1223"/>
      <c r="BA34" s="1223"/>
      <c r="BB34" s="1223"/>
      <c r="BC34" s="1223"/>
      <c r="BD34" s="1223"/>
      <c r="BE34" s="1223"/>
      <c r="BF34" s="1223"/>
      <c r="BG34" s="1223"/>
      <c r="BH34" s="1223"/>
      <c r="BI34" s="1223"/>
      <c r="BJ34" s="1223"/>
      <c r="BK34" s="1223"/>
      <c r="BL34" s="1223"/>
      <c r="BM34" s="1223"/>
      <c r="BN34" s="1223"/>
      <c r="BO34" s="1223"/>
      <c r="BP34" s="1223"/>
      <c r="BQ34" s="1223"/>
      <c r="BR34" s="1223"/>
      <c r="BS34" s="1223"/>
      <c r="BT34" s="1223"/>
      <c r="BU34" s="1223"/>
      <c r="BV34" s="1223"/>
      <c r="BW34" s="1223"/>
      <c r="BX34" s="1223"/>
      <c r="BY34" s="1223"/>
      <c r="BZ34" s="1223"/>
      <c r="CA34" s="1223"/>
      <c r="CB34" s="1223"/>
      <c r="CC34" s="1223"/>
      <c r="CD34" s="1223"/>
      <c r="CE34" s="1223"/>
      <c r="CF34" s="1223"/>
      <c r="CG34" s="1223"/>
      <c r="CH34" s="1223"/>
      <c r="CI34" s="1223"/>
      <c r="CJ34" s="1223"/>
      <c r="CK34" s="1223"/>
      <c r="CL34" s="1223"/>
      <c r="CM34" s="1223"/>
      <c r="CN34" s="1223"/>
      <c r="CO34" s="1223"/>
      <c r="CP34" s="1222"/>
    </row>
    <row r="35" spans="2:94" ht="17.7" customHeight="1" x14ac:dyDescent="0.25">
      <c r="B35" s="1533"/>
      <c r="C35" s="1227"/>
      <c r="D35" s="1225"/>
      <c r="E35" s="1225" t="s">
        <v>811</v>
      </c>
      <c r="F35" s="1225" t="s">
        <v>835</v>
      </c>
      <c r="G35" s="1225"/>
      <c r="H35" s="1225" t="s">
        <v>813</v>
      </c>
      <c r="I35" s="1228"/>
      <c r="J35" s="1224"/>
      <c r="K35" s="1224"/>
      <c r="L35" s="1224"/>
      <c r="M35" s="1224"/>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c r="AR35" s="1223"/>
      <c r="AS35" s="1223"/>
      <c r="AT35" s="1223"/>
      <c r="AU35" s="1223"/>
      <c r="AV35" s="1223"/>
      <c r="AW35" s="1223"/>
      <c r="AX35" s="1223"/>
      <c r="AY35" s="1223"/>
      <c r="AZ35" s="1223"/>
      <c r="BA35" s="1223"/>
      <c r="BB35" s="1223"/>
      <c r="BC35" s="1223"/>
      <c r="BD35" s="1223"/>
      <c r="BE35" s="1223"/>
      <c r="BF35" s="1223"/>
      <c r="BG35" s="1223"/>
      <c r="BH35" s="1223"/>
      <c r="BI35" s="1223"/>
      <c r="BJ35" s="1223"/>
      <c r="BK35" s="1223"/>
      <c r="BL35" s="1223"/>
      <c r="BM35" s="1223"/>
      <c r="BN35" s="1223"/>
      <c r="BO35" s="1223"/>
      <c r="BP35" s="1223"/>
      <c r="BQ35" s="1223"/>
      <c r="BR35" s="1223"/>
      <c r="BS35" s="1223"/>
      <c r="BT35" s="1223"/>
      <c r="BU35" s="1223"/>
      <c r="BV35" s="1223"/>
      <c r="BW35" s="1223"/>
      <c r="BX35" s="1223"/>
      <c r="BY35" s="1223"/>
      <c r="BZ35" s="1223"/>
      <c r="CA35" s="1223"/>
      <c r="CB35" s="1223"/>
      <c r="CC35" s="1223"/>
      <c r="CD35" s="1223"/>
      <c r="CE35" s="1223"/>
      <c r="CF35" s="1223"/>
      <c r="CG35" s="1223"/>
      <c r="CH35" s="1223"/>
      <c r="CI35" s="1223"/>
      <c r="CJ35" s="1223"/>
      <c r="CK35" s="1223"/>
      <c r="CL35" s="1223"/>
      <c r="CM35" s="1223"/>
      <c r="CN35" s="1223"/>
      <c r="CO35" s="1223"/>
      <c r="CP35" s="1222"/>
    </row>
    <row r="36" spans="2:94" ht="17.7" customHeight="1" x14ac:dyDescent="0.25">
      <c r="B36" s="1533"/>
      <c r="C36" s="1227"/>
      <c r="D36" s="1225"/>
      <c r="E36" s="1225" t="s">
        <v>811</v>
      </c>
      <c r="F36" s="1225" t="s">
        <v>836</v>
      </c>
      <c r="G36" s="1225"/>
      <c r="H36" s="1225" t="s">
        <v>813</v>
      </c>
      <c r="I36" s="1228"/>
      <c r="J36" s="1224"/>
      <c r="K36" s="1224"/>
      <c r="L36" s="1224"/>
      <c r="M36" s="1224"/>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c r="AR36" s="1223"/>
      <c r="AS36" s="1223"/>
      <c r="AT36" s="1223"/>
      <c r="AU36" s="1223"/>
      <c r="AV36" s="1223"/>
      <c r="AW36" s="1223"/>
      <c r="AX36" s="1223"/>
      <c r="AY36" s="1223"/>
      <c r="AZ36" s="1223"/>
      <c r="BA36" s="1223"/>
      <c r="BB36" s="1223"/>
      <c r="BC36" s="1223"/>
      <c r="BD36" s="1223"/>
      <c r="BE36" s="1223"/>
      <c r="BF36" s="1223"/>
      <c r="BG36" s="1223"/>
      <c r="BH36" s="1223"/>
      <c r="BI36" s="1223"/>
      <c r="BJ36" s="1223"/>
      <c r="BK36" s="1223"/>
      <c r="BL36" s="1223"/>
      <c r="BM36" s="1223"/>
      <c r="BN36" s="1223"/>
      <c r="BO36" s="1223"/>
      <c r="BP36" s="1223"/>
      <c r="BQ36" s="1223"/>
      <c r="BR36" s="1223"/>
      <c r="BS36" s="1223"/>
      <c r="BT36" s="1223"/>
      <c r="BU36" s="1223"/>
      <c r="BV36" s="1223"/>
      <c r="BW36" s="1223"/>
      <c r="BX36" s="1223"/>
      <c r="BY36" s="1223"/>
      <c r="BZ36" s="1223"/>
      <c r="CA36" s="1223"/>
      <c r="CB36" s="1223"/>
      <c r="CC36" s="1223"/>
      <c r="CD36" s="1223"/>
      <c r="CE36" s="1223"/>
      <c r="CF36" s="1223"/>
      <c r="CG36" s="1223"/>
      <c r="CH36" s="1223"/>
      <c r="CI36" s="1223"/>
      <c r="CJ36" s="1223"/>
      <c r="CK36" s="1223"/>
      <c r="CL36" s="1223"/>
      <c r="CM36" s="1223"/>
      <c r="CN36" s="1223"/>
      <c r="CO36" s="1223"/>
      <c r="CP36" s="1222"/>
    </row>
    <row r="37" spans="2:94" ht="17.7" customHeight="1" x14ac:dyDescent="0.25">
      <c r="B37" s="1533"/>
      <c r="C37" s="1227"/>
      <c r="D37" s="1225"/>
      <c r="E37" s="1225" t="s">
        <v>811</v>
      </c>
      <c r="F37" s="1225" t="s">
        <v>837</v>
      </c>
      <c r="G37" s="1225"/>
      <c r="H37" s="1225" t="s">
        <v>813</v>
      </c>
      <c r="I37" s="1228"/>
      <c r="J37" s="1224"/>
      <c r="K37" s="1224"/>
      <c r="L37" s="1224"/>
      <c r="M37" s="1224"/>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c r="AL37" s="1223"/>
      <c r="AM37" s="1223"/>
      <c r="AN37" s="1223"/>
      <c r="AO37" s="1223"/>
      <c r="AP37" s="1223"/>
      <c r="AQ37" s="1223"/>
      <c r="AR37" s="1223"/>
      <c r="AS37" s="1223"/>
      <c r="AT37" s="1223"/>
      <c r="AU37" s="1223"/>
      <c r="AV37" s="1223"/>
      <c r="AW37" s="1223"/>
      <c r="AX37" s="1223"/>
      <c r="AY37" s="1223"/>
      <c r="AZ37" s="1223"/>
      <c r="BA37" s="1223"/>
      <c r="BB37" s="1223"/>
      <c r="BC37" s="1223"/>
      <c r="BD37" s="1223"/>
      <c r="BE37" s="1223"/>
      <c r="BF37" s="1223"/>
      <c r="BG37" s="1223"/>
      <c r="BH37" s="1223"/>
      <c r="BI37" s="1223"/>
      <c r="BJ37" s="1223"/>
      <c r="BK37" s="1223"/>
      <c r="BL37" s="1223"/>
      <c r="BM37" s="1223"/>
      <c r="BN37" s="1223"/>
      <c r="BO37" s="1223"/>
      <c r="BP37" s="1223"/>
      <c r="BQ37" s="1223"/>
      <c r="BR37" s="1223"/>
      <c r="BS37" s="1223"/>
      <c r="BT37" s="1223"/>
      <c r="BU37" s="1223"/>
      <c r="BV37" s="1223"/>
      <c r="BW37" s="1223"/>
      <c r="BX37" s="1223"/>
      <c r="BY37" s="1223"/>
      <c r="BZ37" s="1223"/>
      <c r="CA37" s="1223"/>
      <c r="CB37" s="1223"/>
      <c r="CC37" s="1223"/>
      <c r="CD37" s="1223"/>
      <c r="CE37" s="1223"/>
      <c r="CF37" s="1223"/>
      <c r="CG37" s="1223"/>
      <c r="CH37" s="1223"/>
      <c r="CI37" s="1223"/>
      <c r="CJ37" s="1223"/>
      <c r="CK37" s="1223"/>
      <c r="CL37" s="1223"/>
      <c r="CM37" s="1223"/>
      <c r="CN37" s="1223"/>
      <c r="CO37" s="1223"/>
      <c r="CP37" s="1222"/>
    </row>
    <row r="38" spans="2:94" ht="17.7" customHeight="1" x14ac:dyDescent="0.25">
      <c r="B38" s="1533"/>
      <c r="C38" s="1227"/>
      <c r="D38" s="1225"/>
      <c r="E38" s="1225" t="s">
        <v>811</v>
      </c>
      <c r="F38" s="1225" t="s">
        <v>838</v>
      </c>
      <c r="G38" s="1225"/>
      <c r="H38" s="1225" t="s">
        <v>813</v>
      </c>
      <c r="I38" s="1228"/>
      <c r="J38" s="1224"/>
      <c r="K38" s="1224"/>
      <c r="L38" s="1224"/>
      <c r="M38" s="1224"/>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c r="AL38" s="1223"/>
      <c r="AM38" s="1223"/>
      <c r="AN38" s="1223"/>
      <c r="AO38" s="1223"/>
      <c r="AP38" s="1223"/>
      <c r="AQ38" s="1223"/>
      <c r="AR38" s="1223"/>
      <c r="AS38" s="1223"/>
      <c r="AT38" s="1223"/>
      <c r="AU38" s="1223"/>
      <c r="AV38" s="1223"/>
      <c r="AW38" s="1223"/>
      <c r="AX38" s="1223"/>
      <c r="AY38" s="1223"/>
      <c r="AZ38" s="1223"/>
      <c r="BA38" s="1223"/>
      <c r="BB38" s="1223"/>
      <c r="BC38" s="1223"/>
      <c r="BD38" s="1223"/>
      <c r="BE38" s="1223"/>
      <c r="BF38" s="1223"/>
      <c r="BG38" s="1223"/>
      <c r="BH38" s="1223"/>
      <c r="BI38" s="1223"/>
      <c r="BJ38" s="1223"/>
      <c r="BK38" s="1223"/>
      <c r="BL38" s="1223"/>
      <c r="BM38" s="1223"/>
      <c r="BN38" s="1223"/>
      <c r="BO38" s="1223"/>
      <c r="BP38" s="1223"/>
      <c r="BQ38" s="1223"/>
      <c r="BR38" s="1223"/>
      <c r="BS38" s="1223"/>
      <c r="BT38" s="1223"/>
      <c r="BU38" s="1223"/>
      <c r="BV38" s="1223"/>
      <c r="BW38" s="1223"/>
      <c r="BX38" s="1223"/>
      <c r="BY38" s="1223"/>
      <c r="BZ38" s="1223"/>
      <c r="CA38" s="1223"/>
      <c r="CB38" s="1223"/>
      <c r="CC38" s="1223"/>
      <c r="CD38" s="1223"/>
      <c r="CE38" s="1223"/>
      <c r="CF38" s="1223"/>
      <c r="CG38" s="1223"/>
      <c r="CH38" s="1223"/>
      <c r="CI38" s="1223"/>
      <c r="CJ38" s="1223"/>
      <c r="CK38" s="1223"/>
      <c r="CL38" s="1223"/>
      <c r="CM38" s="1223"/>
      <c r="CN38" s="1223"/>
      <c r="CO38" s="1223"/>
      <c r="CP38" s="1222"/>
    </row>
    <row r="39" spans="2:94" ht="17.7" customHeight="1" x14ac:dyDescent="0.25">
      <c r="B39" s="1533"/>
      <c r="C39" s="1227"/>
      <c r="D39" s="1225"/>
      <c r="E39" s="1225" t="s">
        <v>811</v>
      </c>
      <c r="F39" s="1225" t="s">
        <v>839</v>
      </c>
      <c r="G39" s="1225"/>
      <c r="H39" s="1225" t="s">
        <v>813</v>
      </c>
      <c r="I39" s="1228"/>
      <c r="J39" s="1224"/>
      <c r="K39" s="1224"/>
      <c r="L39" s="1224"/>
      <c r="M39" s="1224"/>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U39" s="1223"/>
      <c r="AV39" s="1223"/>
      <c r="AW39" s="1223"/>
      <c r="AX39" s="1223"/>
      <c r="AY39" s="1223"/>
      <c r="AZ39" s="1223"/>
      <c r="BA39" s="1223"/>
      <c r="BB39" s="1223"/>
      <c r="BC39" s="1223"/>
      <c r="BD39" s="1223"/>
      <c r="BE39" s="1223"/>
      <c r="BF39" s="1223"/>
      <c r="BG39" s="1223"/>
      <c r="BH39" s="1223"/>
      <c r="BI39" s="1223"/>
      <c r="BJ39" s="1223"/>
      <c r="BK39" s="1223"/>
      <c r="BL39" s="1223"/>
      <c r="BM39" s="1223"/>
      <c r="BN39" s="1223"/>
      <c r="BO39" s="1223"/>
      <c r="BP39" s="1223"/>
      <c r="BQ39" s="1223"/>
      <c r="BR39" s="1223"/>
      <c r="BS39" s="1223"/>
      <c r="BT39" s="1223"/>
      <c r="BU39" s="1223"/>
      <c r="BV39" s="1223"/>
      <c r="BW39" s="1223"/>
      <c r="BX39" s="1223"/>
      <c r="BY39" s="1223"/>
      <c r="BZ39" s="1223"/>
      <c r="CA39" s="1223"/>
      <c r="CB39" s="1223"/>
      <c r="CC39" s="1223"/>
      <c r="CD39" s="1223"/>
      <c r="CE39" s="1223"/>
      <c r="CF39" s="1223"/>
      <c r="CG39" s="1223"/>
      <c r="CH39" s="1223"/>
      <c r="CI39" s="1223"/>
      <c r="CJ39" s="1223"/>
      <c r="CK39" s="1223"/>
      <c r="CL39" s="1223"/>
      <c r="CM39" s="1223"/>
      <c r="CN39" s="1223"/>
      <c r="CO39" s="1223"/>
      <c r="CP39" s="1222"/>
    </row>
    <row r="40" spans="2:94" ht="17.7" customHeight="1" x14ac:dyDescent="0.25">
      <c r="B40" s="1533"/>
      <c r="C40" s="1227"/>
      <c r="D40" s="1225"/>
      <c r="E40" s="1225" t="s">
        <v>811</v>
      </c>
      <c r="F40" s="1225" t="s">
        <v>840</v>
      </c>
      <c r="G40" s="1225"/>
      <c r="H40" s="1225" t="s">
        <v>813</v>
      </c>
      <c r="I40" s="1228"/>
      <c r="J40" s="1224"/>
      <c r="K40" s="1224"/>
      <c r="L40" s="1224"/>
      <c r="M40" s="1224"/>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223"/>
      <c r="AV40" s="1223"/>
      <c r="AW40" s="1223"/>
      <c r="AX40" s="1223"/>
      <c r="AY40" s="1223"/>
      <c r="AZ40" s="1223"/>
      <c r="BA40" s="1223"/>
      <c r="BB40" s="1223"/>
      <c r="BC40" s="1223"/>
      <c r="BD40" s="1223"/>
      <c r="BE40" s="1223"/>
      <c r="BF40" s="1223"/>
      <c r="BG40" s="1223"/>
      <c r="BH40" s="1223"/>
      <c r="BI40" s="1223"/>
      <c r="BJ40" s="1223"/>
      <c r="BK40" s="1223"/>
      <c r="BL40" s="1223"/>
      <c r="BM40" s="1223"/>
      <c r="BN40" s="1223"/>
      <c r="BO40" s="1223"/>
      <c r="BP40" s="1223"/>
      <c r="BQ40" s="1223"/>
      <c r="BR40" s="1223"/>
      <c r="BS40" s="1223"/>
      <c r="BT40" s="1223"/>
      <c r="BU40" s="1223"/>
      <c r="BV40" s="1223"/>
      <c r="BW40" s="1223"/>
      <c r="BX40" s="1223"/>
      <c r="BY40" s="1223"/>
      <c r="BZ40" s="1223"/>
      <c r="CA40" s="1223"/>
      <c r="CB40" s="1223"/>
      <c r="CC40" s="1223"/>
      <c r="CD40" s="1223"/>
      <c r="CE40" s="1223"/>
      <c r="CF40" s="1223"/>
      <c r="CG40" s="1223"/>
      <c r="CH40" s="1223"/>
      <c r="CI40" s="1223"/>
      <c r="CJ40" s="1223"/>
      <c r="CK40" s="1223"/>
      <c r="CL40" s="1223"/>
      <c r="CM40" s="1223"/>
      <c r="CN40" s="1223"/>
      <c r="CO40" s="1223"/>
      <c r="CP40" s="1222"/>
    </row>
    <row r="41" spans="2:94" ht="17.7" customHeight="1" x14ac:dyDescent="0.25">
      <c r="B41" s="1533"/>
      <c r="C41" s="1227"/>
      <c r="D41" s="1225"/>
      <c r="E41" s="1225" t="s">
        <v>811</v>
      </c>
      <c r="F41" s="1225" t="s">
        <v>841</v>
      </c>
      <c r="G41" s="1225"/>
      <c r="H41" s="1225" t="s">
        <v>813</v>
      </c>
      <c r="I41" s="1228"/>
      <c r="J41" s="1224"/>
      <c r="K41" s="1224"/>
      <c r="L41" s="1224"/>
      <c r="M41" s="1224"/>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223"/>
      <c r="AV41" s="1223"/>
      <c r="AW41" s="1223"/>
      <c r="AX41" s="1223"/>
      <c r="AY41" s="1223"/>
      <c r="AZ41" s="1223"/>
      <c r="BA41" s="1223"/>
      <c r="BB41" s="1223"/>
      <c r="BC41" s="1223"/>
      <c r="BD41" s="1223"/>
      <c r="BE41" s="1223"/>
      <c r="BF41" s="1223"/>
      <c r="BG41" s="1223"/>
      <c r="BH41" s="1223"/>
      <c r="BI41" s="1223"/>
      <c r="BJ41" s="1223"/>
      <c r="BK41" s="1223"/>
      <c r="BL41" s="1223"/>
      <c r="BM41" s="1223"/>
      <c r="BN41" s="1223"/>
      <c r="BO41" s="1223"/>
      <c r="BP41" s="1223"/>
      <c r="BQ41" s="1223"/>
      <c r="BR41" s="1223"/>
      <c r="BS41" s="1223"/>
      <c r="BT41" s="1223"/>
      <c r="BU41" s="1223"/>
      <c r="BV41" s="1223"/>
      <c r="BW41" s="1223"/>
      <c r="BX41" s="1223"/>
      <c r="BY41" s="1223"/>
      <c r="BZ41" s="1223"/>
      <c r="CA41" s="1223"/>
      <c r="CB41" s="1223"/>
      <c r="CC41" s="1223"/>
      <c r="CD41" s="1223"/>
      <c r="CE41" s="1223"/>
      <c r="CF41" s="1223"/>
      <c r="CG41" s="1223"/>
      <c r="CH41" s="1223"/>
      <c r="CI41" s="1223"/>
      <c r="CJ41" s="1223"/>
      <c r="CK41" s="1223"/>
      <c r="CL41" s="1223"/>
      <c r="CM41" s="1223"/>
      <c r="CN41" s="1223"/>
      <c r="CO41" s="1223"/>
      <c r="CP41" s="1222"/>
    </row>
    <row r="42" spans="2:94" ht="17.7" customHeight="1" x14ac:dyDescent="0.25">
      <c r="B42" s="1533"/>
      <c r="C42" s="1227"/>
      <c r="D42" s="1225"/>
      <c r="E42" s="1225" t="s">
        <v>811</v>
      </c>
      <c r="F42" s="1225" t="s">
        <v>842</v>
      </c>
      <c r="G42" s="1225"/>
      <c r="H42" s="1225" t="s">
        <v>813</v>
      </c>
      <c r="I42" s="1228"/>
      <c r="J42" s="1224"/>
      <c r="K42" s="1224"/>
      <c r="L42" s="1224"/>
      <c r="M42" s="1224"/>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U42" s="1223"/>
      <c r="AV42" s="1223"/>
      <c r="AW42" s="1223"/>
      <c r="AX42" s="1223"/>
      <c r="AY42" s="1223"/>
      <c r="AZ42" s="1223"/>
      <c r="BA42" s="1223"/>
      <c r="BB42" s="1223"/>
      <c r="BC42" s="1223"/>
      <c r="BD42" s="1223"/>
      <c r="BE42" s="1223"/>
      <c r="BF42" s="1223"/>
      <c r="BG42" s="1223"/>
      <c r="BH42" s="1223"/>
      <c r="BI42" s="1223"/>
      <c r="BJ42" s="1223"/>
      <c r="BK42" s="1223"/>
      <c r="BL42" s="1223"/>
      <c r="BM42" s="1223"/>
      <c r="BN42" s="1223"/>
      <c r="BO42" s="1223"/>
      <c r="BP42" s="1223"/>
      <c r="BQ42" s="1223"/>
      <c r="BR42" s="1223"/>
      <c r="BS42" s="1223"/>
      <c r="BT42" s="1223"/>
      <c r="BU42" s="1223"/>
      <c r="BV42" s="1223"/>
      <c r="BW42" s="1223"/>
      <c r="BX42" s="1223"/>
      <c r="BY42" s="1223"/>
      <c r="BZ42" s="1223"/>
      <c r="CA42" s="1223"/>
      <c r="CB42" s="1223"/>
      <c r="CC42" s="1223"/>
      <c r="CD42" s="1223"/>
      <c r="CE42" s="1223"/>
      <c r="CF42" s="1223"/>
      <c r="CG42" s="1223"/>
      <c r="CH42" s="1223"/>
      <c r="CI42" s="1223"/>
      <c r="CJ42" s="1223"/>
      <c r="CK42" s="1223"/>
      <c r="CL42" s="1223"/>
      <c r="CM42" s="1223"/>
      <c r="CN42" s="1223"/>
      <c r="CO42" s="1223"/>
      <c r="CP42" s="1222"/>
    </row>
    <row r="43" spans="2:94" ht="17.7" customHeight="1" x14ac:dyDescent="0.25">
      <c r="B43" s="1533"/>
      <c r="C43" s="1227"/>
      <c r="D43" s="1225"/>
      <c r="E43" s="1225" t="s">
        <v>811</v>
      </c>
      <c r="F43" s="1225" t="s">
        <v>843</v>
      </c>
      <c r="G43" s="1225"/>
      <c r="H43" s="1225" t="s">
        <v>813</v>
      </c>
      <c r="I43" s="1228"/>
      <c r="J43" s="1224"/>
      <c r="K43" s="1224"/>
      <c r="L43" s="1224"/>
      <c r="M43" s="1224"/>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223"/>
      <c r="AV43" s="1223"/>
      <c r="AW43" s="1223"/>
      <c r="AX43" s="1223"/>
      <c r="AY43" s="1223"/>
      <c r="AZ43" s="1223"/>
      <c r="BA43" s="1223"/>
      <c r="BB43" s="1223"/>
      <c r="BC43" s="1223"/>
      <c r="BD43" s="1223"/>
      <c r="BE43" s="1223"/>
      <c r="BF43" s="1223"/>
      <c r="BG43" s="1223"/>
      <c r="BH43" s="1223"/>
      <c r="BI43" s="1223"/>
      <c r="BJ43" s="1223"/>
      <c r="BK43" s="1223"/>
      <c r="BL43" s="1223"/>
      <c r="BM43" s="1223"/>
      <c r="BN43" s="1223"/>
      <c r="BO43" s="1223"/>
      <c r="BP43" s="1223"/>
      <c r="BQ43" s="1223"/>
      <c r="BR43" s="1223"/>
      <c r="BS43" s="1223"/>
      <c r="BT43" s="1223"/>
      <c r="BU43" s="1223"/>
      <c r="BV43" s="1223"/>
      <c r="BW43" s="1223"/>
      <c r="BX43" s="1223"/>
      <c r="BY43" s="1223"/>
      <c r="BZ43" s="1223"/>
      <c r="CA43" s="1223"/>
      <c r="CB43" s="1223"/>
      <c r="CC43" s="1223"/>
      <c r="CD43" s="1223"/>
      <c r="CE43" s="1223"/>
      <c r="CF43" s="1223"/>
      <c r="CG43" s="1223"/>
      <c r="CH43" s="1223"/>
      <c r="CI43" s="1223"/>
      <c r="CJ43" s="1223"/>
      <c r="CK43" s="1223"/>
      <c r="CL43" s="1223"/>
      <c r="CM43" s="1223"/>
      <c r="CN43" s="1223"/>
      <c r="CO43" s="1223"/>
      <c r="CP43" s="1222"/>
    </row>
    <row r="44" spans="2:94" ht="17.7" customHeight="1" x14ac:dyDescent="0.25">
      <c r="B44" s="1533"/>
      <c r="C44" s="1227"/>
      <c r="D44" s="1225"/>
      <c r="E44" s="1225" t="s">
        <v>811</v>
      </c>
      <c r="F44" s="1225" t="s">
        <v>844</v>
      </c>
      <c r="G44" s="1225"/>
      <c r="H44" s="1225" t="s">
        <v>813</v>
      </c>
      <c r="I44" s="1228"/>
      <c r="J44" s="1224"/>
      <c r="K44" s="1224"/>
      <c r="L44" s="1224"/>
      <c r="M44" s="1224"/>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223"/>
      <c r="AV44" s="1223"/>
      <c r="AW44" s="1223"/>
      <c r="AX44" s="1223"/>
      <c r="AY44" s="1223"/>
      <c r="AZ44" s="1223"/>
      <c r="BA44" s="1223"/>
      <c r="BB44" s="1223"/>
      <c r="BC44" s="1223"/>
      <c r="BD44" s="1223"/>
      <c r="BE44" s="1223"/>
      <c r="BF44" s="1223"/>
      <c r="BG44" s="1223"/>
      <c r="BH44" s="1223"/>
      <c r="BI44" s="1223"/>
      <c r="BJ44" s="1223"/>
      <c r="BK44" s="1223"/>
      <c r="BL44" s="1223"/>
      <c r="BM44" s="1223"/>
      <c r="BN44" s="1223"/>
      <c r="BO44" s="1223"/>
      <c r="BP44" s="1223"/>
      <c r="BQ44" s="1223"/>
      <c r="BR44" s="1223"/>
      <c r="BS44" s="1223"/>
      <c r="BT44" s="1223"/>
      <c r="BU44" s="1223"/>
      <c r="BV44" s="1223"/>
      <c r="BW44" s="1223"/>
      <c r="BX44" s="1223"/>
      <c r="BY44" s="1223"/>
      <c r="BZ44" s="1223"/>
      <c r="CA44" s="1223"/>
      <c r="CB44" s="1223"/>
      <c r="CC44" s="1223"/>
      <c r="CD44" s="1223"/>
      <c r="CE44" s="1223"/>
      <c r="CF44" s="1223"/>
      <c r="CG44" s="1223"/>
      <c r="CH44" s="1223"/>
      <c r="CI44" s="1223"/>
      <c r="CJ44" s="1223"/>
      <c r="CK44" s="1223"/>
      <c r="CL44" s="1223"/>
      <c r="CM44" s="1223"/>
      <c r="CN44" s="1223"/>
      <c r="CO44" s="1223"/>
      <c r="CP44" s="1222"/>
    </row>
    <row r="45" spans="2:94" ht="17.7" customHeight="1" x14ac:dyDescent="0.25">
      <c r="B45" s="1533"/>
      <c r="C45" s="1227"/>
      <c r="D45" s="1225"/>
      <c r="E45" s="1225" t="s">
        <v>811</v>
      </c>
      <c r="F45" s="1225" t="s">
        <v>845</v>
      </c>
      <c r="G45" s="1225"/>
      <c r="H45" s="1225" t="s">
        <v>813</v>
      </c>
      <c r="I45" s="1228"/>
      <c r="J45" s="1224"/>
      <c r="K45" s="1224"/>
      <c r="L45" s="1224"/>
      <c r="M45" s="1224"/>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c r="AM45" s="1223"/>
      <c r="AN45" s="1223"/>
      <c r="AO45" s="1223"/>
      <c r="AP45" s="1223"/>
      <c r="AQ45" s="1223"/>
      <c r="AR45" s="1223"/>
      <c r="AS45" s="1223"/>
      <c r="AT45" s="1223"/>
      <c r="AU45" s="1223"/>
      <c r="AV45" s="1223"/>
      <c r="AW45" s="1223"/>
      <c r="AX45" s="1223"/>
      <c r="AY45" s="1223"/>
      <c r="AZ45" s="1223"/>
      <c r="BA45" s="1223"/>
      <c r="BB45" s="1223"/>
      <c r="BC45" s="1223"/>
      <c r="BD45" s="1223"/>
      <c r="BE45" s="1223"/>
      <c r="BF45" s="1223"/>
      <c r="BG45" s="1223"/>
      <c r="BH45" s="1223"/>
      <c r="BI45" s="1223"/>
      <c r="BJ45" s="1223"/>
      <c r="BK45" s="1223"/>
      <c r="BL45" s="1223"/>
      <c r="BM45" s="1223"/>
      <c r="BN45" s="1223"/>
      <c r="BO45" s="1223"/>
      <c r="BP45" s="1223"/>
      <c r="BQ45" s="1223"/>
      <c r="BR45" s="1223"/>
      <c r="BS45" s="1223"/>
      <c r="BT45" s="1223"/>
      <c r="BU45" s="1223"/>
      <c r="BV45" s="1223"/>
      <c r="BW45" s="1223"/>
      <c r="BX45" s="1223"/>
      <c r="BY45" s="1223"/>
      <c r="BZ45" s="1223"/>
      <c r="CA45" s="1223"/>
      <c r="CB45" s="1223"/>
      <c r="CC45" s="1223"/>
      <c r="CD45" s="1223"/>
      <c r="CE45" s="1223"/>
      <c r="CF45" s="1223"/>
      <c r="CG45" s="1223"/>
      <c r="CH45" s="1223"/>
      <c r="CI45" s="1223"/>
      <c r="CJ45" s="1223"/>
      <c r="CK45" s="1223"/>
      <c r="CL45" s="1223"/>
      <c r="CM45" s="1223"/>
      <c r="CN45" s="1223"/>
      <c r="CO45" s="1223"/>
      <c r="CP45" s="1222"/>
    </row>
    <row r="46" spans="2:94" ht="17.7" customHeight="1" x14ac:dyDescent="0.25">
      <c r="B46" s="1533"/>
      <c r="C46" s="1227"/>
      <c r="D46" s="1225"/>
      <c r="E46" s="1225" t="s">
        <v>811</v>
      </c>
      <c r="F46" s="1225" t="s">
        <v>846</v>
      </c>
      <c r="G46" s="1225"/>
      <c r="H46" s="1225" t="s">
        <v>813</v>
      </c>
      <c r="I46" s="1228"/>
      <c r="J46" s="1224"/>
      <c r="K46" s="1224"/>
      <c r="L46" s="1224"/>
      <c r="M46" s="1224"/>
      <c r="N46" s="1223"/>
      <c r="O46" s="1223"/>
      <c r="P46" s="1223"/>
      <c r="Q46" s="1223"/>
      <c r="R46" s="1223"/>
      <c r="S46" s="1223"/>
      <c r="T46" s="1223"/>
      <c r="U46" s="1223"/>
      <c r="V46" s="1223"/>
      <c r="W46" s="1223"/>
      <c r="X46" s="1223"/>
      <c r="Y46" s="1223"/>
      <c r="Z46" s="1223"/>
      <c r="AA46" s="1223"/>
      <c r="AB46" s="1223"/>
      <c r="AC46" s="1223"/>
      <c r="AD46" s="1223"/>
      <c r="AE46" s="1223"/>
      <c r="AF46" s="1223"/>
      <c r="AG46" s="1223"/>
      <c r="AH46" s="1223"/>
      <c r="AI46" s="1223"/>
      <c r="AJ46" s="1223"/>
      <c r="AK46" s="1223"/>
      <c r="AL46" s="1223"/>
      <c r="AM46" s="1223"/>
      <c r="AN46" s="1223"/>
      <c r="AO46" s="1223"/>
      <c r="AP46" s="1223"/>
      <c r="AQ46" s="1223"/>
      <c r="AR46" s="1223"/>
      <c r="AS46" s="1223"/>
      <c r="AT46" s="1223"/>
      <c r="AU46" s="1223"/>
      <c r="AV46" s="1223"/>
      <c r="AW46" s="1223"/>
      <c r="AX46" s="1223"/>
      <c r="AY46" s="1223"/>
      <c r="AZ46" s="1223"/>
      <c r="BA46" s="1223"/>
      <c r="BB46" s="1223"/>
      <c r="BC46" s="1223"/>
      <c r="BD46" s="1223"/>
      <c r="BE46" s="1223"/>
      <c r="BF46" s="1223"/>
      <c r="BG46" s="1223"/>
      <c r="BH46" s="1223"/>
      <c r="BI46" s="1223"/>
      <c r="BJ46" s="1223"/>
      <c r="BK46" s="1223"/>
      <c r="BL46" s="1223"/>
      <c r="BM46" s="1223"/>
      <c r="BN46" s="1223"/>
      <c r="BO46" s="1223"/>
      <c r="BP46" s="1223"/>
      <c r="BQ46" s="1223"/>
      <c r="BR46" s="1223"/>
      <c r="BS46" s="1223"/>
      <c r="BT46" s="1223"/>
      <c r="BU46" s="1223"/>
      <c r="BV46" s="1223"/>
      <c r="BW46" s="1223"/>
      <c r="BX46" s="1223"/>
      <c r="BY46" s="1223"/>
      <c r="BZ46" s="1223"/>
      <c r="CA46" s="1223"/>
      <c r="CB46" s="1223"/>
      <c r="CC46" s="1223"/>
      <c r="CD46" s="1223"/>
      <c r="CE46" s="1223"/>
      <c r="CF46" s="1223"/>
      <c r="CG46" s="1223"/>
      <c r="CH46" s="1223"/>
      <c r="CI46" s="1223"/>
      <c r="CJ46" s="1223"/>
      <c r="CK46" s="1223"/>
      <c r="CL46" s="1223"/>
      <c r="CM46" s="1223"/>
      <c r="CN46" s="1223"/>
      <c r="CO46" s="1223"/>
      <c r="CP46" s="1222"/>
    </row>
    <row r="47" spans="2:94" ht="17.7" customHeight="1" x14ac:dyDescent="0.25">
      <c r="B47" s="1533"/>
      <c r="C47" s="1227"/>
      <c r="D47" s="1225"/>
      <c r="E47" s="1225" t="s">
        <v>811</v>
      </c>
      <c r="F47" s="1225" t="s">
        <v>847</v>
      </c>
      <c r="G47" s="1225"/>
      <c r="H47" s="1225" t="s">
        <v>813</v>
      </c>
      <c r="I47" s="1224"/>
      <c r="J47" s="1224"/>
      <c r="K47" s="1224"/>
      <c r="L47" s="1224"/>
      <c r="M47" s="1224"/>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c r="AM47" s="1223"/>
      <c r="AN47" s="1223"/>
      <c r="AO47" s="1223"/>
      <c r="AP47" s="1223"/>
      <c r="AQ47" s="1223"/>
      <c r="AR47" s="1223"/>
      <c r="AS47" s="1223"/>
      <c r="AT47" s="1223"/>
      <c r="AU47" s="1223"/>
      <c r="AV47" s="1223"/>
      <c r="AW47" s="1223"/>
      <c r="AX47" s="1223"/>
      <c r="AY47" s="1223"/>
      <c r="AZ47" s="1223"/>
      <c r="BA47" s="1223"/>
      <c r="BB47" s="1223"/>
      <c r="BC47" s="1223"/>
      <c r="BD47" s="1223"/>
      <c r="BE47" s="1223"/>
      <c r="BF47" s="1223"/>
      <c r="BG47" s="1223"/>
      <c r="BH47" s="1223"/>
      <c r="BI47" s="1223"/>
      <c r="BJ47" s="1223"/>
      <c r="BK47" s="1223"/>
      <c r="BL47" s="1223"/>
      <c r="BM47" s="1223"/>
      <c r="BN47" s="1223"/>
      <c r="BO47" s="1223"/>
      <c r="BP47" s="1223"/>
      <c r="BQ47" s="1223"/>
      <c r="BR47" s="1223"/>
      <c r="BS47" s="1223"/>
      <c r="BT47" s="1223"/>
      <c r="BU47" s="1223"/>
      <c r="BV47" s="1223"/>
      <c r="BW47" s="1223"/>
      <c r="BX47" s="1223"/>
      <c r="BY47" s="1223"/>
      <c r="BZ47" s="1223"/>
      <c r="CA47" s="1223"/>
      <c r="CB47" s="1223"/>
      <c r="CC47" s="1223"/>
      <c r="CD47" s="1223"/>
      <c r="CE47" s="1223"/>
      <c r="CF47" s="1223"/>
      <c r="CG47" s="1223"/>
      <c r="CH47" s="1223"/>
      <c r="CI47" s="1223"/>
      <c r="CJ47" s="1223"/>
      <c r="CK47" s="1223"/>
      <c r="CL47" s="1223"/>
      <c r="CM47" s="1223"/>
      <c r="CN47" s="1223"/>
      <c r="CO47" s="1223"/>
      <c r="CP47" s="1222"/>
    </row>
    <row r="48" spans="2:94" ht="17.7" customHeight="1" x14ac:dyDescent="0.25">
      <c r="B48" s="1533"/>
      <c r="C48" s="1227"/>
      <c r="D48" s="1225"/>
      <c r="E48" s="1225" t="s">
        <v>811</v>
      </c>
      <c r="F48" s="1225" t="s">
        <v>848</v>
      </c>
      <c r="G48" s="1225"/>
      <c r="H48" s="1225" t="s">
        <v>813</v>
      </c>
      <c r="I48" s="1224"/>
      <c r="J48" s="1224"/>
      <c r="K48" s="1224"/>
      <c r="L48" s="1224"/>
      <c r="M48" s="1224"/>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c r="AL48" s="1223"/>
      <c r="AM48" s="1223"/>
      <c r="AN48" s="1223"/>
      <c r="AO48" s="1223"/>
      <c r="AP48" s="1223"/>
      <c r="AQ48" s="1223"/>
      <c r="AR48" s="1223"/>
      <c r="AS48" s="1223"/>
      <c r="AT48" s="1223"/>
      <c r="AU48" s="1223"/>
      <c r="AV48" s="1223"/>
      <c r="AW48" s="1223"/>
      <c r="AX48" s="1223"/>
      <c r="AY48" s="1223"/>
      <c r="AZ48" s="1223"/>
      <c r="BA48" s="1223"/>
      <c r="BB48" s="1223"/>
      <c r="BC48" s="1223"/>
      <c r="BD48" s="1223"/>
      <c r="BE48" s="1223"/>
      <c r="BF48" s="1223"/>
      <c r="BG48" s="1223"/>
      <c r="BH48" s="1223"/>
      <c r="BI48" s="1223"/>
      <c r="BJ48" s="1223"/>
      <c r="BK48" s="1223"/>
      <c r="BL48" s="1223"/>
      <c r="BM48" s="1223"/>
      <c r="BN48" s="1223"/>
      <c r="BO48" s="1223"/>
      <c r="BP48" s="1223"/>
      <c r="BQ48" s="1223"/>
      <c r="BR48" s="1223"/>
      <c r="BS48" s="1223"/>
      <c r="BT48" s="1223"/>
      <c r="BU48" s="1223"/>
      <c r="BV48" s="1223"/>
      <c r="BW48" s="1223"/>
      <c r="BX48" s="1223"/>
      <c r="BY48" s="1223"/>
      <c r="BZ48" s="1223"/>
      <c r="CA48" s="1223"/>
      <c r="CB48" s="1223"/>
      <c r="CC48" s="1223"/>
      <c r="CD48" s="1223"/>
      <c r="CE48" s="1223"/>
      <c r="CF48" s="1223"/>
      <c r="CG48" s="1223"/>
      <c r="CH48" s="1223"/>
      <c r="CI48" s="1223"/>
      <c r="CJ48" s="1223"/>
      <c r="CK48" s="1223"/>
      <c r="CL48" s="1223"/>
      <c r="CM48" s="1223"/>
      <c r="CN48" s="1223"/>
      <c r="CO48" s="1223"/>
      <c r="CP48" s="1222"/>
    </row>
    <row r="49" spans="2:94" ht="17.7" customHeight="1" x14ac:dyDescent="0.25">
      <c r="B49" s="1533"/>
      <c r="C49" s="1227"/>
      <c r="D49" s="1225"/>
      <c r="E49" s="1225" t="s">
        <v>811</v>
      </c>
      <c r="F49" s="1225" t="s">
        <v>849</v>
      </c>
      <c r="G49" s="1225"/>
      <c r="H49" s="1225" t="s">
        <v>813</v>
      </c>
      <c r="I49" s="1224"/>
      <c r="J49" s="1224"/>
      <c r="K49" s="1224"/>
      <c r="L49" s="1224"/>
      <c r="M49" s="1224"/>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c r="AL49" s="1223"/>
      <c r="AM49" s="1223"/>
      <c r="AN49" s="1223"/>
      <c r="AO49" s="1223"/>
      <c r="AP49" s="1223"/>
      <c r="AQ49" s="1223"/>
      <c r="AR49" s="1223"/>
      <c r="AS49" s="1223"/>
      <c r="AT49" s="1223"/>
      <c r="AU49" s="1223"/>
      <c r="AV49" s="1223"/>
      <c r="AW49" s="1223"/>
      <c r="AX49" s="1223"/>
      <c r="AY49" s="1223"/>
      <c r="AZ49" s="1223"/>
      <c r="BA49" s="1223"/>
      <c r="BB49" s="1223"/>
      <c r="BC49" s="1223"/>
      <c r="BD49" s="1223"/>
      <c r="BE49" s="1223"/>
      <c r="BF49" s="1223"/>
      <c r="BG49" s="1223"/>
      <c r="BH49" s="1223"/>
      <c r="BI49" s="1223"/>
      <c r="BJ49" s="1223"/>
      <c r="BK49" s="1223"/>
      <c r="BL49" s="1223"/>
      <c r="BM49" s="1223"/>
      <c r="BN49" s="1223"/>
      <c r="BO49" s="1223"/>
      <c r="BP49" s="1223"/>
      <c r="BQ49" s="1223"/>
      <c r="BR49" s="1223"/>
      <c r="BS49" s="1223"/>
      <c r="BT49" s="1223"/>
      <c r="BU49" s="1223"/>
      <c r="BV49" s="1223"/>
      <c r="BW49" s="1223"/>
      <c r="BX49" s="1223"/>
      <c r="BY49" s="1223"/>
      <c r="BZ49" s="1223"/>
      <c r="CA49" s="1223"/>
      <c r="CB49" s="1223"/>
      <c r="CC49" s="1223"/>
      <c r="CD49" s="1223"/>
      <c r="CE49" s="1223"/>
      <c r="CF49" s="1223"/>
      <c r="CG49" s="1223"/>
      <c r="CH49" s="1223"/>
      <c r="CI49" s="1223"/>
      <c r="CJ49" s="1223"/>
      <c r="CK49" s="1223"/>
      <c r="CL49" s="1223"/>
      <c r="CM49" s="1223"/>
      <c r="CN49" s="1223"/>
      <c r="CO49" s="1223"/>
      <c r="CP49" s="1222"/>
    </row>
    <row r="50" spans="2:94" ht="17.7" customHeight="1" x14ac:dyDescent="0.25">
      <c r="B50" s="1533"/>
      <c r="C50" s="1227"/>
      <c r="D50" s="1225"/>
      <c r="E50" s="1225" t="s">
        <v>811</v>
      </c>
      <c r="F50" s="1225" t="s">
        <v>850</v>
      </c>
      <c r="G50" s="1225"/>
      <c r="H50" s="1225" t="s">
        <v>813</v>
      </c>
      <c r="I50" s="1224"/>
      <c r="J50" s="1224"/>
      <c r="K50" s="1224"/>
      <c r="L50" s="1224"/>
      <c r="M50" s="1224"/>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c r="AL50" s="1223"/>
      <c r="AM50" s="1223"/>
      <c r="AN50" s="1223"/>
      <c r="AO50" s="1223"/>
      <c r="AP50" s="1223"/>
      <c r="AQ50" s="1223"/>
      <c r="AR50" s="1223"/>
      <c r="AS50" s="1223"/>
      <c r="AT50" s="1223"/>
      <c r="AU50" s="1223"/>
      <c r="AV50" s="1223"/>
      <c r="AW50" s="1223"/>
      <c r="AX50" s="1223"/>
      <c r="AY50" s="1223"/>
      <c r="AZ50" s="1223"/>
      <c r="BA50" s="1223"/>
      <c r="BB50" s="1223"/>
      <c r="BC50" s="1223"/>
      <c r="BD50" s="1223"/>
      <c r="BE50" s="1223"/>
      <c r="BF50" s="1223"/>
      <c r="BG50" s="1223"/>
      <c r="BH50" s="1223"/>
      <c r="BI50" s="1223"/>
      <c r="BJ50" s="1223"/>
      <c r="BK50" s="1223"/>
      <c r="BL50" s="1223"/>
      <c r="BM50" s="1223"/>
      <c r="BN50" s="1223"/>
      <c r="BO50" s="1223"/>
      <c r="BP50" s="1223"/>
      <c r="BQ50" s="1223"/>
      <c r="BR50" s="1223"/>
      <c r="BS50" s="1223"/>
      <c r="BT50" s="1223"/>
      <c r="BU50" s="1223"/>
      <c r="BV50" s="1223"/>
      <c r="BW50" s="1223"/>
      <c r="BX50" s="1223"/>
      <c r="BY50" s="1223"/>
      <c r="BZ50" s="1223"/>
      <c r="CA50" s="1223"/>
      <c r="CB50" s="1223"/>
      <c r="CC50" s="1223"/>
      <c r="CD50" s="1223"/>
      <c r="CE50" s="1223"/>
      <c r="CF50" s="1223"/>
      <c r="CG50" s="1223"/>
      <c r="CH50" s="1223"/>
      <c r="CI50" s="1223"/>
      <c r="CJ50" s="1223"/>
      <c r="CK50" s="1223"/>
      <c r="CL50" s="1223"/>
      <c r="CM50" s="1223"/>
      <c r="CN50" s="1223"/>
      <c r="CO50" s="1223"/>
      <c r="CP50" s="1222"/>
    </row>
    <row r="51" spans="2:94" ht="17.7" customHeight="1" x14ac:dyDescent="0.25">
      <c r="B51" s="1533"/>
      <c r="C51" s="1227"/>
      <c r="D51" s="1225"/>
      <c r="E51" s="1225" t="s">
        <v>811</v>
      </c>
      <c r="F51" s="1225" t="s">
        <v>851</v>
      </c>
      <c r="G51" s="1225"/>
      <c r="H51" s="1225" t="s">
        <v>813</v>
      </c>
      <c r="I51" s="1224"/>
      <c r="J51" s="1224"/>
      <c r="K51" s="1224"/>
      <c r="L51" s="1224"/>
      <c r="M51" s="1224"/>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223"/>
      <c r="AV51" s="1223"/>
      <c r="AW51" s="1223"/>
      <c r="AX51" s="1223"/>
      <c r="AY51" s="1223"/>
      <c r="AZ51" s="1223"/>
      <c r="BA51" s="1223"/>
      <c r="BB51" s="1223"/>
      <c r="BC51" s="1223"/>
      <c r="BD51" s="1223"/>
      <c r="BE51" s="1223"/>
      <c r="BF51" s="1223"/>
      <c r="BG51" s="1223"/>
      <c r="BH51" s="1223"/>
      <c r="BI51" s="1223"/>
      <c r="BJ51" s="1223"/>
      <c r="BK51" s="1223"/>
      <c r="BL51" s="1223"/>
      <c r="BM51" s="1223"/>
      <c r="BN51" s="1223"/>
      <c r="BO51" s="1223"/>
      <c r="BP51" s="1223"/>
      <c r="BQ51" s="1223"/>
      <c r="BR51" s="1223"/>
      <c r="BS51" s="1223"/>
      <c r="BT51" s="1223"/>
      <c r="BU51" s="1223"/>
      <c r="BV51" s="1223"/>
      <c r="BW51" s="1223"/>
      <c r="BX51" s="1223"/>
      <c r="BY51" s="1223"/>
      <c r="BZ51" s="1223"/>
      <c r="CA51" s="1223"/>
      <c r="CB51" s="1223"/>
      <c r="CC51" s="1223"/>
      <c r="CD51" s="1223"/>
      <c r="CE51" s="1223"/>
      <c r="CF51" s="1223"/>
      <c r="CG51" s="1223"/>
      <c r="CH51" s="1223"/>
      <c r="CI51" s="1223"/>
      <c r="CJ51" s="1223"/>
      <c r="CK51" s="1223"/>
      <c r="CL51" s="1223"/>
      <c r="CM51" s="1223"/>
      <c r="CN51" s="1223"/>
      <c r="CO51" s="1223"/>
      <c r="CP51" s="1222"/>
    </row>
    <row r="52" spans="2:94" ht="17.7" customHeight="1" x14ac:dyDescent="0.25">
      <c r="B52" s="1533"/>
      <c r="C52" s="1227"/>
      <c r="D52" s="1225"/>
      <c r="E52" s="1225" t="s">
        <v>811</v>
      </c>
      <c r="F52" s="1225" t="s">
        <v>852</v>
      </c>
      <c r="G52" s="1225"/>
      <c r="H52" s="1225" t="s">
        <v>813</v>
      </c>
      <c r="I52" s="1224"/>
      <c r="J52" s="1224"/>
      <c r="K52" s="1224"/>
      <c r="L52" s="1224"/>
      <c r="M52" s="1224"/>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223"/>
      <c r="AV52" s="1223"/>
      <c r="AW52" s="1223"/>
      <c r="AX52" s="1223"/>
      <c r="AY52" s="1223"/>
      <c r="AZ52" s="1223"/>
      <c r="BA52" s="1223"/>
      <c r="BB52" s="1223"/>
      <c r="BC52" s="1223"/>
      <c r="BD52" s="1223"/>
      <c r="BE52" s="1223"/>
      <c r="BF52" s="1223"/>
      <c r="BG52" s="1223"/>
      <c r="BH52" s="1223"/>
      <c r="BI52" s="1223"/>
      <c r="BJ52" s="1223"/>
      <c r="BK52" s="1223"/>
      <c r="BL52" s="1223"/>
      <c r="BM52" s="1223"/>
      <c r="BN52" s="1223"/>
      <c r="BO52" s="1223"/>
      <c r="BP52" s="1223"/>
      <c r="BQ52" s="1223"/>
      <c r="BR52" s="1223"/>
      <c r="BS52" s="1223"/>
      <c r="BT52" s="1223"/>
      <c r="BU52" s="1223"/>
      <c r="BV52" s="1223"/>
      <c r="BW52" s="1223"/>
      <c r="BX52" s="1223"/>
      <c r="BY52" s="1223"/>
      <c r="BZ52" s="1223"/>
      <c r="CA52" s="1223"/>
      <c r="CB52" s="1223"/>
      <c r="CC52" s="1223"/>
      <c r="CD52" s="1223"/>
      <c r="CE52" s="1223"/>
      <c r="CF52" s="1223"/>
      <c r="CG52" s="1223"/>
      <c r="CH52" s="1223"/>
      <c r="CI52" s="1223"/>
      <c r="CJ52" s="1223"/>
      <c r="CK52" s="1223"/>
      <c r="CL52" s="1223"/>
      <c r="CM52" s="1223"/>
      <c r="CN52" s="1223"/>
      <c r="CO52" s="1223"/>
      <c r="CP52" s="1222"/>
    </row>
    <row r="53" spans="2:94" ht="32.700000000000003" customHeight="1" x14ac:dyDescent="0.25">
      <c r="B53" s="1533"/>
      <c r="C53" s="1227"/>
      <c r="D53" s="1225"/>
      <c r="E53" s="1225" t="s">
        <v>853</v>
      </c>
      <c r="F53" s="1225"/>
      <c r="G53" s="1225"/>
      <c r="H53" s="1225"/>
      <c r="I53" s="1224"/>
      <c r="J53" s="1224"/>
      <c r="K53" s="1224"/>
      <c r="L53" s="1224"/>
      <c r="M53" s="1224"/>
      <c r="N53" s="1223"/>
      <c r="O53" s="1223"/>
      <c r="P53" s="1223"/>
      <c r="Q53" s="1223"/>
      <c r="R53" s="1223"/>
      <c r="S53" s="1223"/>
      <c r="T53" s="1223"/>
      <c r="U53" s="1223"/>
      <c r="V53" s="1223"/>
      <c r="W53" s="1223"/>
      <c r="X53" s="1223"/>
      <c r="Y53" s="1223"/>
      <c r="Z53" s="1223"/>
      <c r="AA53" s="1223"/>
      <c r="AB53" s="1223"/>
      <c r="AC53" s="1223"/>
      <c r="AD53" s="1223"/>
      <c r="AE53" s="1223"/>
      <c r="AF53" s="1223"/>
      <c r="AG53" s="1223"/>
      <c r="AH53" s="1223"/>
      <c r="AI53" s="1223"/>
      <c r="AJ53" s="1223"/>
      <c r="AK53" s="1223"/>
      <c r="AL53" s="1223"/>
      <c r="AM53" s="1223"/>
      <c r="AN53" s="1223"/>
      <c r="AO53" s="1223"/>
      <c r="AP53" s="1223"/>
      <c r="AQ53" s="1223"/>
      <c r="AR53" s="1223"/>
      <c r="AS53" s="1223"/>
      <c r="AT53" s="1223"/>
      <c r="AU53" s="1223"/>
      <c r="AV53" s="1223"/>
      <c r="AW53" s="1223"/>
      <c r="AX53" s="1223"/>
      <c r="AY53" s="1223"/>
      <c r="AZ53" s="1223"/>
      <c r="BA53" s="1223"/>
      <c r="BB53" s="1223"/>
      <c r="BC53" s="1223"/>
      <c r="BD53" s="1223"/>
      <c r="BE53" s="1223"/>
      <c r="BF53" s="1223"/>
      <c r="BG53" s="1223"/>
      <c r="BH53" s="1223"/>
      <c r="BI53" s="1223"/>
      <c r="BJ53" s="1223"/>
      <c r="BK53" s="1223"/>
      <c r="BL53" s="1223"/>
      <c r="BM53" s="1223"/>
      <c r="BN53" s="1223"/>
      <c r="BO53" s="1223"/>
      <c r="BP53" s="1223"/>
      <c r="BQ53" s="1223"/>
      <c r="BR53" s="1223"/>
      <c r="BS53" s="1223"/>
      <c r="BT53" s="1223"/>
      <c r="BU53" s="1223"/>
      <c r="BV53" s="1223"/>
      <c r="BW53" s="1223"/>
      <c r="BX53" s="1223"/>
      <c r="BY53" s="1223"/>
      <c r="BZ53" s="1223"/>
      <c r="CA53" s="1223"/>
      <c r="CB53" s="1223"/>
      <c r="CC53" s="1223"/>
      <c r="CD53" s="1223"/>
      <c r="CE53" s="1223"/>
      <c r="CF53" s="1223"/>
      <c r="CG53" s="1223"/>
      <c r="CH53" s="1223"/>
      <c r="CI53" s="1223"/>
      <c r="CJ53" s="1223"/>
      <c r="CK53" s="1223"/>
      <c r="CL53" s="1223"/>
      <c r="CM53" s="1223"/>
      <c r="CN53" s="1223"/>
      <c r="CO53" s="1223"/>
      <c r="CP53" s="1222"/>
    </row>
    <row r="54" spans="2:94" ht="28.5" customHeight="1" x14ac:dyDescent="0.25">
      <c r="B54" s="1533"/>
      <c r="C54" s="1226"/>
      <c r="D54" s="1223"/>
      <c r="E54" s="1225" t="s">
        <v>854</v>
      </c>
      <c r="F54" s="1225"/>
      <c r="G54" s="1223"/>
      <c r="H54" s="1223"/>
      <c r="I54" s="1224"/>
      <c r="J54" s="1224"/>
      <c r="K54" s="1224"/>
      <c r="L54" s="1224"/>
      <c r="M54" s="1224"/>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223"/>
      <c r="AV54" s="1223"/>
      <c r="AW54" s="1223"/>
      <c r="AX54" s="1223"/>
      <c r="AY54" s="1223"/>
      <c r="AZ54" s="1223"/>
      <c r="BA54" s="1223"/>
      <c r="BB54" s="1223"/>
      <c r="BC54" s="1223"/>
      <c r="BD54" s="1223"/>
      <c r="BE54" s="1223"/>
      <c r="BF54" s="1223"/>
      <c r="BG54" s="1223"/>
      <c r="BH54" s="1223"/>
      <c r="BI54" s="1223"/>
      <c r="BJ54" s="1223"/>
      <c r="BK54" s="1223"/>
      <c r="BL54" s="1223"/>
      <c r="BM54" s="1223"/>
      <c r="BN54" s="1223"/>
      <c r="BO54" s="1223"/>
      <c r="BP54" s="1223"/>
      <c r="BQ54" s="1223"/>
      <c r="BR54" s="1223"/>
      <c r="BS54" s="1223"/>
      <c r="BT54" s="1223"/>
      <c r="BU54" s="1223"/>
      <c r="BV54" s="1223"/>
      <c r="BW54" s="1223"/>
      <c r="BX54" s="1223"/>
      <c r="BY54" s="1223"/>
      <c r="BZ54" s="1223"/>
      <c r="CA54" s="1223"/>
      <c r="CB54" s="1223"/>
      <c r="CC54" s="1223"/>
      <c r="CD54" s="1223"/>
      <c r="CE54" s="1223"/>
      <c r="CF54" s="1223"/>
      <c r="CG54" s="1223"/>
      <c r="CH54" s="1223"/>
      <c r="CI54" s="1223"/>
      <c r="CJ54" s="1223"/>
      <c r="CK54" s="1223"/>
      <c r="CL54" s="1223"/>
      <c r="CM54" s="1223"/>
      <c r="CN54" s="1223"/>
      <c r="CO54" s="1223"/>
      <c r="CP54" s="1222"/>
    </row>
    <row r="55" spans="2:94" ht="39.6" customHeight="1" x14ac:dyDescent="0.25">
      <c r="B55" s="1534"/>
      <c r="C55" s="1221"/>
      <c r="D55" s="1218"/>
      <c r="E55" s="1220" t="s">
        <v>855</v>
      </c>
      <c r="F55" s="1220"/>
      <c r="G55" s="1218"/>
      <c r="H55" s="1218"/>
      <c r="I55" s="1219"/>
      <c r="J55" s="1219"/>
      <c r="K55" s="1219"/>
      <c r="L55" s="1219"/>
      <c r="M55" s="1219"/>
      <c r="N55" s="1218"/>
      <c r="O55" s="1218"/>
      <c r="P55" s="1218"/>
      <c r="Q55" s="1218"/>
      <c r="R55" s="1218"/>
      <c r="S55" s="1218"/>
      <c r="T55" s="1218"/>
      <c r="U55" s="1218"/>
      <c r="V55" s="1218"/>
      <c r="W55" s="1218"/>
      <c r="X55" s="1218"/>
      <c r="Y55" s="1218"/>
      <c r="Z55" s="1218"/>
      <c r="AA55" s="1218"/>
      <c r="AB55" s="1218"/>
      <c r="AC55" s="1218"/>
      <c r="AD55" s="1218"/>
      <c r="AE55" s="1218"/>
      <c r="AF55" s="1218"/>
      <c r="AG55" s="1218"/>
      <c r="AH55" s="1218"/>
      <c r="AI55" s="1218"/>
      <c r="AJ55" s="1218"/>
      <c r="AK55" s="1218"/>
      <c r="AL55" s="1218"/>
      <c r="AM55" s="1218"/>
      <c r="AN55" s="1218"/>
      <c r="AO55" s="1218"/>
      <c r="AP55" s="1218"/>
      <c r="AQ55" s="1218"/>
      <c r="AR55" s="1218"/>
      <c r="AS55" s="1218"/>
      <c r="AT55" s="1218"/>
      <c r="AU55" s="1218"/>
      <c r="AV55" s="1218"/>
      <c r="AW55" s="1218"/>
      <c r="AX55" s="1218"/>
      <c r="AY55" s="1218"/>
      <c r="AZ55" s="1218"/>
      <c r="BA55" s="1218"/>
      <c r="BB55" s="1218"/>
      <c r="BC55" s="1218"/>
      <c r="BD55" s="1218"/>
      <c r="BE55" s="1218"/>
      <c r="BF55" s="1218"/>
      <c r="BG55" s="1218"/>
      <c r="BH55" s="1218"/>
      <c r="BI55" s="1218"/>
      <c r="BJ55" s="1218"/>
      <c r="BK55" s="1218"/>
      <c r="BL55" s="1218"/>
      <c r="BM55" s="1218"/>
      <c r="BN55" s="1218"/>
      <c r="BO55" s="1218"/>
      <c r="BP55" s="1218"/>
      <c r="BQ55" s="1218"/>
      <c r="BR55" s="1218"/>
      <c r="BS55" s="1218"/>
      <c r="BT55" s="1218"/>
      <c r="BU55" s="1218"/>
      <c r="BV55" s="1218"/>
      <c r="BW55" s="1218"/>
      <c r="BX55" s="1218"/>
      <c r="BY55" s="1218"/>
      <c r="BZ55" s="1218"/>
      <c r="CA55" s="1218"/>
      <c r="CB55" s="1218"/>
      <c r="CC55" s="1218"/>
      <c r="CD55" s="1218"/>
      <c r="CE55" s="1218"/>
      <c r="CF55" s="1218"/>
      <c r="CG55" s="1218"/>
      <c r="CH55" s="1218"/>
      <c r="CI55" s="1218"/>
      <c r="CJ55" s="1218"/>
      <c r="CK55" s="1218"/>
      <c r="CL55" s="1218"/>
      <c r="CM55" s="1218"/>
      <c r="CN55" s="1218"/>
      <c r="CO55" s="1218"/>
      <c r="CP55" s="1217"/>
    </row>
    <row r="56" spans="2:94" ht="14.1" customHeight="1" thickBot="1" x14ac:dyDescent="0.3"/>
    <row r="57" spans="2:94" ht="14.4" hidden="1" thickBot="1" x14ac:dyDescent="0.3"/>
    <row r="58" spans="2:94" ht="30.6" customHeight="1" thickBot="1" x14ac:dyDescent="0.3">
      <c r="B58" s="425" t="s">
        <v>57</v>
      </c>
      <c r="C58" s="426" t="str">
        <f>'TITLE PAGE'!$D$18</f>
        <v>Bristol Water</v>
      </c>
      <c r="D58" s="425" t="s">
        <v>2</v>
      </c>
      <c r="E58" s="427"/>
    </row>
    <row r="59" spans="2:94" ht="14.4" thickBot="1" x14ac:dyDescent="0.3">
      <c r="B59" s="7"/>
      <c r="C59" s="7"/>
      <c r="D59" s="7"/>
      <c r="E59" s="7"/>
    </row>
    <row r="60" spans="2:94" ht="38.1" customHeight="1" thickBot="1" x14ac:dyDescent="0.3">
      <c r="B60" s="1530" t="s">
        <v>856</v>
      </c>
      <c r="C60" s="1531"/>
      <c r="D60" s="82" t="s">
        <v>760</v>
      </c>
      <c r="E60" s="82" t="s">
        <v>760</v>
      </c>
      <c r="F60" s="1269"/>
      <c r="G60" s="1269"/>
      <c r="H60" s="1269"/>
      <c r="I60" s="1269"/>
      <c r="J60" s="1269"/>
      <c r="K60" s="1269"/>
      <c r="L60" s="1270"/>
      <c r="M60" s="1269"/>
    </row>
    <row r="61" spans="2:94" x14ac:dyDescent="0.25">
      <c r="B61" s="1283" t="s">
        <v>857</v>
      </c>
      <c r="C61" s="1284"/>
      <c r="D61" s="1285"/>
      <c r="E61" s="1251"/>
      <c r="F61" s="1269"/>
      <c r="G61" s="1269"/>
      <c r="H61" s="1269"/>
      <c r="I61" s="1269"/>
      <c r="J61" s="1269"/>
      <c r="K61" s="1269"/>
      <c r="L61" s="1270"/>
      <c r="M61" s="1269"/>
    </row>
    <row r="62" spans="2:94" x14ac:dyDescent="0.25">
      <c r="B62" s="1280" t="s">
        <v>858</v>
      </c>
      <c r="C62" s="1269" t="s">
        <v>859</v>
      </c>
      <c r="D62" s="1282">
        <f>3.5%</f>
        <v>3.5000000000000003E-2</v>
      </c>
      <c r="E62" s="1251"/>
      <c r="F62" s="1269"/>
      <c r="G62" s="1269"/>
      <c r="H62" s="1269"/>
      <c r="I62" s="1269"/>
      <c r="J62" s="1269"/>
      <c r="K62" s="1269"/>
      <c r="L62" s="1270"/>
      <c r="M62" s="1269"/>
    </row>
    <row r="63" spans="2:94" x14ac:dyDescent="0.25">
      <c r="B63" s="1280" t="s">
        <v>860</v>
      </c>
      <c r="C63" s="1269" t="s">
        <v>861</v>
      </c>
      <c r="D63" s="1282">
        <v>2.92E-2</v>
      </c>
      <c r="E63" s="1251"/>
      <c r="F63" s="1269"/>
      <c r="G63" s="1269"/>
      <c r="H63" s="1269"/>
      <c r="I63" s="1269"/>
      <c r="J63" s="1269"/>
      <c r="K63" s="1269"/>
      <c r="L63" s="1270"/>
      <c r="M63" s="1269"/>
    </row>
    <row r="64" spans="2:94" x14ac:dyDescent="0.25">
      <c r="B64" s="1280" t="s">
        <v>862</v>
      </c>
      <c r="C64" s="1269" t="s">
        <v>863</v>
      </c>
      <c r="D64" s="1281">
        <v>5</v>
      </c>
      <c r="E64" s="1251"/>
      <c r="F64" s="1269"/>
      <c r="G64" s="1269"/>
      <c r="H64" s="1269"/>
      <c r="I64" s="1269"/>
      <c r="J64" s="1269"/>
      <c r="K64" s="1269"/>
      <c r="L64" s="1270"/>
      <c r="M64" s="1269"/>
    </row>
    <row r="65" spans="2:13" x14ac:dyDescent="0.25">
      <c r="B65" s="1280" t="s">
        <v>864</v>
      </c>
      <c r="C65" s="1269" t="s">
        <v>865</v>
      </c>
      <c r="D65" s="1339">
        <v>1000</v>
      </c>
      <c r="E65" s="1251"/>
      <c r="F65" s="1269"/>
      <c r="G65" s="1269"/>
      <c r="H65" s="1269"/>
      <c r="I65" s="1269"/>
      <c r="J65" s="1269"/>
      <c r="K65" s="1269"/>
      <c r="L65" s="1270"/>
      <c r="M65" s="1269"/>
    </row>
    <row r="66" spans="2:13" x14ac:dyDescent="0.25">
      <c r="B66" s="1277" t="s">
        <v>866</v>
      </c>
      <c r="C66" s="1276" t="s">
        <v>867</v>
      </c>
      <c r="D66" s="1279">
        <f>1/D64</f>
        <v>0.2</v>
      </c>
      <c r="E66" s="1251"/>
      <c r="F66" s="1269"/>
      <c r="G66" s="1269"/>
      <c r="H66" s="1269"/>
      <c r="I66" s="1269"/>
      <c r="J66" s="1269"/>
      <c r="K66" s="1269"/>
      <c r="L66" s="1270"/>
      <c r="M66" s="1269"/>
    </row>
    <row r="67" spans="2:13" x14ac:dyDescent="0.25">
      <c r="B67" s="1270"/>
      <c r="C67" s="1269"/>
      <c r="D67" s="1269"/>
      <c r="E67" s="1269"/>
      <c r="F67" s="1269"/>
      <c r="G67" s="1269"/>
      <c r="H67" s="1269"/>
      <c r="I67" s="1269"/>
      <c r="J67" s="1269"/>
      <c r="K67" s="1269"/>
      <c r="L67" s="1270"/>
      <c r="M67" s="1269"/>
    </row>
    <row r="68" spans="2:13" ht="14.4" thickBot="1" x14ac:dyDescent="0.3">
      <c r="B68" s="1270"/>
      <c r="C68" s="1269"/>
      <c r="D68" s="1269"/>
      <c r="E68" s="1278">
        <v>1</v>
      </c>
      <c r="F68" s="1278">
        <v>2</v>
      </c>
      <c r="G68" s="1278">
        <v>3</v>
      </c>
      <c r="H68" s="1278">
        <v>4</v>
      </c>
      <c r="I68" s="1278">
        <v>5</v>
      </c>
      <c r="K68" s="1269"/>
      <c r="L68" s="1270"/>
      <c r="M68" s="1269"/>
    </row>
    <row r="69" spans="2:13" x14ac:dyDescent="0.25">
      <c r="B69" s="1299"/>
      <c r="C69" s="1300"/>
      <c r="D69" s="1300"/>
      <c r="E69" s="1301" t="s">
        <v>868</v>
      </c>
      <c r="F69" s="1301" t="s">
        <v>869</v>
      </c>
      <c r="G69" s="1301" t="s">
        <v>870</v>
      </c>
      <c r="H69" s="1301" t="s">
        <v>871</v>
      </c>
      <c r="I69" s="1302" t="s">
        <v>872</v>
      </c>
      <c r="J69" s="1269"/>
      <c r="K69" s="1555" t="s">
        <v>873</v>
      </c>
      <c r="L69" s="1556"/>
      <c r="M69" s="1269"/>
    </row>
    <row r="70" spans="2:13" ht="14.4" thickBot="1" x14ac:dyDescent="0.3">
      <c r="B70" s="1303" t="s">
        <v>874</v>
      </c>
      <c r="C70" s="1296" t="s">
        <v>810</v>
      </c>
      <c r="D70" s="1296"/>
      <c r="E70" s="1340">
        <f>1/((1+$D$62)^(E68))</f>
        <v>0.96618357487922713</v>
      </c>
      <c r="F70" s="1340">
        <f>1/((1+$D$62)^(F68))</f>
        <v>0.93351070036640305</v>
      </c>
      <c r="G70" s="1340">
        <f>1/((1+$D$62)^(G68))</f>
        <v>0.90194270566802237</v>
      </c>
      <c r="H70" s="1340">
        <f>1/((1+$D$62)^(H68))</f>
        <v>0.87144222769857238</v>
      </c>
      <c r="I70" s="1340">
        <f>1/((1+$D$62)^(I68))</f>
        <v>0.84197316685852419</v>
      </c>
      <c r="J70" s="1269"/>
      <c r="K70" s="1557" t="s">
        <v>875</v>
      </c>
      <c r="L70" s="1558"/>
      <c r="M70" s="1269"/>
    </row>
    <row r="71" spans="2:13" ht="14.4" thickBot="1" x14ac:dyDescent="0.3">
      <c r="B71" s="1270"/>
      <c r="C71" s="1269"/>
      <c r="D71" s="1269"/>
      <c r="E71" s="1269"/>
      <c r="F71" s="1269"/>
      <c r="G71" s="1269"/>
      <c r="H71" s="1269"/>
      <c r="I71" s="1269"/>
      <c r="J71" s="1269"/>
      <c r="K71" s="1336"/>
      <c r="L71" s="1304"/>
      <c r="M71" s="1269"/>
    </row>
    <row r="72" spans="2:13" x14ac:dyDescent="0.25">
      <c r="B72" s="1337" t="s">
        <v>876</v>
      </c>
      <c r="C72" s="1286"/>
      <c r="D72" s="1286"/>
      <c r="E72" s="1287"/>
      <c r="F72" s="1287"/>
      <c r="G72" s="1287"/>
      <c r="H72" s="1287"/>
      <c r="I72" s="1288"/>
      <c r="J72" s="1269"/>
      <c r="K72" s="1336"/>
      <c r="L72" s="1304"/>
      <c r="M72" s="1269"/>
    </row>
    <row r="73" spans="2:13" x14ac:dyDescent="0.25">
      <c r="B73" s="1289"/>
      <c r="C73" s="1290"/>
      <c r="D73" s="1275" t="s">
        <v>117</v>
      </c>
      <c r="E73" s="1291" t="s">
        <v>868</v>
      </c>
      <c r="F73" s="1291" t="s">
        <v>869</v>
      </c>
      <c r="G73" s="1291" t="s">
        <v>870</v>
      </c>
      <c r="H73" s="1291" t="s">
        <v>871</v>
      </c>
      <c r="I73" s="1292" t="s">
        <v>872</v>
      </c>
      <c r="J73" s="1269"/>
      <c r="K73" s="1336"/>
      <c r="L73" s="1304"/>
      <c r="M73" s="1269"/>
    </row>
    <row r="74" spans="2:13" x14ac:dyDescent="0.25">
      <c r="B74" s="1336" t="s">
        <v>877</v>
      </c>
      <c r="C74" s="1269" t="s">
        <v>878</v>
      </c>
      <c r="D74" s="1274" t="s">
        <v>879</v>
      </c>
      <c r="E74" s="1293">
        <f>D65</f>
        <v>1000</v>
      </c>
      <c r="F74" s="1293">
        <f>E76</f>
        <v>800</v>
      </c>
      <c r="G74" s="1293">
        <f>F76</f>
        <v>600</v>
      </c>
      <c r="H74" s="1293">
        <f>G76</f>
        <v>400</v>
      </c>
      <c r="I74" s="1294">
        <f>H76</f>
        <v>200</v>
      </c>
      <c r="J74" s="1269"/>
      <c r="K74" s="1559" t="s">
        <v>880</v>
      </c>
      <c r="L74" s="1560"/>
      <c r="M74" s="1269"/>
    </row>
    <row r="75" spans="2:13" x14ac:dyDescent="0.25">
      <c r="B75" s="1336" t="s">
        <v>881</v>
      </c>
      <c r="C75" s="1269" t="s">
        <v>882</v>
      </c>
      <c r="D75" s="1274" t="s">
        <v>879</v>
      </c>
      <c r="E75" s="1293">
        <f>$E$74*$D$66</f>
        <v>200</v>
      </c>
      <c r="F75" s="1293">
        <f>$E$74*$D$66</f>
        <v>200</v>
      </c>
      <c r="G75" s="1293">
        <f>$E$74*$D$66</f>
        <v>200</v>
      </c>
      <c r="H75" s="1293">
        <f>$E$74*$D$66</f>
        <v>200</v>
      </c>
      <c r="I75" s="1294">
        <f>$E$74*$D$66</f>
        <v>200</v>
      </c>
      <c r="J75" s="1269"/>
      <c r="K75" s="1561" t="s">
        <v>883</v>
      </c>
      <c r="L75" s="1562"/>
      <c r="M75" s="1269"/>
    </row>
    <row r="76" spans="2:13" x14ac:dyDescent="0.25">
      <c r="B76" s="1336" t="s">
        <v>884</v>
      </c>
      <c r="C76" s="1269" t="s">
        <v>885</v>
      </c>
      <c r="D76" s="1274" t="s">
        <v>879</v>
      </c>
      <c r="E76" s="1293">
        <f>E74-E75</f>
        <v>800</v>
      </c>
      <c r="F76" s="1293">
        <f>F74-F75</f>
        <v>600</v>
      </c>
      <c r="G76" s="1293">
        <f>G74-G75</f>
        <v>400</v>
      </c>
      <c r="H76" s="1293">
        <f>H74-H75</f>
        <v>200</v>
      </c>
      <c r="I76" s="1294">
        <f>I74-I75</f>
        <v>0</v>
      </c>
      <c r="J76" s="1269"/>
      <c r="K76" s="1537" t="s">
        <v>886</v>
      </c>
      <c r="L76" s="1538"/>
      <c r="M76" s="1269"/>
    </row>
    <row r="77" spans="2:13" x14ac:dyDescent="0.25">
      <c r="B77" s="1336" t="s">
        <v>887</v>
      </c>
      <c r="C77" s="1269" t="s">
        <v>888</v>
      </c>
      <c r="D77" s="1274" t="s">
        <v>879</v>
      </c>
      <c r="E77" s="1293">
        <f>AVERAGE(E74,E76)</f>
        <v>900</v>
      </c>
      <c r="F77" s="1293">
        <f>AVERAGE(F74,F76)</f>
        <v>700</v>
      </c>
      <c r="G77" s="1293">
        <f>AVERAGE(G74,G76)</f>
        <v>500</v>
      </c>
      <c r="H77" s="1293">
        <f>AVERAGE(H74,H76)</f>
        <v>300</v>
      </c>
      <c r="I77" s="1294">
        <f>AVERAGE(I74,I76)</f>
        <v>100</v>
      </c>
      <c r="J77" s="1269"/>
      <c r="K77" s="1537" t="s">
        <v>889</v>
      </c>
      <c r="L77" s="1538"/>
      <c r="M77" s="1269"/>
    </row>
    <row r="78" spans="2:13" x14ac:dyDescent="0.25">
      <c r="B78" s="1336" t="s">
        <v>890</v>
      </c>
      <c r="C78" s="1269" t="s">
        <v>808</v>
      </c>
      <c r="D78" s="1274" t="s">
        <v>879</v>
      </c>
      <c r="E78" s="1293">
        <f>(E77*($D$63))+E75</f>
        <v>226.28</v>
      </c>
      <c r="F78" s="1293">
        <f>(F77*($D$63))+F75</f>
        <v>220.44</v>
      </c>
      <c r="G78" s="1293">
        <f>(G77*($D$63))+G75</f>
        <v>214.6</v>
      </c>
      <c r="H78" s="1293">
        <f>(H77*($D$63))+H75</f>
        <v>208.76</v>
      </c>
      <c r="I78" s="1294">
        <f>(I77*($D$63))+I75</f>
        <v>202.92</v>
      </c>
      <c r="J78" s="1269"/>
      <c r="K78" s="1539" t="s">
        <v>891</v>
      </c>
      <c r="L78" s="1540"/>
      <c r="M78" s="1269"/>
    </row>
    <row r="79" spans="2:13" x14ac:dyDescent="0.25">
      <c r="B79" s="1336" t="s">
        <v>892</v>
      </c>
      <c r="C79" s="1269" t="s">
        <v>893</v>
      </c>
      <c r="D79" s="1274" t="s">
        <v>879</v>
      </c>
      <c r="E79" s="1293">
        <f>E78*E70</f>
        <v>218.62801932367151</v>
      </c>
      <c r="F79" s="1293">
        <f>F78*F70</f>
        <v>205.78309878876988</v>
      </c>
      <c r="G79" s="1293">
        <f>G78*G70</f>
        <v>193.55690463635759</v>
      </c>
      <c r="H79" s="1293">
        <f>H78*H70</f>
        <v>181.92227945435397</v>
      </c>
      <c r="I79" s="1294">
        <f>I78*I70</f>
        <v>170.85319501893173</v>
      </c>
      <c r="J79" s="1269"/>
      <c r="K79" s="1539" t="s">
        <v>894</v>
      </c>
      <c r="L79" s="1540"/>
      <c r="M79" s="1269"/>
    </row>
    <row r="80" spans="2:13" x14ac:dyDescent="0.25">
      <c r="B80" s="1336"/>
      <c r="C80" s="1269"/>
      <c r="D80" s="1274"/>
      <c r="E80" s="1293"/>
      <c r="F80" s="1293"/>
      <c r="G80" s="1293"/>
      <c r="H80" s="1293"/>
      <c r="I80" s="1294"/>
      <c r="J80" s="1269"/>
      <c r="K80" s="1336"/>
      <c r="L80" s="1304"/>
      <c r="M80" s="1269"/>
    </row>
    <row r="81" spans="2:13" x14ac:dyDescent="0.25">
      <c r="B81" s="1336" t="s">
        <v>895</v>
      </c>
      <c r="C81" s="1273" t="s">
        <v>896</v>
      </c>
      <c r="D81" s="1272" t="s">
        <v>879</v>
      </c>
      <c r="E81" s="1271">
        <f>SUM(E79:I79)</f>
        <v>970.74349722208467</v>
      </c>
      <c r="F81" s="1293"/>
      <c r="G81" s="1293"/>
      <c r="H81" s="1293"/>
      <c r="I81" s="1294"/>
      <c r="J81" s="1269"/>
      <c r="K81" s="1539" t="s">
        <v>897</v>
      </c>
      <c r="L81" s="1540"/>
      <c r="M81" s="1269"/>
    </row>
    <row r="82" spans="2:13" ht="14.4" thickBot="1" x14ac:dyDescent="0.3">
      <c r="B82" s="1295"/>
      <c r="C82" s="1296"/>
      <c r="D82" s="1297"/>
      <c r="E82" s="1296"/>
      <c r="F82" s="1296"/>
      <c r="G82" s="1296"/>
      <c r="H82" s="1296"/>
      <c r="I82" s="1298"/>
      <c r="J82" s="1269"/>
      <c r="K82" s="1303"/>
      <c r="L82" s="1298"/>
      <c r="M82" s="1269"/>
    </row>
    <row r="83" spans="2:13" x14ac:dyDescent="0.25">
      <c r="B83" s="1270"/>
      <c r="C83" s="1269"/>
      <c r="D83" s="1269"/>
      <c r="E83" s="1269"/>
      <c r="F83" s="1269"/>
      <c r="G83" s="1269"/>
      <c r="H83" s="1269"/>
      <c r="I83" s="1269"/>
      <c r="J83" s="1269"/>
      <c r="K83" s="1270"/>
      <c r="L83" s="1269"/>
      <c r="M83" s="1269"/>
    </row>
    <row r="84" spans="2:13" ht="14.4" thickBot="1" x14ac:dyDescent="0.3">
      <c r="B84" s="1270"/>
      <c r="C84" s="1269"/>
      <c r="D84" s="1269"/>
      <c r="E84" s="1269"/>
      <c r="F84" s="1269"/>
      <c r="G84" s="1269"/>
      <c r="H84" s="1269"/>
      <c r="I84" s="1269"/>
      <c r="J84" s="1269"/>
      <c r="K84" s="1270"/>
      <c r="L84" s="1269"/>
      <c r="M84" s="1269"/>
    </row>
    <row r="85" spans="2:13" ht="14.1" customHeight="1" x14ac:dyDescent="0.25">
      <c r="B85" s="1541" t="s">
        <v>898</v>
      </c>
      <c r="C85" s="1542"/>
      <c r="D85" s="1542"/>
      <c r="E85" s="1542"/>
      <c r="F85" s="1542"/>
      <c r="G85" s="1542"/>
      <c r="H85" s="1542"/>
      <c r="I85" s="1543"/>
      <c r="J85" s="1269"/>
      <c r="K85" s="1270"/>
      <c r="L85" s="1269"/>
      <c r="M85" s="1269"/>
    </row>
    <row r="86" spans="2:13" x14ac:dyDescent="0.25">
      <c r="B86" s="1544"/>
      <c r="C86" s="1545"/>
      <c r="D86" s="1545"/>
      <c r="E86" s="1545"/>
      <c r="F86" s="1545"/>
      <c r="G86" s="1545"/>
      <c r="H86" s="1545"/>
      <c r="I86" s="1546"/>
      <c r="K86" s="1269"/>
      <c r="L86" s="1270"/>
      <c r="M86" s="1269"/>
    </row>
    <row r="87" spans="2:13" x14ac:dyDescent="0.25">
      <c r="B87" s="1544"/>
      <c r="C87" s="1545"/>
      <c r="D87" s="1545"/>
      <c r="E87" s="1545"/>
      <c r="F87" s="1545"/>
      <c r="G87" s="1545"/>
      <c r="H87" s="1545"/>
      <c r="I87" s="1546"/>
    </row>
    <row r="88" spans="2:13" x14ac:dyDescent="0.25">
      <c r="B88" s="1544"/>
      <c r="C88" s="1545"/>
      <c r="D88" s="1545"/>
      <c r="E88" s="1545"/>
      <c r="F88" s="1545"/>
      <c r="G88" s="1545"/>
      <c r="H88" s="1545"/>
      <c r="I88" s="1546"/>
    </row>
    <row r="89" spans="2:13" x14ac:dyDescent="0.25">
      <c r="B89" s="1544"/>
      <c r="C89" s="1545"/>
      <c r="D89" s="1545"/>
      <c r="E89" s="1545"/>
      <c r="F89" s="1545"/>
      <c r="G89" s="1545"/>
      <c r="H89" s="1545"/>
      <c r="I89" s="1546"/>
    </row>
    <row r="90" spans="2:13" x14ac:dyDescent="0.25">
      <c r="B90" s="1544"/>
      <c r="C90" s="1545"/>
      <c r="D90" s="1545"/>
      <c r="E90" s="1545"/>
      <c r="F90" s="1545"/>
      <c r="G90" s="1545"/>
      <c r="H90" s="1545"/>
      <c r="I90" s="1546"/>
    </row>
    <row r="91" spans="2:13" x14ac:dyDescent="0.25">
      <c r="B91" s="1544"/>
      <c r="C91" s="1545"/>
      <c r="D91" s="1545"/>
      <c r="E91" s="1545"/>
      <c r="F91" s="1545"/>
      <c r="G91" s="1545"/>
      <c r="H91" s="1545"/>
      <c r="I91" s="1546"/>
    </row>
    <row r="92" spans="2:13" x14ac:dyDescent="0.25">
      <c r="B92" s="1544"/>
      <c r="C92" s="1545"/>
      <c r="D92" s="1545"/>
      <c r="E92" s="1545"/>
      <c r="F92" s="1545"/>
      <c r="G92" s="1545"/>
      <c r="H92" s="1545"/>
      <c r="I92" s="1546"/>
    </row>
    <row r="93" spans="2:13" x14ac:dyDescent="0.25">
      <c r="B93" s="1544"/>
      <c r="C93" s="1545"/>
      <c r="D93" s="1545"/>
      <c r="E93" s="1545"/>
      <c r="F93" s="1545"/>
      <c r="G93" s="1545"/>
      <c r="H93" s="1545"/>
      <c r="I93" s="1546"/>
    </row>
    <row r="94" spans="2:13" x14ac:dyDescent="0.25">
      <c r="B94" s="1544"/>
      <c r="C94" s="1545"/>
      <c r="D94" s="1545"/>
      <c r="E94" s="1545"/>
      <c r="F94" s="1545"/>
      <c r="G94" s="1545"/>
      <c r="H94" s="1545"/>
      <c r="I94" s="1546"/>
    </row>
    <row r="95" spans="2:13" x14ac:dyDescent="0.25">
      <c r="B95" s="1544"/>
      <c r="C95" s="1545"/>
      <c r="D95" s="1545"/>
      <c r="E95" s="1545"/>
      <c r="F95" s="1545"/>
      <c r="G95" s="1545"/>
      <c r="H95" s="1545"/>
      <c r="I95" s="1546"/>
    </row>
    <row r="96" spans="2:13" x14ac:dyDescent="0.25">
      <c r="B96" s="1544"/>
      <c r="C96" s="1545"/>
      <c r="D96" s="1545"/>
      <c r="E96" s="1545"/>
      <c r="F96" s="1545"/>
      <c r="G96" s="1545"/>
      <c r="H96" s="1545"/>
      <c r="I96" s="1546"/>
    </row>
    <row r="97" spans="2:9" x14ac:dyDescent="0.25">
      <c r="B97" s="1544"/>
      <c r="C97" s="1545"/>
      <c r="D97" s="1545"/>
      <c r="E97" s="1545"/>
      <c r="F97" s="1545"/>
      <c r="G97" s="1545"/>
      <c r="H97" s="1545"/>
      <c r="I97" s="1546"/>
    </row>
    <row r="98" spans="2:9" x14ac:dyDescent="0.25">
      <c r="B98" s="1544"/>
      <c r="C98" s="1545"/>
      <c r="D98" s="1545"/>
      <c r="E98" s="1545"/>
      <c r="F98" s="1545"/>
      <c r="G98" s="1545"/>
      <c r="H98" s="1545"/>
      <c r="I98" s="1546"/>
    </row>
    <row r="99" spans="2:9" x14ac:dyDescent="0.25">
      <c r="B99" s="1544"/>
      <c r="C99" s="1545"/>
      <c r="D99" s="1545"/>
      <c r="E99" s="1545"/>
      <c r="F99" s="1545"/>
      <c r="G99" s="1545"/>
      <c r="H99" s="1545"/>
      <c r="I99" s="1546"/>
    </row>
    <row r="100" spans="2:9" x14ac:dyDescent="0.25">
      <c r="B100" s="1544"/>
      <c r="C100" s="1545"/>
      <c r="D100" s="1545"/>
      <c r="E100" s="1545"/>
      <c r="F100" s="1545"/>
      <c r="G100" s="1545"/>
      <c r="H100" s="1545"/>
      <c r="I100" s="1546"/>
    </row>
    <row r="101" spans="2:9" x14ac:dyDescent="0.25">
      <c r="B101" s="1544"/>
      <c r="C101" s="1545"/>
      <c r="D101" s="1545"/>
      <c r="E101" s="1545"/>
      <c r="F101" s="1545"/>
      <c r="G101" s="1545"/>
      <c r="H101" s="1545"/>
      <c r="I101" s="1546"/>
    </row>
    <row r="102" spans="2:9" x14ac:dyDescent="0.25">
      <c r="B102" s="1544"/>
      <c r="C102" s="1545"/>
      <c r="D102" s="1545"/>
      <c r="E102" s="1545"/>
      <c r="F102" s="1545"/>
      <c r="G102" s="1545"/>
      <c r="H102" s="1545"/>
      <c r="I102" s="1546"/>
    </row>
    <row r="103" spans="2:9" x14ac:dyDescent="0.25">
      <c r="B103" s="1544"/>
      <c r="C103" s="1545"/>
      <c r="D103" s="1545"/>
      <c r="E103" s="1545"/>
      <c r="F103" s="1545"/>
      <c r="G103" s="1545"/>
      <c r="H103" s="1545"/>
      <c r="I103" s="1546"/>
    </row>
    <row r="104" spans="2:9" x14ac:dyDescent="0.25">
      <c r="B104" s="1544"/>
      <c r="C104" s="1545"/>
      <c r="D104" s="1545"/>
      <c r="E104" s="1545"/>
      <c r="F104" s="1545"/>
      <c r="G104" s="1545"/>
      <c r="H104" s="1545"/>
      <c r="I104" s="1546"/>
    </row>
    <row r="105" spans="2:9" x14ac:dyDescent="0.25">
      <c r="B105" s="1544"/>
      <c r="C105" s="1545"/>
      <c r="D105" s="1545"/>
      <c r="E105" s="1545"/>
      <c r="F105" s="1545"/>
      <c r="G105" s="1545"/>
      <c r="H105" s="1545"/>
      <c r="I105" s="1546"/>
    </row>
    <row r="106" spans="2:9" x14ac:dyDescent="0.25">
      <c r="B106" s="1544"/>
      <c r="C106" s="1545"/>
      <c r="D106" s="1545"/>
      <c r="E106" s="1545"/>
      <c r="F106" s="1545"/>
      <c r="G106" s="1545"/>
      <c r="H106" s="1545"/>
      <c r="I106" s="1546"/>
    </row>
    <row r="107" spans="2:9" x14ac:dyDescent="0.25">
      <c r="B107" s="1544"/>
      <c r="C107" s="1545"/>
      <c r="D107" s="1545"/>
      <c r="E107" s="1545"/>
      <c r="F107" s="1545"/>
      <c r="G107" s="1545"/>
      <c r="H107" s="1545"/>
      <c r="I107" s="1546"/>
    </row>
    <row r="108" spans="2:9" x14ac:dyDescent="0.25">
      <c r="B108" s="1544"/>
      <c r="C108" s="1545"/>
      <c r="D108" s="1545"/>
      <c r="E108" s="1545"/>
      <c r="F108" s="1545"/>
      <c r="G108" s="1545"/>
      <c r="H108" s="1545"/>
      <c r="I108" s="1546"/>
    </row>
    <row r="109" spans="2:9" ht="14.4" thickBot="1" x14ac:dyDescent="0.3">
      <c r="B109" s="1547"/>
      <c r="C109" s="1548"/>
      <c r="D109" s="1548"/>
      <c r="E109" s="1548"/>
      <c r="F109" s="1548"/>
      <c r="G109" s="1548"/>
      <c r="H109" s="1548"/>
      <c r="I109" s="1549"/>
    </row>
  </sheetData>
  <mergeCells count="16">
    <mergeCell ref="B85:I109"/>
    <mergeCell ref="I15:M15"/>
    <mergeCell ref="B7:B15"/>
    <mergeCell ref="K79:L79"/>
    <mergeCell ref="K81:L81"/>
    <mergeCell ref="K69:L69"/>
    <mergeCell ref="K70:L70"/>
    <mergeCell ref="K74:L74"/>
    <mergeCell ref="K75:L75"/>
    <mergeCell ref="K76:L76"/>
    <mergeCell ref="B5:C5"/>
    <mergeCell ref="B19:B55"/>
    <mergeCell ref="B17:C17"/>
    <mergeCell ref="K77:L77"/>
    <mergeCell ref="K78:L78"/>
    <mergeCell ref="B60:C60"/>
  </mergeCells>
  <dataValidations count="4">
    <dataValidation type="list" allowBlank="1" showInputMessage="1" showErrorMessage="1" sqref="F53:F55 E19:E55 E12:E13 E16:E17" xr:uid="{D9E63875-CE11-48B1-8F8C-18F1E63DF469}">
      <formula1>Variables</formula1>
    </dataValidation>
    <dataValidation type="list" allowBlank="1" showInputMessage="1" showErrorMessage="1" sqref="H19:H53 H12:H13 H16:H17" xr:uid="{C2387620-7A91-44C0-91EF-46044B699B14}">
      <formula1>"Fixed,Variable"</formula1>
    </dataValidation>
    <dataValidation type="list" allowBlank="1" showInputMessage="1" showErrorMessage="1" sqref="F21:G35" xr:uid="{732B769D-6B05-4A11-9DE2-FBF312B650C5}">
      <formula1>INDIRECT(IFERROR(RIGHT($C21,LEN($C21)-FIND(" ",$C21)),$C21)&amp;"Subs")</formula1>
    </dataValidation>
    <dataValidation type="list" allowBlank="1" showInputMessage="1" showErrorMessage="1" sqref="F19:G20" xr:uid="{4F6ECD81-E4BB-448E-81DD-07E12837B546}">
      <formula1>INDIRECT(IFERROR(RIGHT(#REF!,LEN(#REF!)-FIND(" ",#REF!)),#REF!)&amp;"Subs")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33"/>
  <sheetViews>
    <sheetView zoomScale="70" zoomScaleNormal="70" workbookViewId="0">
      <selection activeCell="G8" sqref="G8"/>
    </sheetView>
  </sheetViews>
  <sheetFormatPr defaultColWidth="8.81640625" defaultRowHeight="13.8" x14ac:dyDescent="0.25"/>
  <cols>
    <col min="1" max="1" width="3.54296875" style="7" customWidth="1"/>
    <col min="2" max="2" width="16.81640625" style="7" bestFit="1" customWidth="1"/>
    <col min="3" max="3" width="27" style="7" customWidth="1"/>
    <col min="4" max="4" width="40.08984375" style="7" customWidth="1"/>
    <col min="5" max="5" width="8.81640625" style="7"/>
    <col min="6" max="6" width="17.54296875" style="7" customWidth="1"/>
    <col min="7" max="7" width="11" style="7" customWidth="1"/>
    <col min="8" max="8" width="11.81640625" style="7" customWidth="1"/>
    <col min="9" max="9" width="8.81640625" style="7"/>
    <col min="10" max="10" width="8.1796875" style="7" customWidth="1"/>
    <col min="11" max="11" width="7.54296875" style="7" customWidth="1"/>
    <col min="12" max="12" width="7.1796875" style="7" customWidth="1"/>
    <col min="13" max="13" width="7.453125" style="7" customWidth="1"/>
    <col min="14" max="15" width="8.81640625" style="7" customWidth="1"/>
    <col min="16" max="16384" width="8.81640625" style="7"/>
  </cols>
  <sheetData>
    <row r="1" spans="2:37" ht="14.4" thickBot="1" x14ac:dyDescent="0.3"/>
    <row r="2" spans="2:37" ht="15" customHeight="1" thickBot="1" x14ac:dyDescent="0.3">
      <c r="B2" s="1382" t="s">
        <v>355</v>
      </c>
    </row>
    <row r="3" spans="2:37" ht="15" customHeight="1" x14ac:dyDescent="0.25"/>
    <row r="7" spans="2:37" ht="14.4" thickBot="1" x14ac:dyDescent="0.3"/>
    <row r="8" spans="2:37" ht="14.4" thickBot="1" x14ac:dyDescent="0.3">
      <c r="B8" s="425" t="s">
        <v>57</v>
      </c>
      <c r="C8" s="426" t="str">
        <f>'TITLE PAGE'!$D$18</f>
        <v>Bristol Water</v>
      </c>
      <c r="D8" s="431" t="s">
        <v>2</v>
      </c>
    </row>
    <row r="9" spans="2:37" ht="14.4" thickBot="1" x14ac:dyDescent="0.3">
      <c r="B9" s="87" t="s">
        <v>354</v>
      </c>
      <c r="C9" s="63" t="s">
        <v>355</v>
      </c>
      <c r="D9" s="88"/>
      <c r="F9" s="66"/>
      <c r="G9" s="66"/>
    </row>
    <row r="10" spans="2:37" ht="14.4" thickBot="1" x14ac:dyDescent="0.3">
      <c r="B10" s="89"/>
      <c r="C10" s="89"/>
      <c r="D10" s="1"/>
      <c r="E10" s="1"/>
      <c r="F10" s="1"/>
      <c r="G10" s="66"/>
      <c r="H10" s="66"/>
    </row>
    <row r="11" spans="2:37" ht="42" thickBot="1" x14ac:dyDescent="0.3">
      <c r="B11" s="210" t="s">
        <v>899</v>
      </c>
      <c r="C11" s="1381" t="s">
        <v>115</v>
      </c>
      <c r="D11" s="79"/>
      <c r="E11" s="79"/>
      <c r="F11" s="79"/>
      <c r="G11" s="66"/>
      <c r="H11" s="66"/>
      <c r="I11" s="66"/>
      <c r="J11" s="1563" t="s">
        <v>900</v>
      </c>
      <c r="K11" s="1564"/>
      <c r="L11" s="1564"/>
      <c r="M11" s="1564"/>
      <c r="N11" s="1564"/>
      <c r="O11" s="1564"/>
      <c r="P11" s="1564"/>
      <c r="Q11" s="1563" t="s">
        <v>901</v>
      </c>
      <c r="R11" s="1564"/>
      <c r="S11" s="1564"/>
      <c r="T11" s="1564"/>
      <c r="U11" s="1564"/>
      <c r="V11" s="1564"/>
      <c r="W11" s="1564"/>
      <c r="X11" s="1563" t="s">
        <v>902</v>
      </c>
      <c r="Y11" s="1564"/>
      <c r="Z11" s="1564"/>
      <c r="AA11" s="1564"/>
      <c r="AB11" s="1564"/>
      <c r="AC11" s="1564"/>
      <c r="AD11" s="1564"/>
      <c r="AE11" s="1563" t="s">
        <v>903</v>
      </c>
      <c r="AF11" s="1564"/>
      <c r="AG11" s="1564"/>
      <c r="AH11" s="1564"/>
      <c r="AI11" s="1564"/>
      <c r="AJ11" s="1564"/>
      <c r="AK11" s="1565"/>
    </row>
    <row r="12" spans="2:37" ht="55.8" thickBot="1" x14ac:dyDescent="0.3">
      <c r="B12" s="91" t="s">
        <v>904</v>
      </c>
      <c r="C12" s="92" t="s">
        <v>905</v>
      </c>
      <c r="D12" s="92" t="s">
        <v>906</v>
      </c>
      <c r="E12" s="92" t="s">
        <v>907</v>
      </c>
      <c r="F12" s="92" t="s">
        <v>908</v>
      </c>
      <c r="G12" s="92" t="s">
        <v>909</v>
      </c>
      <c r="H12" s="92" t="s">
        <v>117</v>
      </c>
      <c r="I12" s="106" t="s">
        <v>118</v>
      </c>
      <c r="J12" s="220" t="s">
        <v>910</v>
      </c>
      <c r="K12" s="214" t="s">
        <v>124</v>
      </c>
      <c r="L12" s="268" t="s">
        <v>129</v>
      </c>
      <c r="M12" s="214" t="s">
        <v>160</v>
      </c>
      <c r="N12" s="214" t="s">
        <v>164</v>
      </c>
      <c r="O12" s="218" t="s">
        <v>168</v>
      </c>
      <c r="P12" s="418" t="s">
        <v>172</v>
      </c>
      <c r="Q12" s="95" t="s">
        <v>911</v>
      </c>
      <c r="R12" s="93" t="s">
        <v>124</v>
      </c>
      <c r="S12" s="93" t="s">
        <v>129</v>
      </c>
      <c r="T12" s="93" t="s">
        <v>160</v>
      </c>
      <c r="U12" s="93" t="s">
        <v>164</v>
      </c>
      <c r="V12" s="94" t="s">
        <v>168</v>
      </c>
      <c r="W12" s="393" t="s">
        <v>172</v>
      </c>
      <c r="X12" s="95" t="s">
        <v>911</v>
      </c>
      <c r="Y12" s="93" t="s">
        <v>124</v>
      </c>
      <c r="Z12" s="93" t="s">
        <v>129</v>
      </c>
      <c r="AA12" s="93" t="s">
        <v>160</v>
      </c>
      <c r="AB12" s="93" t="s">
        <v>164</v>
      </c>
      <c r="AC12" s="94" t="s">
        <v>168</v>
      </c>
      <c r="AD12" s="393" t="s">
        <v>172</v>
      </c>
      <c r="AE12" s="95" t="s">
        <v>912</v>
      </c>
      <c r="AF12" s="93" t="s">
        <v>124</v>
      </c>
      <c r="AG12" s="93" t="s">
        <v>129</v>
      </c>
      <c r="AH12" s="93" t="s">
        <v>160</v>
      </c>
      <c r="AI12" s="93" t="s">
        <v>164</v>
      </c>
      <c r="AJ12" s="94" t="s">
        <v>168</v>
      </c>
      <c r="AK12" s="394" t="s">
        <v>172</v>
      </c>
    </row>
    <row r="13" spans="2:37" ht="27.6" x14ac:dyDescent="0.25">
      <c r="B13" s="96" t="s">
        <v>913</v>
      </c>
      <c r="C13" s="97" t="s">
        <v>914</v>
      </c>
      <c r="D13" s="97" t="s">
        <v>1674</v>
      </c>
      <c r="E13" s="98" t="s">
        <v>915</v>
      </c>
      <c r="F13" s="97" t="s">
        <v>1675</v>
      </c>
      <c r="G13" s="97" t="s">
        <v>1676</v>
      </c>
      <c r="H13" s="98" t="s">
        <v>146</v>
      </c>
      <c r="I13" s="288">
        <v>2</v>
      </c>
      <c r="J13" s="416">
        <f>(BWXBRS!I46+BWXBRS!I47)*0.01</f>
        <v>1.9599833798283999</v>
      </c>
      <c r="K13" s="417">
        <f>(BWXBRS!M46+BWXBRS!M47)*0.01</f>
        <v>1.9363108234746105</v>
      </c>
      <c r="L13" s="331">
        <f>(BWXBRS!Q46+BWXBRS!Q47)*0.01</f>
        <v>1.9414391109753024</v>
      </c>
      <c r="M13" s="417">
        <f>(BWXBRS!V46+BWXBRS!V47)*0.01</f>
        <v>1.9411389651267956</v>
      </c>
      <c r="N13" s="417">
        <f>(BWXBRS!AA46+BWXBRS!AA47)*0.01</f>
        <v>1.9700254600491611</v>
      </c>
      <c r="O13" s="417">
        <f>(BWXBRS!AG46+BWXBRS!AG47)*0.01</f>
        <v>2.0106533867550875</v>
      </c>
      <c r="P13" s="332">
        <f>(BWXBRS!AK46+BWXBRS!AK47)*0.01</f>
        <v>2.0363885512923954</v>
      </c>
      <c r="Q13" s="406">
        <f>J13</f>
        <v>1.9599833798283999</v>
      </c>
      <c r="R13" s="331">
        <f t="shared" ref="R13:W13" si="0">K13</f>
        <v>1.9363108234746105</v>
      </c>
      <c r="S13" s="331">
        <f t="shared" si="0"/>
        <v>1.9414391109753024</v>
      </c>
      <c r="T13" s="331">
        <f t="shared" si="0"/>
        <v>1.9411389651267956</v>
      </c>
      <c r="U13" s="331">
        <f t="shared" si="0"/>
        <v>1.9700254600491611</v>
      </c>
      <c r="V13" s="331">
        <f t="shared" si="0"/>
        <v>2.0106533867550875</v>
      </c>
      <c r="W13" s="331">
        <f t="shared" si="0"/>
        <v>2.0363885512923954</v>
      </c>
      <c r="X13" s="406">
        <f>Q13</f>
        <v>1.9599833798283999</v>
      </c>
      <c r="Y13" s="331">
        <f>R13</f>
        <v>1.9363108234746105</v>
      </c>
      <c r="Z13" s="331">
        <f t="shared" ref="Z13:AD13" si="1">S13</f>
        <v>1.9414391109753024</v>
      </c>
      <c r="AA13" s="331">
        <f t="shared" si="1"/>
        <v>1.9411389651267956</v>
      </c>
      <c r="AB13" s="331">
        <f t="shared" si="1"/>
        <v>1.9700254600491611</v>
      </c>
      <c r="AC13" s="331">
        <f t="shared" si="1"/>
        <v>2.0106533867550875</v>
      </c>
      <c r="AD13" s="331">
        <f t="shared" si="1"/>
        <v>2.0363885512923954</v>
      </c>
      <c r="AE13" s="330"/>
      <c r="AF13" s="331"/>
      <c r="AG13" s="331"/>
      <c r="AH13" s="331"/>
      <c r="AI13" s="331"/>
      <c r="AJ13" s="332"/>
      <c r="AK13" s="236"/>
    </row>
    <row r="14" spans="2:37" ht="27.6" x14ac:dyDescent="0.25">
      <c r="B14" s="99" t="s">
        <v>917</v>
      </c>
      <c r="C14" s="97" t="s">
        <v>918</v>
      </c>
      <c r="D14" s="97" t="s">
        <v>1677</v>
      </c>
      <c r="E14" s="98" t="s">
        <v>919</v>
      </c>
      <c r="F14" s="97" t="s">
        <v>916</v>
      </c>
      <c r="G14" s="97" t="s">
        <v>1676</v>
      </c>
      <c r="H14" s="98" t="s">
        <v>146</v>
      </c>
      <c r="I14" s="288">
        <v>2</v>
      </c>
      <c r="J14" s="407">
        <v>0</v>
      </c>
      <c r="K14" s="328">
        <v>0</v>
      </c>
      <c r="L14" s="328">
        <v>0</v>
      </c>
      <c r="M14" s="328">
        <v>0</v>
      </c>
      <c r="N14" s="328">
        <v>0</v>
      </c>
      <c r="O14" s="328">
        <v>0</v>
      </c>
      <c r="P14" s="329">
        <v>0</v>
      </c>
      <c r="Q14" s="407">
        <v>0</v>
      </c>
      <c r="R14" s="328">
        <v>0</v>
      </c>
      <c r="S14" s="328">
        <v>0</v>
      </c>
      <c r="T14" s="328">
        <v>0</v>
      </c>
      <c r="U14" s="328">
        <v>0</v>
      </c>
      <c r="V14" s="329">
        <v>0</v>
      </c>
      <c r="W14" s="329">
        <v>0</v>
      </c>
      <c r="X14" s="407">
        <v>0</v>
      </c>
      <c r="Y14" s="328">
        <v>0</v>
      </c>
      <c r="Z14" s="328">
        <v>0</v>
      </c>
      <c r="AA14" s="328">
        <v>0</v>
      </c>
      <c r="AB14" s="328">
        <v>0</v>
      </c>
      <c r="AC14" s="329">
        <v>0</v>
      </c>
      <c r="AD14" s="329">
        <v>0</v>
      </c>
      <c r="AE14" s="327"/>
      <c r="AF14" s="328"/>
      <c r="AG14" s="328"/>
      <c r="AH14" s="328"/>
      <c r="AI14" s="328"/>
      <c r="AJ14" s="329"/>
      <c r="AK14" s="237"/>
    </row>
    <row r="15" spans="2:37" ht="55.2" x14ac:dyDescent="0.25">
      <c r="B15" s="100" t="s">
        <v>1706</v>
      </c>
      <c r="C15" s="97" t="s">
        <v>920</v>
      </c>
      <c r="D15" s="97" t="s">
        <v>1707</v>
      </c>
      <c r="E15" s="98" t="s">
        <v>1704</v>
      </c>
      <c r="F15" s="97" t="s">
        <v>1705</v>
      </c>
      <c r="G15" s="97" t="s">
        <v>1676</v>
      </c>
      <c r="H15" s="98" t="s">
        <v>146</v>
      </c>
      <c r="I15" s="288">
        <v>2</v>
      </c>
      <c r="J15" s="407">
        <v>8.9699999999999989</v>
      </c>
      <c r="K15" s="328">
        <v>2</v>
      </c>
      <c r="L15" s="328">
        <v>2</v>
      </c>
      <c r="M15" s="328">
        <v>2</v>
      </c>
      <c r="N15" s="328">
        <v>2</v>
      </c>
      <c r="O15" s="328">
        <v>2</v>
      </c>
      <c r="P15" s="328">
        <v>2</v>
      </c>
      <c r="Q15" s="407">
        <v>8.9699999999999989</v>
      </c>
      <c r="R15" s="328">
        <v>2</v>
      </c>
      <c r="S15" s="328">
        <v>2</v>
      </c>
      <c r="T15" s="328">
        <v>2</v>
      </c>
      <c r="U15" s="328">
        <v>2</v>
      </c>
      <c r="V15" s="328">
        <v>2</v>
      </c>
      <c r="W15" s="328">
        <v>2</v>
      </c>
      <c r="X15" s="407">
        <v>8.9699999999999989</v>
      </c>
      <c r="Y15" s="328">
        <v>2</v>
      </c>
      <c r="Z15" s="328">
        <v>2</v>
      </c>
      <c r="AA15" s="328">
        <v>2</v>
      </c>
      <c r="AB15" s="328">
        <v>2</v>
      </c>
      <c r="AC15" s="328">
        <v>2</v>
      </c>
      <c r="AD15" s="328">
        <v>2</v>
      </c>
      <c r="AE15" s="327"/>
      <c r="AF15" s="328"/>
      <c r="AG15" s="328"/>
      <c r="AH15" s="328"/>
      <c r="AI15" s="328"/>
      <c r="AJ15" s="329"/>
      <c r="AK15" s="237"/>
    </row>
    <row r="16" spans="2:37" ht="41.4" x14ac:dyDescent="0.25">
      <c r="B16" s="99" t="s">
        <v>921</v>
      </c>
      <c r="C16" s="97" t="s">
        <v>922</v>
      </c>
      <c r="D16" s="97" t="s">
        <v>1678</v>
      </c>
      <c r="E16" s="98" t="s">
        <v>915</v>
      </c>
      <c r="F16" s="97" t="s">
        <v>1679</v>
      </c>
      <c r="G16" s="97" t="s">
        <v>1676</v>
      </c>
      <c r="H16" s="98" t="s">
        <v>146</v>
      </c>
      <c r="I16" s="288">
        <v>2</v>
      </c>
      <c r="J16" s="407">
        <v>5.5</v>
      </c>
      <c r="K16" s="328">
        <v>5.5</v>
      </c>
      <c r="L16" s="328">
        <v>5.5</v>
      </c>
      <c r="M16" s="328">
        <v>5.5</v>
      </c>
      <c r="N16" s="328">
        <v>5.5</v>
      </c>
      <c r="O16" s="328">
        <v>5.5</v>
      </c>
      <c r="P16" s="328">
        <v>5.5</v>
      </c>
      <c r="Q16" s="407">
        <v>2.6</v>
      </c>
      <c r="R16" s="328">
        <v>2.6</v>
      </c>
      <c r="S16" s="328">
        <v>2.6</v>
      </c>
      <c r="T16" s="328">
        <v>2.6</v>
      </c>
      <c r="U16" s="328">
        <v>2.6</v>
      </c>
      <c r="V16" s="328">
        <v>2.6</v>
      </c>
      <c r="W16" s="328">
        <v>2.6</v>
      </c>
      <c r="X16" s="407"/>
      <c r="Y16" s="328"/>
      <c r="Z16" s="328"/>
      <c r="AA16" s="328"/>
      <c r="AB16" s="328"/>
      <c r="AC16" s="329"/>
      <c r="AD16" s="329"/>
      <c r="AE16" s="327"/>
      <c r="AF16" s="328"/>
      <c r="AG16" s="328"/>
      <c r="AH16" s="328"/>
      <c r="AI16" s="328"/>
      <c r="AJ16" s="329"/>
      <c r="AK16" s="237"/>
    </row>
    <row r="17" spans="2:37" ht="41.4" x14ac:dyDescent="0.25">
      <c r="B17" s="99" t="s">
        <v>923</v>
      </c>
      <c r="C17" s="97" t="s">
        <v>924</v>
      </c>
      <c r="D17" s="97" t="s">
        <v>1680</v>
      </c>
      <c r="E17" s="98" t="s">
        <v>919</v>
      </c>
      <c r="F17" s="97" t="s">
        <v>916</v>
      </c>
      <c r="G17" s="97" t="s">
        <v>1676</v>
      </c>
      <c r="H17" s="98" t="s">
        <v>146</v>
      </c>
      <c r="I17" s="288">
        <v>2</v>
      </c>
      <c r="J17" s="407">
        <v>0</v>
      </c>
      <c r="K17" s="328">
        <v>0</v>
      </c>
      <c r="L17" s="328">
        <v>0</v>
      </c>
      <c r="M17" s="328">
        <v>0</v>
      </c>
      <c r="N17" s="328">
        <v>0</v>
      </c>
      <c r="O17" s="328">
        <v>0</v>
      </c>
      <c r="P17" s="329">
        <v>0</v>
      </c>
      <c r="Q17" s="407">
        <v>0</v>
      </c>
      <c r="R17" s="328">
        <v>0</v>
      </c>
      <c r="S17" s="328">
        <v>0</v>
      </c>
      <c r="T17" s="328">
        <v>0</v>
      </c>
      <c r="U17" s="328">
        <v>0</v>
      </c>
      <c r="V17" s="329">
        <v>0</v>
      </c>
      <c r="W17" s="329">
        <v>0</v>
      </c>
      <c r="X17" s="407">
        <v>0</v>
      </c>
      <c r="Y17" s="328">
        <v>0</v>
      </c>
      <c r="Z17" s="328">
        <v>0</v>
      </c>
      <c r="AA17" s="328">
        <v>0</v>
      </c>
      <c r="AB17" s="328">
        <v>0</v>
      </c>
      <c r="AC17" s="329">
        <v>0</v>
      </c>
      <c r="AD17" s="329">
        <v>0</v>
      </c>
      <c r="AE17" s="327"/>
      <c r="AF17" s="328"/>
      <c r="AG17" s="328"/>
      <c r="AH17" s="328"/>
      <c r="AI17" s="328"/>
      <c r="AJ17" s="329"/>
      <c r="AK17" s="237"/>
    </row>
    <row r="18" spans="2:37" ht="27.6" x14ac:dyDescent="0.25">
      <c r="B18" s="99" t="s">
        <v>925</v>
      </c>
      <c r="C18" s="97" t="s">
        <v>926</v>
      </c>
      <c r="D18" s="97" t="s">
        <v>1685</v>
      </c>
      <c r="E18" s="98" t="s">
        <v>1686</v>
      </c>
      <c r="F18" s="97" t="s">
        <v>1687</v>
      </c>
      <c r="G18" s="97" t="s">
        <v>1676</v>
      </c>
      <c r="H18" s="98" t="s">
        <v>1684</v>
      </c>
      <c r="I18" s="288">
        <v>2</v>
      </c>
      <c r="J18" s="407">
        <v>2.4</v>
      </c>
      <c r="K18" s="328">
        <v>2.4</v>
      </c>
      <c r="L18" s="328">
        <v>2.4</v>
      </c>
      <c r="M18" s="328">
        <v>2.4</v>
      </c>
      <c r="N18" s="328">
        <v>2.4</v>
      </c>
      <c r="O18" s="328">
        <v>2.4</v>
      </c>
      <c r="P18" s="328">
        <v>2.4</v>
      </c>
      <c r="Q18" s="407">
        <v>2.4</v>
      </c>
      <c r="R18" s="328">
        <v>2.4</v>
      </c>
      <c r="S18" s="328">
        <v>2.4</v>
      </c>
      <c r="T18" s="328">
        <v>2.4</v>
      </c>
      <c r="U18" s="328">
        <v>2.4</v>
      </c>
      <c r="V18" s="328">
        <v>2.4</v>
      </c>
      <c r="W18" s="328">
        <v>2.4</v>
      </c>
      <c r="X18" s="407">
        <v>2.4</v>
      </c>
      <c r="Y18" s="328">
        <v>2.4</v>
      </c>
      <c r="Z18" s="328">
        <v>2.4</v>
      </c>
      <c r="AA18" s="328">
        <v>2.4</v>
      </c>
      <c r="AB18" s="328">
        <v>2.4</v>
      </c>
      <c r="AC18" s="328">
        <v>2.4</v>
      </c>
      <c r="AD18" s="328">
        <v>2.4</v>
      </c>
      <c r="AE18" s="327"/>
      <c r="AF18" s="328"/>
      <c r="AG18" s="328"/>
      <c r="AH18" s="328"/>
      <c r="AI18" s="328"/>
      <c r="AJ18" s="329"/>
      <c r="AK18" s="237"/>
    </row>
    <row r="19" spans="2:37" ht="27.6" x14ac:dyDescent="0.25">
      <c r="B19" s="99" t="s">
        <v>927</v>
      </c>
      <c r="C19" s="97" t="s">
        <v>1681</v>
      </c>
      <c r="D19" s="97" t="s">
        <v>1682</v>
      </c>
      <c r="E19" s="98" t="s">
        <v>915</v>
      </c>
      <c r="F19" s="97" t="s">
        <v>1683</v>
      </c>
      <c r="G19" s="97" t="s">
        <v>1676</v>
      </c>
      <c r="H19" s="98" t="s">
        <v>146</v>
      </c>
      <c r="I19" s="288">
        <v>2</v>
      </c>
      <c r="J19" s="407">
        <v>0.33</v>
      </c>
      <c r="K19" s="328">
        <v>0.33</v>
      </c>
      <c r="L19" s="328">
        <v>0.33</v>
      </c>
      <c r="M19" s="328">
        <v>0.33</v>
      </c>
      <c r="N19" s="328">
        <v>0.33</v>
      </c>
      <c r="O19" s="328">
        <v>0.33</v>
      </c>
      <c r="P19" s="328">
        <v>0.33</v>
      </c>
      <c r="Q19" s="407">
        <v>0.21</v>
      </c>
      <c r="R19" s="328">
        <v>0.21</v>
      </c>
      <c r="S19" s="328">
        <v>0.21</v>
      </c>
      <c r="T19" s="328">
        <v>0.21</v>
      </c>
      <c r="U19" s="328">
        <v>0.21</v>
      </c>
      <c r="V19" s="328">
        <v>0.21</v>
      </c>
      <c r="W19" s="328">
        <v>0.21</v>
      </c>
      <c r="X19" s="407">
        <v>0.33</v>
      </c>
      <c r="Y19" s="328">
        <v>0.33</v>
      </c>
      <c r="Z19" s="328">
        <v>0.33</v>
      </c>
      <c r="AA19" s="328">
        <v>0.33</v>
      </c>
      <c r="AB19" s="328">
        <v>0.33</v>
      </c>
      <c r="AC19" s="328">
        <v>0.33</v>
      </c>
      <c r="AD19" s="328">
        <v>0.33</v>
      </c>
      <c r="AE19" s="327"/>
      <c r="AF19" s="328"/>
      <c r="AG19" s="328"/>
      <c r="AH19" s="328"/>
      <c r="AI19" s="328"/>
      <c r="AJ19" s="329"/>
      <c r="AK19" s="237"/>
    </row>
    <row r="20" spans="2:37" ht="151.80000000000001" x14ac:dyDescent="0.25">
      <c r="B20" s="99" t="s">
        <v>928</v>
      </c>
      <c r="C20" s="97" t="s">
        <v>929</v>
      </c>
      <c r="D20" s="97" t="s">
        <v>1689</v>
      </c>
      <c r="E20" s="98" t="s">
        <v>919</v>
      </c>
      <c r="F20" s="97" t="s">
        <v>1688</v>
      </c>
      <c r="G20" s="97" t="s">
        <v>1676</v>
      </c>
      <c r="H20" s="98" t="s">
        <v>146</v>
      </c>
      <c r="I20" s="288">
        <v>2</v>
      </c>
      <c r="J20" s="408">
        <v>0.91</v>
      </c>
      <c r="K20" s="328">
        <v>0.91</v>
      </c>
      <c r="L20" s="328">
        <v>0.91</v>
      </c>
      <c r="M20" s="328">
        <v>0.91</v>
      </c>
      <c r="N20" s="328">
        <v>0.91</v>
      </c>
      <c r="O20" s="328">
        <v>0.91</v>
      </c>
      <c r="P20" s="328">
        <v>0.91</v>
      </c>
      <c r="Q20" s="407">
        <v>0.41</v>
      </c>
      <c r="R20" s="328">
        <v>0.41</v>
      </c>
      <c r="S20" s="328">
        <v>0.41</v>
      </c>
      <c r="T20" s="328">
        <v>0.41</v>
      </c>
      <c r="U20" s="328">
        <v>0.41</v>
      </c>
      <c r="V20" s="328">
        <v>0.41</v>
      </c>
      <c r="W20" s="328">
        <v>0.41</v>
      </c>
      <c r="X20" s="407">
        <v>0.91</v>
      </c>
      <c r="Y20" s="328">
        <v>0.91</v>
      </c>
      <c r="Z20" s="328">
        <v>0.91</v>
      </c>
      <c r="AA20" s="328">
        <v>0.91</v>
      </c>
      <c r="AB20" s="328">
        <v>0.91</v>
      </c>
      <c r="AC20" s="328">
        <v>0.91</v>
      </c>
      <c r="AD20" s="328">
        <v>0.91</v>
      </c>
      <c r="AE20" s="327"/>
      <c r="AF20" s="328"/>
      <c r="AG20" s="328"/>
      <c r="AH20" s="328"/>
      <c r="AI20" s="328"/>
      <c r="AJ20" s="329"/>
      <c r="AK20" s="237"/>
    </row>
    <row r="21" spans="2:37" ht="27.6" x14ac:dyDescent="0.25">
      <c r="B21" s="99" t="s">
        <v>930</v>
      </c>
      <c r="C21" s="97" t="s">
        <v>931</v>
      </c>
      <c r="D21" s="97" t="s">
        <v>1690</v>
      </c>
      <c r="E21" s="98"/>
      <c r="F21" s="97" t="s">
        <v>916</v>
      </c>
      <c r="G21" s="97"/>
      <c r="H21" s="98"/>
      <c r="I21" s="288">
        <v>2</v>
      </c>
      <c r="J21" s="407">
        <v>0</v>
      </c>
      <c r="K21" s="328">
        <v>0</v>
      </c>
      <c r="L21" s="328">
        <v>0</v>
      </c>
      <c r="M21" s="328">
        <v>0</v>
      </c>
      <c r="N21" s="328">
        <v>0</v>
      </c>
      <c r="O21" s="328">
        <v>0</v>
      </c>
      <c r="P21" s="329">
        <v>0</v>
      </c>
      <c r="Q21" s="407">
        <v>0</v>
      </c>
      <c r="R21" s="328">
        <v>0</v>
      </c>
      <c r="S21" s="328">
        <v>0</v>
      </c>
      <c r="T21" s="328">
        <v>0</v>
      </c>
      <c r="U21" s="328">
        <v>0</v>
      </c>
      <c r="V21" s="329">
        <v>0</v>
      </c>
      <c r="W21" s="329">
        <v>0</v>
      </c>
      <c r="X21" s="407">
        <v>0</v>
      </c>
      <c r="Y21" s="328">
        <v>0</v>
      </c>
      <c r="Z21" s="328">
        <v>0</v>
      </c>
      <c r="AA21" s="328">
        <v>0</v>
      </c>
      <c r="AB21" s="328">
        <v>0</v>
      </c>
      <c r="AC21" s="329">
        <v>0</v>
      </c>
      <c r="AD21" s="329">
        <v>0</v>
      </c>
      <c r="AE21" s="327"/>
      <c r="AF21" s="328"/>
      <c r="AG21" s="328"/>
      <c r="AH21" s="328"/>
      <c r="AI21" s="328"/>
      <c r="AJ21" s="329"/>
      <c r="AK21" s="237"/>
    </row>
    <row r="22" spans="2:37" ht="28.2" thickBot="1" x14ac:dyDescent="0.3">
      <c r="B22" s="101" t="s">
        <v>932</v>
      </c>
      <c r="C22" s="102" t="s">
        <v>933</v>
      </c>
      <c r="D22" s="103" t="s">
        <v>934</v>
      </c>
      <c r="E22" s="104"/>
      <c r="F22" s="105"/>
      <c r="G22" s="105"/>
      <c r="H22" s="105" t="s">
        <v>146</v>
      </c>
      <c r="I22" s="289">
        <v>2</v>
      </c>
      <c r="J22" s="333">
        <f>SUM($J13:$J21)</f>
        <v>20.069983379828397</v>
      </c>
      <c r="K22" s="334">
        <f>SUM($K13:$K21)</f>
        <v>13.076310823474611</v>
      </c>
      <c r="L22" s="334">
        <f>SUM($L13:$L21)</f>
        <v>13.081439110975303</v>
      </c>
      <c r="M22" s="334">
        <f>SUM($M13:$M21)</f>
        <v>13.081138965126797</v>
      </c>
      <c r="N22" s="334">
        <f>SUM($N13:$N21)</f>
        <v>13.110025460049162</v>
      </c>
      <c r="O22" s="334">
        <f>SUM($O13:$O21)</f>
        <v>13.150653386755089</v>
      </c>
      <c r="P22" s="335">
        <f>SUM($P13:$P21)</f>
        <v>13.176388551292396</v>
      </c>
      <c r="Q22" s="336">
        <f>SUM($Q13:$Q21)</f>
        <v>16.549983379828397</v>
      </c>
      <c r="R22" s="337">
        <f>SUM($R13:$R21)</f>
        <v>9.556310823474611</v>
      </c>
      <c r="S22" s="337">
        <f>SUM($S13:$S21)</f>
        <v>9.5614391109753036</v>
      </c>
      <c r="T22" s="337">
        <f>SUM($T13:$T21)</f>
        <v>9.5611389651267977</v>
      </c>
      <c r="U22" s="337">
        <f>SUM($U13:$U21)</f>
        <v>9.5900254600491621</v>
      </c>
      <c r="V22" s="338">
        <f>SUM($V13:$V21)</f>
        <v>9.630653386755089</v>
      </c>
      <c r="W22" s="337">
        <f>SUM($W13:$W21)</f>
        <v>9.6563885512923964</v>
      </c>
      <c r="X22" s="339">
        <f>SUM($X13:$X21)</f>
        <v>14.569983379828399</v>
      </c>
      <c r="Y22" s="337">
        <f>SUM($Y13:$Y21)</f>
        <v>7.5763108234746106</v>
      </c>
      <c r="Z22" s="337">
        <f>SUM($Z13:$Z21)</f>
        <v>7.5814391109753032</v>
      </c>
      <c r="AA22" s="337">
        <f>SUM($AA13:$AA21)</f>
        <v>7.5811389651267955</v>
      </c>
      <c r="AB22" s="337">
        <f>SUM($AB13:$AB21)</f>
        <v>7.6100254600491617</v>
      </c>
      <c r="AC22" s="338">
        <f>SUM($AC13:$AC21)</f>
        <v>7.6506533867550885</v>
      </c>
      <c r="AD22" s="338">
        <f>SUM($AD13:$AD21)</f>
        <v>7.6763885512923959</v>
      </c>
      <c r="AE22" s="339">
        <f>SUM($AE13:$AE21)</f>
        <v>0</v>
      </c>
      <c r="AF22" s="337">
        <f>SUM($AF13:$AF21)</f>
        <v>0</v>
      </c>
      <c r="AG22" s="337">
        <f>SUM($AG13:$AG21)</f>
        <v>0</v>
      </c>
      <c r="AH22" s="337">
        <f>SUM($AH13:$AH21)</f>
        <v>0</v>
      </c>
      <c r="AI22" s="337">
        <f>SUM($AI13:$AI21)</f>
        <v>0</v>
      </c>
      <c r="AJ22" s="338">
        <f>SUM($AJ13:$AJ21)</f>
        <v>0</v>
      </c>
      <c r="AK22" s="238">
        <f>SUM($AK13:$AK21)</f>
        <v>0</v>
      </c>
    </row>
    <row r="23" spans="2:37" ht="28.2" thickBot="1" x14ac:dyDescent="0.3">
      <c r="B23" s="91" t="s">
        <v>904</v>
      </c>
      <c r="C23" s="92" t="s">
        <v>116</v>
      </c>
      <c r="D23" s="106" t="s">
        <v>64</v>
      </c>
      <c r="E23" s="106" t="s">
        <v>760</v>
      </c>
      <c r="F23" s="106" t="s">
        <v>760</v>
      </c>
      <c r="G23" s="215"/>
      <c r="H23" s="92" t="s">
        <v>117</v>
      </c>
      <c r="I23" s="106" t="s">
        <v>118</v>
      </c>
      <c r="J23" s="1161" t="s">
        <v>911</v>
      </c>
      <c r="K23" s="214" t="s">
        <v>124</v>
      </c>
      <c r="L23" s="214" t="s">
        <v>129</v>
      </c>
      <c r="M23" s="214" t="s">
        <v>160</v>
      </c>
      <c r="N23" s="214" t="s">
        <v>164</v>
      </c>
      <c r="O23" s="1162" t="s">
        <v>168</v>
      </c>
      <c r="P23" s="218" t="s">
        <v>172</v>
      </c>
      <c r="Q23" s="267" t="s">
        <v>911</v>
      </c>
      <c r="R23" s="92" t="s">
        <v>124</v>
      </c>
      <c r="S23" s="92" t="s">
        <v>129</v>
      </c>
      <c r="T23" s="92" t="s">
        <v>160</v>
      </c>
      <c r="U23" s="92" t="s">
        <v>164</v>
      </c>
      <c r="V23" s="218" t="s">
        <v>168</v>
      </c>
      <c r="W23" s="218" t="s">
        <v>172</v>
      </c>
      <c r="X23" s="220" t="s">
        <v>911</v>
      </c>
      <c r="Y23" s="92" t="s">
        <v>124</v>
      </c>
      <c r="Z23" s="92" t="s">
        <v>129</v>
      </c>
      <c r="AA23" s="92" t="s">
        <v>160</v>
      </c>
      <c r="AB23" s="92" t="s">
        <v>164</v>
      </c>
      <c r="AC23" s="412" t="s">
        <v>168</v>
      </c>
      <c r="AD23" s="218" t="s">
        <v>172</v>
      </c>
      <c r="AE23" s="220" t="s">
        <v>911</v>
      </c>
      <c r="AF23" s="214" t="s">
        <v>124</v>
      </c>
      <c r="AG23" s="214" t="s">
        <v>129</v>
      </c>
      <c r="AH23" s="214" t="s">
        <v>160</v>
      </c>
      <c r="AI23" s="214" t="s">
        <v>164</v>
      </c>
      <c r="AJ23" s="219" t="s">
        <v>168</v>
      </c>
      <c r="AK23" s="415" t="s">
        <v>172</v>
      </c>
    </row>
    <row r="24" spans="2:37" x14ac:dyDescent="0.25">
      <c r="B24" s="107" t="s">
        <v>935</v>
      </c>
      <c r="C24" s="108" t="s">
        <v>936</v>
      </c>
      <c r="D24" s="1138" t="s">
        <v>937</v>
      </c>
      <c r="E24" s="109"/>
      <c r="F24" s="109"/>
      <c r="G24" s="413"/>
      <c r="H24" s="110" t="s">
        <v>146</v>
      </c>
      <c r="I24" s="290">
        <v>2</v>
      </c>
      <c r="J24" s="1146" t="s">
        <v>760</v>
      </c>
      <c r="K24" s="1147">
        <v>0</v>
      </c>
      <c r="L24" s="1148">
        <v>0</v>
      </c>
      <c r="M24" s="1148">
        <v>0</v>
      </c>
      <c r="N24" s="1148">
        <v>0</v>
      </c>
      <c r="O24" s="1148">
        <v>0</v>
      </c>
      <c r="P24" s="1149">
        <v>0</v>
      </c>
      <c r="Q24" s="1159" t="s">
        <v>760</v>
      </c>
      <c r="R24" s="232">
        <v>0</v>
      </c>
      <c r="S24" s="233">
        <v>0</v>
      </c>
      <c r="T24" s="233">
        <v>0</v>
      </c>
      <c r="U24" s="234">
        <v>0</v>
      </c>
      <c r="V24" s="410">
        <v>0</v>
      </c>
      <c r="W24" s="422">
        <v>0</v>
      </c>
      <c r="X24" s="419" t="s">
        <v>760</v>
      </c>
      <c r="Y24" s="232">
        <v>0</v>
      </c>
      <c r="Z24" s="233">
        <v>0</v>
      </c>
      <c r="AA24" s="233">
        <v>0</v>
      </c>
      <c r="AB24" s="234">
        <v>0</v>
      </c>
      <c r="AC24" s="266">
        <v>0</v>
      </c>
      <c r="AD24" s="411">
        <v>0</v>
      </c>
      <c r="AE24" s="414" t="s">
        <v>760</v>
      </c>
      <c r="AF24" s="410">
        <v>0</v>
      </c>
      <c r="AG24" s="410">
        <v>0</v>
      </c>
      <c r="AH24" s="410">
        <v>0</v>
      </c>
      <c r="AI24" s="410">
        <v>0</v>
      </c>
      <c r="AJ24" s="410">
        <v>0</v>
      </c>
      <c r="AK24" s="411">
        <v>0</v>
      </c>
    </row>
    <row r="25" spans="2:37" x14ac:dyDescent="0.25">
      <c r="B25" s="111" t="s">
        <v>938</v>
      </c>
      <c r="C25" s="112" t="s">
        <v>939</v>
      </c>
      <c r="D25" s="113" t="s">
        <v>940</v>
      </c>
      <c r="E25" s="113"/>
      <c r="F25" s="113"/>
      <c r="G25" s="216"/>
      <c r="H25" s="110" t="s">
        <v>146</v>
      </c>
      <c r="I25" s="291">
        <v>2</v>
      </c>
      <c r="J25" s="1150"/>
      <c r="K25" s="221">
        <f>BWXBRS!$L$175+$K24</f>
        <v>278.93413189404333</v>
      </c>
      <c r="L25" s="222">
        <f>BWXBRS!$Q$175+$L24</f>
        <v>265.94861981021927</v>
      </c>
      <c r="M25" s="222">
        <f>BWXBRS!$V$175+$M24</f>
        <v>240.98036691958609</v>
      </c>
      <c r="N25" s="222">
        <f>BWXBRS!$AA$175+$N24</f>
        <v>227.48086875286799</v>
      </c>
      <c r="O25" s="222">
        <f>BWXBRS!$AF$175+$O24</f>
        <v>221.44676260417864</v>
      </c>
      <c r="P25" s="1151">
        <f>BWXBRS!$AK$175+$P24</f>
        <v>220.23570276423536</v>
      </c>
      <c r="Q25" s="423" t="s">
        <v>760</v>
      </c>
      <c r="R25" s="232">
        <v>0</v>
      </c>
      <c r="S25" s="233">
        <v>0</v>
      </c>
      <c r="T25" s="233">
        <v>0</v>
      </c>
      <c r="U25" s="234">
        <v>0</v>
      </c>
      <c r="V25" s="230">
        <v>0</v>
      </c>
      <c r="W25" s="231">
        <v>0</v>
      </c>
      <c r="X25" s="420" t="s">
        <v>760</v>
      </c>
      <c r="Y25" s="232">
        <v>0</v>
      </c>
      <c r="Z25" s="233">
        <v>0</v>
      </c>
      <c r="AA25" s="233">
        <v>0</v>
      </c>
      <c r="AB25" s="234">
        <v>0</v>
      </c>
      <c r="AC25" s="230">
        <v>0</v>
      </c>
      <c r="AD25" s="231">
        <v>0</v>
      </c>
      <c r="AE25" s="235" t="s">
        <v>760</v>
      </c>
      <c r="AF25" s="230">
        <v>0</v>
      </c>
      <c r="AG25" s="230">
        <v>0</v>
      </c>
      <c r="AH25" s="230">
        <v>0</v>
      </c>
      <c r="AI25" s="230">
        <v>0</v>
      </c>
      <c r="AJ25" s="230">
        <v>0</v>
      </c>
      <c r="AK25" s="239">
        <v>0</v>
      </c>
    </row>
    <row r="26" spans="2:37" ht="27.6" x14ac:dyDescent="0.25">
      <c r="B26" s="111" t="s">
        <v>941</v>
      </c>
      <c r="C26" s="110" t="s">
        <v>297</v>
      </c>
      <c r="D26" s="113" t="s">
        <v>942</v>
      </c>
      <c r="E26" s="113"/>
      <c r="F26" s="113"/>
      <c r="G26" s="216"/>
      <c r="H26" s="110" t="s">
        <v>146</v>
      </c>
      <c r="I26" s="291">
        <v>2</v>
      </c>
      <c r="J26" s="1152" t="s">
        <v>760</v>
      </c>
      <c r="K26" s="1141">
        <f>BWXBRS!$L$131-(BWXBRS!$L$102+BWXBRS!$L$103)+$K22</f>
        <v>330.43381082347463</v>
      </c>
      <c r="L26" s="1141">
        <f>BWXBRS!$Q$131-(BWXBRS!$Q$102+BWXBRS!$Q$103)+$L22</f>
        <v>327.4076891109753</v>
      </c>
      <c r="M26" s="1141">
        <f>BWXBRS!$V$131-(BWXBRS!$V$102+BWXBRS!$V$103)+$M22</f>
        <v>323.75613896512681</v>
      </c>
      <c r="N26" s="1141">
        <f>BWXBRS!$AA$131-(BWXBRS!$AA$102+BWXBRS!$AA$103)+$N22</f>
        <v>321.75377546004916</v>
      </c>
      <c r="O26" s="1141">
        <f>BWXBRS!$AF$131-(BWXBRS!$AF$102+BWXBRS!$AF$103)+$O22</f>
        <v>319.81315338675512</v>
      </c>
      <c r="P26" s="1352">
        <f>BWXBRS!$AK$131-(BWXBRS!$AK$102+BWXBRS!$AK$103)+$P22</f>
        <v>317.80763855129243</v>
      </c>
      <c r="Q26" s="423" t="s">
        <v>760</v>
      </c>
      <c r="R26" s="232">
        <v>0</v>
      </c>
      <c r="S26" s="233">
        <v>0</v>
      </c>
      <c r="T26" s="233">
        <v>0</v>
      </c>
      <c r="U26" s="234">
        <v>0</v>
      </c>
      <c r="V26" s="230">
        <v>0</v>
      </c>
      <c r="W26" s="231">
        <v>0</v>
      </c>
      <c r="X26" s="420" t="s">
        <v>760</v>
      </c>
      <c r="Y26" s="232">
        <v>0</v>
      </c>
      <c r="Z26" s="233">
        <v>0</v>
      </c>
      <c r="AA26" s="233">
        <v>0</v>
      </c>
      <c r="AB26" s="234">
        <v>0</v>
      </c>
      <c r="AC26" s="230">
        <v>0</v>
      </c>
      <c r="AD26" s="231">
        <v>0</v>
      </c>
      <c r="AE26" s="235" t="s">
        <v>760</v>
      </c>
      <c r="AF26" s="230">
        <v>0</v>
      </c>
      <c r="AG26" s="230">
        <v>0</v>
      </c>
      <c r="AH26" s="230">
        <v>0</v>
      </c>
      <c r="AI26" s="230">
        <v>0</v>
      </c>
      <c r="AJ26" s="230">
        <v>0</v>
      </c>
      <c r="AK26" s="239">
        <v>0</v>
      </c>
    </row>
    <row r="27" spans="2:37" ht="27.6" x14ac:dyDescent="0.25">
      <c r="B27" s="107" t="s">
        <v>943</v>
      </c>
      <c r="C27" s="114" t="s">
        <v>944</v>
      </c>
      <c r="D27" s="1138" t="s">
        <v>945</v>
      </c>
      <c r="E27" s="109"/>
      <c r="F27" s="109"/>
      <c r="G27" s="216"/>
      <c r="H27" s="114" t="s">
        <v>146</v>
      </c>
      <c r="I27" s="292">
        <v>2</v>
      </c>
      <c r="J27" s="1152" t="s">
        <v>760</v>
      </c>
      <c r="K27" s="1140">
        <v>0</v>
      </c>
      <c r="L27" s="1140">
        <v>0</v>
      </c>
      <c r="M27" s="1140">
        <v>0</v>
      </c>
      <c r="N27" s="1140">
        <v>0</v>
      </c>
      <c r="O27" s="1140">
        <v>0</v>
      </c>
      <c r="P27" s="1153">
        <v>0</v>
      </c>
      <c r="Q27" s="423" t="s">
        <v>760</v>
      </c>
      <c r="R27" s="232">
        <v>0</v>
      </c>
      <c r="S27" s="233">
        <v>0</v>
      </c>
      <c r="T27" s="233">
        <v>0</v>
      </c>
      <c r="U27" s="234">
        <v>0</v>
      </c>
      <c r="V27" s="230">
        <v>0</v>
      </c>
      <c r="W27" s="424">
        <v>0</v>
      </c>
      <c r="X27" s="423" t="s">
        <v>760</v>
      </c>
      <c r="Y27" s="232">
        <v>0</v>
      </c>
      <c r="Z27" s="233">
        <v>0</v>
      </c>
      <c r="AA27" s="233">
        <v>0</v>
      </c>
      <c r="AB27" s="234">
        <v>0</v>
      </c>
      <c r="AC27" s="230">
        <v>0</v>
      </c>
      <c r="AD27" s="231">
        <v>0</v>
      </c>
      <c r="AE27" s="235" t="s">
        <v>760</v>
      </c>
      <c r="AF27" s="230">
        <v>0</v>
      </c>
      <c r="AG27" s="230">
        <v>0</v>
      </c>
      <c r="AH27" s="230">
        <v>0</v>
      </c>
      <c r="AI27" s="230">
        <v>0</v>
      </c>
      <c r="AJ27" s="230">
        <v>0</v>
      </c>
      <c r="AK27" s="239">
        <v>0</v>
      </c>
    </row>
    <row r="28" spans="2:37" x14ac:dyDescent="0.25">
      <c r="B28" s="111" t="s">
        <v>946</v>
      </c>
      <c r="C28" s="112" t="s">
        <v>300</v>
      </c>
      <c r="D28" s="113" t="s">
        <v>947</v>
      </c>
      <c r="E28" s="113"/>
      <c r="F28" s="113"/>
      <c r="G28" s="216"/>
      <c r="H28" s="110" t="s">
        <v>146</v>
      </c>
      <c r="I28" s="291">
        <v>2</v>
      </c>
      <c r="J28" s="1152" t="s">
        <v>760</v>
      </c>
      <c r="K28" s="1141">
        <f>K26+SUM(BWXBRS!$L$124:$L$127)+K27</f>
        <v>320.31381082347463</v>
      </c>
      <c r="L28" s="1141">
        <f>L26+SUM(BWXBRS!$Q$124:$Q$127)+L27</f>
        <v>324.25768911097532</v>
      </c>
      <c r="M28" s="1141">
        <f>M26+SUM(BWXBRS!$V$124:$V$127)+M27</f>
        <v>320.60613896512683</v>
      </c>
      <c r="N28" s="1141">
        <f>N26+SUM(BWXBRS!$AA$124:$AA$127)+N27</f>
        <v>314.60377546004918</v>
      </c>
      <c r="O28" s="1141">
        <f>O26+SUM(BWXBRS!$AF$124:$AF$127)+O27</f>
        <v>312.66315338675514</v>
      </c>
      <c r="P28" s="1154">
        <f>P26+SUM(BWXBRS!$AK$124:$AK$127)+P27</f>
        <v>310.65763855129245</v>
      </c>
      <c r="Q28" s="423" t="s">
        <v>760</v>
      </c>
      <c r="R28" s="232">
        <v>0</v>
      </c>
      <c r="S28" s="233">
        <v>0</v>
      </c>
      <c r="T28" s="233">
        <v>0</v>
      </c>
      <c r="U28" s="234">
        <v>0</v>
      </c>
      <c r="V28" s="230">
        <v>0</v>
      </c>
      <c r="W28" s="231">
        <v>0</v>
      </c>
      <c r="X28" s="420" t="s">
        <v>760</v>
      </c>
      <c r="Y28" s="232">
        <v>0</v>
      </c>
      <c r="Z28" s="233">
        <v>0</v>
      </c>
      <c r="AA28" s="233">
        <v>0</v>
      </c>
      <c r="AB28" s="234">
        <v>0</v>
      </c>
      <c r="AC28" s="230">
        <v>0</v>
      </c>
      <c r="AD28" s="231">
        <v>0</v>
      </c>
      <c r="AE28" s="235" t="s">
        <v>760</v>
      </c>
      <c r="AF28" s="230">
        <v>0</v>
      </c>
      <c r="AG28" s="230">
        <v>0</v>
      </c>
      <c r="AH28" s="230">
        <v>0</v>
      </c>
      <c r="AI28" s="230">
        <v>0</v>
      </c>
      <c r="AJ28" s="230">
        <v>0</v>
      </c>
      <c r="AK28" s="239">
        <v>0</v>
      </c>
    </row>
    <row r="29" spans="2:37" x14ac:dyDescent="0.25">
      <c r="B29" s="111" t="s">
        <v>948</v>
      </c>
      <c r="C29" s="112" t="s">
        <v>294</v>
      </c>
      <c r="D29" s="113" t="s">
        <v>681</v>
      </c>
      <c r="E29" s="113"/>
      <c r="F29" s="113"/>
      <c r="G29" s="216"/>
      <c r="H29" s="110" t="s">
        <v>146</v>
      </c>
      <c r="I29" s="291">
        <v>2</v>
      </c>
      <c r="J29" s="1152" t="s">
        <v>760</v>
      </c>
      <c r="K29" s="1141">
        <f>BWXBRS!$L$178</f>
        <v>14.044624468896783</v>
      </c>
      <c r="L29" s="1141">
        <f>BWXBRS!$Q$178</f>
        <v>12.386436241809495</v>
      </c>
      <c r="M29" s="1141">
        <f>BWXBRS!$V$178</f>
        <v>11.550265972794595</v>
      </c>
      <c r="N29" s="1141">
        <f>BWXBRS!$AA$178</f>
        <v>10.856340791949776</v>
      </c>
      <c r="O29" s="1141">
        <f>BWXBRS!$AF$178</f>
        <v>10.049014820459051</v>
      </c>
      <c r="P29" s="1154">
        <f>BWXBRS!$AK$178</f>
        <v>9.4128046302053967</v>
      </c>
      <c r="Q29" s="423" t="s">
        <v>760</v>
      </c>
      <c r="R29" s="232">
        <v>0</v>
      </c>
      <c r="S29" s="233">
        <v>0</v>
      </c>
      <c r="T29" s="233">
        <v>0</v>
      </c>
      <c r="U29" s="234">
        <v>0</v>
      </c>
      <c r="V29" s="230">
        <v>0</v>
      </c>
      <c r="W29" s="424">
        <v>0</v>
      </c>
      <c r="X29" s="423" t="s">
        <v>760</v>
      </c>
      <c r="Y29" s="232">
        <v>0</v>
      </c>
      <c r="Z29" s="233">
        <v>0</v>
      </c>
      <c r="AA29" s="233">
        <v>0</v>
      </c>
      <c r="AB29" s="234">
        <v>0</v>
      </c>
      <c r="AC29" s="230">
        <v>0</v>
      </c>
      <c r="AD29" s="231">
        <v>0</v>
      </c>
      <c r="AE29" s="235" t="s">
        <v>760</v>
      </c>
      <c r="AF29" s="230">
        <v>0</v>
      </c>
      <c r="AG29" s="230">
        <v>0</v>
      </c>
      <c r="AH29" s="230">
        <v>0</v>
      </c>
      <c r="AI29" s="230">
        <v>0</v>
      </c>
      <c r="AJ29" s="230">
        <v>0</v>
      </c>
      <c r="AK29" s="239">
        <v>0</v>
      </c>
    </row>
    <row r="30" spans="2:37" x14ac:dyDescent="0.25">
      <c r="B30" s="107" t="s">
        <v>949</v>
      </c>
      <c r="C30" s="108" t="s">
        <v>950</v>
      </c>
      <c r="D30" s="1139" t="s">
        <v>951</v>
      </c>
      <c r="E30" s="115"/>
      <c r="F30" s="115"/>
      <c r="G30" s="217"/>
      <c r="H30" s="114" t="s">
        <v>146</v>
      </c>
      <c r="I30" s="292">
        <v>2</v>
      </c>
      <c r="J30" s="1152"/>
      <c r="K30" s="1140"/>
      <c r="L30" s="1140"/>
      <c r="M30" s="1140"/>
      <c r="N30" s="1140"/>
      <c r="O30" s="1140"/>
      <c r="P30" s="1153"/>
      <c r="Q30" s="423" t="s">
        <v>760</v>
      </c>
      <c r="R30" s="232">
        <v>0</v>
      </c>
      <c r="S30" s="233">
        <v>0</v>
      </c>
      <c r="T30" s="233">
        <v>0</v>
      </c>
      <c r="U30" s="234">
        <v>0</v>
      </c>
      <c r="V30" s="230">
        <v>0</v>
      </c>
      <c r="W30" s="424">
        <v>0</v>
      </c>
      <c r="X30" s="423" t="s">
        <v>760</v>
      </c>
      <c r="Y30" s="232">
        <v>0</v>
      </c>
      <c r="Z30" s="233">
        <v>0</v>
      </c>
      <c r="AA30" s="233">
        <v>0</v>
      </c>
      <c r="AB30" s="234">
        <v>0</v>
      </c>
      <c r="AC30" s="230">
        <v>0</v>
      </c>
      <c r="AD30" s="231">
        <v>0</v>
      </c>
      <c r="AE30" s="235" t="s">
        <v>760</v>
      </c>
      <c r="AF30" s="230">
        <v>0</v>
      </c>
      <c r="AG30" s="230">
        <v>0</v>
      </c>
      <c r="AH30" s="230">
        <v>0</v>
      </c>
      <c r="AI30" s="230">
        <v>0</v>
      </c>
      <c r="AJ30" s="230">
        <v>0</v>
      </c>
      <c r="AK30" s="239">
        <v>0</v>
      </c>
    </row>
    <row r="31" spans="2:37" x14ac:dyDescent="0.25">
      <c r="B31" s="111" t="s">
        <v>952</v>
      </c>
      <c r="C31" s="112" t="s">
        <v>507</v>
      </c>
      <c r="D31" s="113" t="s">
        <v>953</v>
      </c>
      <c r="E31" s="113"/>
      <c r="F31" s="113"/>
      <c r="G31" s="216"/>
      <c r="H31" s="110" t="s">
        <v>146</v>
      </c>
      <c r="I31" s="291">
        <v>2</v>
      </c>
      <c r="J31" s="1152"/>
      <c r="K31" s="1141">
        <f>$K28-$K25</f>
        <v>41.379678929431293</v>
      </c>
      <c r="L31" s="1141">
        <f>$L28-$L25</f>
        <v>58.30906930075605</v>
      </c>
      <c r="M31" s="1141">
        <f>$M28-$M25</f>
        <v>79.625772045540742</v>
      </c>
      <c r="N31" s="1141">
        <f>$N28-$N25</f>
        <v>87.122906707181187</v>
      </c>
      <c r="O31" s="1141">
        <f>$O28-$O25</f>
        <v>91.216390782576497</v>
      </c>
      <c r="P31" s="1154">
        <f>$P28-$P25</f>
        <v>90.421935787057095</v>
      </c>
      <c r="Q31" s="423" t="s">
        <v>760</v>
      </c>
      <c r="R31" s="232">
        <v>0</v>
      </c>
      <c r="S31" s="233">
        <v>0</v>
      </c>
      <c r="T31" s="233">
        <v>0</v>
      </c>
      <c r="U31" s="234">
        <v>0</v>
      </c>
      <c r="V31" s="230">
        <v>0</v>
      </c>
      <c r="W31" s="424">
        <v>0</v>
      </c>
      <c r="X31" s="423" t="s">
        <v>760</v>
      </c>
      <c r="Y31" s="232">
        <v>0</v>
      </c>
      <c r="Z31" s="233">
        <v>0</v>
      </c>
      <c r="AA31" s="233">
        <v>0</v>
      </c>
      <c r="AB31" s="234">
        <v>0</v>
      </c>
      <c r="AC31" s="230">
        <v>0</v>
      </c>
      <c r="AD31" s="231">
        <v>0</v>
      </c>
      <c r="AE31" s="235" t="s">
        <v>760</v>
      </c>
      <c r="AF31" s="230">
        <v>0</v>
      </c>
      <c r="AG31" s="230">
        <v>0</v>
      </c>
      <c r="AH31" s="230">
        <v>0</v>
      </c>
      <c r="AI31" s="230">
        <v>0</v>
      </c>
      <c r="AJ31" s="230">
        <v>0</v>
      </c>
      <c r="AK31" s="239">
        <v>0</v>
      </c>
    </row>
    <row r="32" spans="2:37" ht="14.4" thickBot="1" x14ac:dyDescent="0.3">
      <c r="B32" s="227" t="s">
        <v>954</v>
      </c>
      <c r="C32" s="228" t="s">
        <v>303</v>
      </c>
      <c r="D32" s="229" t="s">
        <v>955</v>
      </c>
      <c r="E32" s="223"/>
      <c r="F32" s="223"/>
      <c r="G32" s="224"/>
      <c r="H32" s="225" t="s">
        <v>146</v>
      </c>
      <c r="I32" s="293">
        <v>2</v>
      </c>
      <c r="J32" s="1155"/>
      <c r="K32" s="1156">
        <f>$K31-($K29+$K30)</f>
        <v>27.335054460534508</v>
      </c>
      <c r="L32" s="1157">
        <f>$L31-($L29+$L30)</f>
        <v>45.922633058946559</v>
      </c>
      <c r="M32" s="1157">
        <f>$M31-($M29+$M30)</f>
        <v>68.075506072746151</v>
      </c>
      <c r="N32" s="1157">
        <f>$N31-($N29+$N30)</f>
        <v>76.266565915231411</v>
      </c>
      <c r="O32" s="1157">
        <f>$O31-($O29+$O30)</f>
        <v>81.167375962117447</v>
      </c>
      <c r="P32" s="1158">
        <f>$P31-($P29+$P30)</f>
        <v>81.009131156851694</v>
      </c>
      <c r="Q32" s="1160" t="s">
        <v>760</v>
      </c>
      <c r="R32" s="232">
        <v>0</v>
      </c>
      <c r="S32" s="233">
        <v>0</v>
      </c>
      <c r="T32" s="233">
        <v>0</v>
      </c>
      <c r="U32" s="234">
        <v>0</v>
      </c>
      <c r="V32" s="230">
        <v>0</v>
      </c>
      <c r="W32" s="231">
        <v>0</v>
      </c>
      <c r="X32" s="421" t="s">
        <v>760</v>
      </c>
      <c r="Y32" s="232">
        <v>0</v>
      </c>
      <c r="Z32" s="233">
        <v>0</v>
      </c>
      <c r="AA32" s="233">
        <v>0</v>
      </c>
      <c r="AB32" s="234">
        <v>0</v>
      </c>
      <c r="AC32" s="230">
        <v>0</v>
      </c>
      <c r="AD32" s="231">
        <v>0</v>
      </c>
      <c r="AE32" s="235" t="s">
        <v>760</v>
      </c>
      <c r="AF32" s="230">
        <v>0</v>
      </c>
      <c r="AG32" s="230">
        <v>0</v>
      </c>
      <c r="AH32" s="230">
        <v>0</v>
      </c>
      <c r="AI32" s="230">
        <v>0</v>
      </c>
      <c r="AJ32" s="230">
        <v>0</v>
      </c>
      <c r="AK32" s="239">
        <v>0</v>
      </c>
    </row>
    <row r="33" spans="2:37" ht="14.4" thickTop="1" x14ac:dyDescent="0.25">
      <c r="B33" s="226"/>
      <c r="C33" s="226"/>
      <c r="D33" s="226"/>
      <c r="E33" s="226"/>
      <c r="F33" s="226"/>
      <c r="G33" s="226"/>
      <c r="H33" s="226"/>
      <c r="I33" s="226"/>
      <c r="Q33" s="409"/>
      <c r="R33" s="226"/>
      <c r="S33" s="226"/>
      <c r="T33" s="226"/>
      <c r="U33" s="226"/>
      <c r="V33" s="226"/>
      <c r="W33" s="226"/>
      <c r="X33" s="409"/>
      <c r="Y33" s="226"/>
      <c r="Z33" s="226"/>
      <c r="AA33" s="226"/>
      <c r="AB33" s="226"/>
      <c r="AC33" s="226"/>
      <c r="AD33" s="226"/>
      <c r="AE33" s="226"/>
      <c r="AF33" s="226"/>
      <c r="AG33" s="226"/>
      <c r="AH33" s="226"/>
      <c r="AI33" s="226"/>
      <c r="AJ33" s="226"/>
      <c r="AK33" s="226"/>
    </row>
  </sheetData>
  <mergeCells count="4">
    <mergeCell ref="J11:P11"/>
    <mergeCell ref="Q11:W11"/>
    <mergeCell ref="X11:AD11"/>
    <mergeCell ref="AE11:AK11"/>
  </mergeCells>
  <hyperlinks>
    <hyperlink ref="B2" location="'6. Drought Plan Links'!$B$11" display="BWXBRS" xr:uid="{00000000-0004-0000-0600-000000000000}"/>
    <hyperlink ref="C11" location="'6. Drought Plan Links'!$A$1" display="Back to top of sheet" xr:uid="{76D0445E-F1E6-4483-BB31-0BFC964B324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131"/>
  <sheetViews>
    <sheetView topLeftCell="A18" zoomScale="80" zoomScaleNormal="80" workbookViewId="0">
      <selection activeCell="G57" sqref="G57"/>
    </sheetView>
  </sheetViews>
  <sheetFormatPr defaultColWidth="8.81640625" defaultRowHeight="13.8" x14ac:dyDescent="0.25"/>
  <cols>
    <col min="1" max="1" width="2.1796875" style="7" customWidth="1"/>
    <col min="2" max="2" width="35.08984375" style="7" customWidth="1"/>
    <col min="3" max="3" width="23.81640625" style="7" customWidth="1"/>
    <col min="4" max="4" width="10.1796875" style="7" customWidth="1"/>
    <col min="5" max="6" width="8.81640625" style="7"/>
    <col min="7" max="7" width="10.54296875" style="7" customWidth="1"/>
    <col min="8" max="8" width="10.6328125" style="7" customWidth="1"/>
    <col min="9" max="9" width="11.90625" style="7" customWidth="1"/>
    <col min="10" max="10" width="9.6328125" style="7" customWidth="1"/>
    <col min="11" max="11" width="10.1796875" style="7" customWidth="1"/>
    <col min="12" max="12" width="10.36328125" style="7" customWidth="1"/>
    <col min="13" max="13" width="8.81640625" style="7"/>
    <col min="14" max="14" width="11.08984375" style="7" bestFit="1" customWidth="1"/>
    <col min="15" max="16" width="8.81640625" style="7"/>
    <col min="17" max="17" width="9.81640625" style="7" customWidth="1"/>
    <col min="18" max="16384" width="8.81640625" style="7"/>
  </cols>
  <sheetData>
    <row r="1" spans="2:26" ht="14.4" thickBot="1" x14ac:dyDescent="0.3">
      <c r="B1" s="66"/>
      <c r="C1" s="66"/>
      <c r="D1" s="66"/>
      <c r="E1" s="66"/>
      <c r="F1" s="66"/>
      <c r="G1" s="66"/>
      <c r="H1" s="66"/>
      <c r="I1" s="66"/>
      <c r="J1" s="66"/>
      <c r="K1" s="66"/>
      <c r="L1" s="66"/>
      <c r="M1" s="66"/>
      <c r="N1" s="66"/>
      <c r="O1" s="66"/>
      <c r="P1" s="66"/>
      <c r="Q1" s="66"/>
      <c r="R1" s="66"/>
    </row>
    <row r="2" spans="2:26" ht="30.6" thickBot="1" x14ac:dyDescent="0.3">
      <c r="B2" s="116" t="s">
        <v>57</v>
      </c>
      <c r="C2" s="62" t="str">
        <f>'TITLE PAGE'!$D$18</f>
        <v>Bristol Water</v>
      </c>
      <c r="D2" s="117" t="s">
        <v>956</v>
      </c>
      <c r="E2" s="63" t="s">
        <v>1694</v>
      </c>
      <c r="F2" s="116" t="s">
        <v>958</v>
      </c>
      <c r="G2" s="63" t="s">
        <v>355</v>
      </c>
      <c r="H2" s="118" t="s">
        <v>111</v>
      </c>
      <c r="I2" s="63" t="s">
        <v>2057</v>
      </c>
      <c r="K2" s="1197" t="s">
        <v>56</v>
      </c>
      <c r="M2" s="405"/>
      <c r="O2" s="66"/>
      <c r="S2" s="405"/>
    </row>
    <row r="3" spans="2:26" ht="71.25" customHeight="1" thickBot="1" x14ac:dyDescent="0.3">
      <c r="B3" s="117" t="s">
        <v>961</v>
      </c>
      <c r="C3" s="1585" t="s">
        <v>2060</v>
      </c>
      <c r="D3" s="1586"/>
      <c r="E3" s="1586"/>
      <c r="F3" s="1586"/>
      <c r="G3" s="1586"/>
      <c r="H3" s="1586"/>
      <c r="I3" s="1587"/>
      <c r="N3" s="66"/>
    </row>
    <row r="4" spans="2:26" ht="71.25" customHeight="1" thickBot="1" x14ac:dyDescent="0.3">
      <c r="B4" s="117" t="s">
        <v>963</v>
      </c>
      <c r="C4" s="1579" t="s">
        <v>1696</v>
      </c>
      <c r="D4" s="1580"/>
      <c r="E4" s="1580"/>
      <c r="F4" s="1580"/>
      <c r="G4" s="1580"/>
      <c r="H4" s="1580"/>
      <c r="I4" s="1581"/>
      <c r="N4" s="1566" t="s">
        <v>965</v>
      </c>
      <c r="O4" s="1567"/>
      <c r="P4" s="1567"/>
      <c r="Q4" s="1567"/>
      <c r="R4" s="1567"/>
      <c r="S4" s="1567"/>
      <c r="T4" s="1567"/>
      <c r="U4" s="1568"/>
    </row>
    <row r="5" spans="2:26" ht="78" customHeight="1" thickBot="1" x14ac:dyDescent="0.3">
      <c r="B5" s="117" t="s">
        <v>966</v>
      </c>
      <c r="C5" s="1585" t="s">
        <v>2060</v>
      </c>
      <c r="D5" s="1586"/>
      <c r="E5" s="1586"/>
      <c r="F5" s="1586"/>
      <c r="G5" s="1586"/>
      <c r="H5" s="1586"/>
      <c r="I5" s="1587"/>
      <c r="N5" s="66"/>
    </row>
    <row r="6" spans="2:26" ht="60" customHeight="1" thickBot="1" x14ac:dyDescent="0.3">
      <c r="B6" s="64" t="s">
        <v>968</v>
      </c>
      <c r="C6" s="119"/>
      <c r="D6" s="65" t="s">
        <v>969</v>
      </c>
      <c r="E6" s="1472" t="s">
        <v>761</v>
      </c>
      <c r="F6" s="120" t="s">
        <v>970</v>
      </c>
      <c r="G6" s="1473" t="s">
        <v>761</v>
      </c>
      <c r="H6" s="120" t="s">
        <v>2</v>
      </c>
      <c r="I6" s="121">
        <v>1</v>
      </c>
      <c r="K6" s="66"/>
    </row>
    <row r="7" spans="2:26" ht="14.4" thickBot="1" x14ac:dyDescent="0.3">
      <c r="P7" s="66"/>
    </row>
    <row r="8" spans="2:26" ht="28.2" thickBot="1" x14ac:dyDescent="0.3">
      <c r="B8" s="210" t="str">
        <f>CONCATENATE("Table 7a: WC level - Alternative Programme ",E2, " Baseline SDB")</f>
        <v>Table 7a: WC level - Alternative Programme Least Cost  Baseline SDB</v>
      </c>
      <c r="M8" s="1571" t="s">
        <v>971</v>
      </c>
      <c r="N8" s="1572"/>
      <c r="O8" s="1572"/>
      <c r="P8" s="1572"/>
      <c r="Q8" s="1572"/>
      <c r="R8" s="1572"/>
      <c r="S8" s="1572"/>
      <c r="T8" s="1572"/>
      <c r="U8" s="1572"/>
      <c r="V8" s="1572"/>
      <c r="W8" s="1572"/>
      <c r="X8" s="1572"/>
      <c r="Y8" s="1572"/>
      <c r="Z8" s="1572"/>
    </row>
    <row r="9" spans="2:26" ht="28.2" thickBot="1" x14ac:dyDescent="0.3">
      <c r="B9" s="122" t="s">
        <v>63</v>
      </c>
      <c r="C9" s="123" t="s">
        <v>972</v>
      </c>
      <c r="D9" s="1573" t="s">
        <v>117</v>
      </c>
      <c r="E9" s="1574"/>
      <c r="F9" s="124" t="s">
        <v>118</v>
      </c>
      <c r="G9" s="136" t="s">
        <v>973</v>
      </c>
      <c r="H9" s="125" t="s">
        <v>974</v>
      </c>
      <c r="I9" s="125" t="s">
        <v>975</v>
      </c>
      <c r="J9" s="125" t="s">
        <v>976</v>
      </c>
      <c r="K9" s="125" t="s">
        <v>977</v>
      </c>
      <c r="L9" s="126" t="s">
        <v>978</v>
      </c>
      <c r="M9" s="137" t="s">
        <v>979</v>
      </c>
      <c r="N9" s="137" t="s">
        <v>980</v>
      </c>
      <c r="O9" s="137" t="s">
        <v>981</v>
      </c>
      <c r="P9" s="137" t="s">
        <v>982</v>
      </c>
      <c r="Q9" s="136" t="s">
        <v>983</v>
      </c>
      <c r="R9" s="125" t="s">
        <v>984</v>
      </c>
      <c r="S9" s="125" t="s">
        <v>985</v>
      </c>
      <c r="T9" s="125" t="s">
        <v>986</v>
      </c>
      <c r="U9" s="125" t="s">
        <v>987</v>
      </c>
      <c r="V9" s="126" t="s">
        <v>988</v>
      </c>
      <c r="W9" s="137" t="s">
        <v>989</v>
      </c>
      <c r="X9" s="137" t="s">
        <v>990</v>
      </c>
      <c r="Y9" s="137" t="s">
        <v>991</v>
      </c>
      <c r="Z9" s="137" t="s">
        <v>992</v>
      </c>
    </row>
    <row r="10" spans="2:26" x14ac:dyDescent="0.25">
      <c r="B10" s="127" t="s">
        <v>993</v>
      </c>
      <c r="C10" s="128" t="s">
        <v>939</v>
      </c>
      <c r="D10" s="1575" t="s">
        <v>146</v>
      </c>
      <c r="E10" s="1576"/>
      <c r="F10" s="129">
        <v>2</v>
      </c>
      <c r="G10" s="315">
        <f>BWXBRS!L85</f>
        <v>278.93413189404333</v>
      </c>
      <c r="H10" s="315">
        <f>BWXBRS!M85</f>
        <v>279.21570306045902</v>
      </c>
      <c r="I10" s="315">
        <f>BWXBRS!N85</f>
        <v>279.64864307183785</v>
      </c>
      <c r="J10" s="315">
        <f>BWXBRS!O85</f>
        <v>279.80633600864383</v>
      </c>
      <c r="K10" s="315">
        <f>BWXBRS!P85</f>
        <v>279.96763831131614</v>
      </c>
      <c r="L10" s="315">
        <f>BWXBRS!Q85</f>
        <v>280.17749263091429</v>
      </c>
      <c r="M10" s="318">
        <f>SUM(BWXBRS!R85:V85)</f>
        <v>1402.411500293319</v>
      </c>
      <c r="N10" s="318">
        <f>SUM(BWXBRS!W85:AA85)</f>
        <v>1413.9166363569225</v>
      </c>
      <c r="O10" s="318">
        <f>SUM(BWXBRS!AB85:AF85)</f>
        <v>1434.6026859356284</v>
      </c>
      <c r="P10" s="318">
        <f>SUM(BWXBRS!AG85:AK85)</f>
        <v>1455.7495760755219</v>
      </c>
      <c r="Q10" s="318">
        <f>SUM(BWXBRS!AL85:AP85)</f>
        <v>1477.3522329373259</v>
      </c>
      <c r="R10" s="318">
        <f>SUM(BWXBRS!AQ85:AU85)</f>
        <v>1500.3226873894948</v>
      </c>
      <c r="S10" s="318">
        <f>SUM(BWXBRS!AV85:AZ85)</f>
        <v>1525.9609587472653</v>
      </c>
      <c r="T10" s="318">
        <f>SUM(BWXBRS!BA85:BE85)</f>
        <v>1552.1793049377798</v>
      </c>
      <c r="U10" s="318">
        <f>SUM(BWXBRS!BF85:BJ85)</f>
        <v>1578.7479074354023</v>
      </c>
      <c r="V10" s="318">
        <f>SUM(BWXBRS!BH85:BL85)</f>
        <v>1589.426843098533</v>
      </c>
      <c r="W10" s="314"/>
      <c r="X10" s="314"/>
      <c r="Y10" s="314"/>
      <c r="Z10" s="314"/>
    </row>
    <row r="11" spans="2:26" ht="28.5" customHeight="1" x14ac:dyDescent="0.25">
      <c r="B11" s="130" t="s">
        <v>994</v>
      </c>
      <c r="C11" s="131" t="s">
        <v>300</v>
      </c>
      <c r="D11" s="1577" t="s">
        <v>146</v>
      </c>
      <c r="E11" s="1578"/>
      <c r="F11" s="132">
        <v>2</v>
      </c>
      <c r="G11" s="315">
        <f>BWXBRS!L42</f>
        <v>307.23750000000001</v>
      </c>
      <c r="H11" s="315">
        <f>BWXBRS!M42</f>
        <v>312.80125000000004</v>
      </c>
      <c r="I11" s="315">
        <f>BWXBRS!N42</f>
        <v>312.39500000000004</v>
      </c>
      <c r="J11" s="315">
        <f>BWXBRS!O42</f>
        <v>311.98875000000004</v>
      </c>
      <c r="K11" s="315">
        <f>BWXBRS!P42</f>
        <v>311.58250000000004</v>
      </c>
      <c r="L11" s="315">
        <f>BWXBRS!Q42</f>
        <v>311.17625000000004</v>
      </c>
      <c r="M11" s="318">
        <f>SUM(BWXBRS!R42:V42)</f>
        <v>1541.6875000000002</v>
      </c>
      <c r="N11" s="318">
        <f>SUM(BWXBRS!W42:AA42)</f>
        <v>1511.5312500000002</v>
      </c>
      <c r="O11" s="318">
        <f>SUM(BWXBRS!AB42:AF42)</f>
        <v>1501.6250000000002</v>
      </c>
      <c r="P11" s="318">
        <f>SUM(BWXBRS!AG42:AK42)</f>
        <v>1491.4687500000002</v>
      </c>
      <c r="Q11" s="318">
        <f>SUM(BWXBRS!AL42:AP42)</f>
        <v>1481.3125000000002</v>
      </c>
      <c r="R11" s="318">
        <f>SUM(BWXBRS!AQ42:AU42)</f>
        <v>1471.1562500000002</v>
      </c>
      <c r="S11" s="318">
        <f>SUM(BWXBRS!AV42:AZ42)</f>
        <v>1461.0000000000002</v>
      </c>
      <c r="T11" s="318">
        <f>SUM(BWXBRS!BA42:BE42)</f>
        <v>1450.8437500000002</v>
      </c>
      <c r="U11" s="318">
        <f>SUM(BWXBRS!BF42:BJ42)</f>
        <v>1440.6875000000002</v>
      </c>
      <c r="V11" s="318">
        <f>SUM(BWXBRS!BH42:BL42)</f>
        <v>1436.6250000000002</v>
      </c>
      <c r="W11" s="318"/>
      <c r="X11" s="318"/>
      <c r="Y11" s="318"/>
      <c r="Z11" s="318"/>
    </row>
    <row r="12" spans="2:26" x14ac:dyDescent="0.25">
      <c r="B12" s="212" t="s">
        <v>995</v>
      </c>
      <c r="C12" s="213" t="s">
        <v>294</v>
      </c>
      <c r="D12" s="1577" t="s">
        <v>146</v>
      </c>
      <c r="E12" s="1578"/>
      <c r="F12" s="132">
        <v>2</v>
      </c>
      <c r="G12" s="315">
        <f>BWXBRS!L88</f>
        <v>14.044624468896783</v>
      </c>
      <c r="H12" s="315">
        <f>BWXBRS!M88</f>
        <v>14.062496270910394</v>
      </c>
      <c r="I12" s="315">
        <f>BWXBRS!N88</f>
        <v>14.385475563742698</v>
      </c>
      <c r="J12" s="315">
        <f>BWXBRS!O88</f>
        <v>14.584143171743792</v>
      </c>
      <c r="K12" s="315">
        <f>BWXBRS!P88</f>
        <v>14.813651528764154</v>
      </c>
      <c r="L12" s="315">
        <f>BWXBRS!Q88</f>
        <v>12.386436241809495</v>
      </c>
      <c r="M12" s="318">
        <f>SUM(BWXBRS!R88:V88)</f>
        <v>63.208927491111297</v>
      </c>
      <c r="N12" s="318">
        <f>SUM(BWXBRS!W88:AA88)</f>
        <v>58.774993929857089</v>
      </c>
      <c r="O12" s="318">
        <f>SUM(BWXBRS!AB88:AF88)</f>
        <v>54.652415133207782</v>
      </c>
      <c r="P12" s="318">
        <f>SUM(BWXBRS!AG88:AK88)</f>
        <v>51.179244475227804</v>
      </c>
      <c r="Q12" s="318">
        <f>SUM(BWXBRS!AL8:AP88)</f>
        <v>36841.995235047725</v>
      </c>
      <c r="R12" s="318">
        <f>SUM(BWXBRS!AQ88:AU88)</f>
        <v>52.591194610450593</v>
      </c>
      <c r="S12" s="318">
        <f>SUM(BWXBRS!AV88:AZ88)</f>
        <v>56.46569198156061</v>
      </c>
      <c r="T12" s="318">
        <f>SUM(BWXBRS!BA88:BE88)</f>
        <v>60.867410669112509</v>
      </c>
      <c r="U12" s="318">
        <f>SUM(BWXBRS!BF88:BJ88)</f>
        <v>65.871103474940284</v>
      </c>
      <c r="V12" s="318">
        <f>SUM(BWXBRS!BH88:BL88)</f>
        <v>68.218948584058808</v>
      </c>
      <c r="W12" s="322"/>
      <c r="X12" s="322"/>
      <c r="Y12" s="322"/>
      <c r="Z12" s="322"/>
    </row>
    <row r="13" spans="2:26" ht="14.4" thickBot="1" x14ac:dyDescent="0.3">
      <c r="B13" s="133" t="s">
        <v>996</v>
      </c>
      <c r="C13" s="134" t="s">
        <v>303</v>
      </c>
      <c r="D13" s="1569" t="s">
        <v>146</v>
      </c>
      <c r="E13" s="1570"/>
      <c r="F13" s="135">
        <v>2</v>
      </c>
      <c r="G13" s="315">
        <f>BWXBRS!L91</f>
        <v>14.258743637059895</v>
      </c>
      <c r="H13" s="315">
        <f>BWXBRS!M91</f>
        <v>19.523050668630624</v>
      </c>
      <c r="I13" s="315">
        <f>BWXBRS!N91</f>
        <v>18.360881364419487</v>
      </c>
      <c r="J13" s="315">
        <f>BWXBRS!O91</f>
        <v>17.598270819612424</v>
      </c>
      <c r="K13" s="315">
        <f>BWXBRS!P91</f>
        <v>16.801210159919748</v>
      </c>
      <c r="L13" s="315">
        <f>BWXBRS!Q91</f>
        <v>18.612321127276257</v>
      </c>
      <c r="M13" s="318">
        <f>SUM(BWXBRS!R91:V91)</f>
        <v>76.067072215569851</v>
      </c>
      <c r="N13" s="318">
        <f>SUM(BWXBRS!W91:AA91)</f>
        <v>38.839619713220713</v>
      </c>
      <c r="O13" s="318">
        <f>SUM(BWXBRS!AB91:AF91)</f>
        <v>12.369898931163972</v>
      </c>
      <c r="P13" s="318">
        <f>SUM(BWXBRS!AG91:AK91)</f>
        <v>-15.460070550749396</v>
      </c>
      <c r="Q13" s="318">
        <f>SUM(BWXBRS!AL91:AP91)</f>
        <v>-44.826178206907457</v>
      </c>
      <c r="R13" s="318">
        <f>SUM(BWXBRS!AQ91:AU91)</f>
        <v>-81.757631999945147</v>
      </c>
      <c r="S13" s="318">
        <f>SUM(BWXBRS!AV91:AZ91)</f>
        <v>-121.42665072882585</v>
      </c>
      <c r="T13" s="318">
        <f>SUM(BWXBRS!BA91:BE91)</f>
        <v>-162.20296560689195</v>
      </c>
      <c r="U13" s="318">
        <f>SUM(BWXBRS!BF91:BJ91)</f>
        <v>-203.93151091034264</v>
      </c>
      <c r="V13" s="318">
        <f>SUM(BWXBRS!BH91:BL91)</f>
        <v>-221.02079168259147</v>
      </c>
      <c r="W13" s="326"/>
      <c r="X13" s="326"/>
      <c r="Y13" s="326"/>
      <c r="Z13" s="326"/>
    </row>
    <row r="14" spans="2:26" ht="14.4" thickBot="1" x14ac:dyDescent="0.3">
      <c r="B14" s="153"/>
      <c r="C14" s="82"/>
      <c r="D14" s="82"/>
      <c r="E14" s="82"/>
      <c r="Q14" s="66"/>
      <c r="R14" s="66"/>
    </row>
    <row r="15" spans="2:26" ht="28.2" thickBot="1" x14ac:dyDescent="0.3">
      <c r="B15" s="210" t="str">
        <f>CONCATENATE("Table 7b: WC level - Alternative Programme  ",E2, " Final Plan SDB")</f>
        <v>Table 7b: WC level - Alternative Programme  Least Cost  Final Plan SDB</v>
      </c>
      <c r="C15" s="155"/>
      <c r="D15" s="154"/>
      <c r="E15" s="154"/>
      <c r="F15" s="90"/>
      <c r="G15" s="90"/>
      <c r="H15" s="90"/>
      <c r="I15" s="90"/>
      <c r="J15" s="90"/>
      <c r="K15" s="90"/>
      <c r="L15" s="90"/>
      <c r="M15" s="1571" t="s">
        <v>971</v>
      </c>
      <c r="N15" s="1572"/>
      <c r="O15" s="1572"/>
      <c r="P15" s="1572"/>
      <c r="Q15" s="1572"/>
      <c r="R15" s="1572"/>
      <c r="S15" s="1572"/>
      <c r="T15" s="1572"/>
      <c r="U15" s="1572"/>
      <c r="V15" s="1572"/>
      <c r="W15" s="1572"/>
      <c r="X15" s="1572"/>
      <c r="Y15" s="1572"/>
      <c r="Z15" s="1572"/>
    </row>
    <row r="16" spans="2:26" ht="28.2" thickBot="1" x14ac:dyDescent="0.3">
      <c r="B16" s="384" t="s">
        <v>63</v>
      </c>
      <c r="C16" s="385" t="s">
        <v>997</v>
      </c>
      <c r="D16" s="1573" t="s">
        <v>117</v>
      </c>
      <c r="E16" s="1574"/>
      <c r="F16" s="386" t="s">
        <v>118</v>
      </c>
      <c r="G16" s="387" t="s">
        <v>973</v>
      </c>
      <c r="H16" s="388" t="s">
        <v>974</v>
      </c>
      <c r="I16" s="388" t="s">
        <v>975</v>
      </c>
      <c r="J16" s="388" t="s">
        <v>976</v>
      </c>
      <c r="K16" s="388" t="s">
        <v>977</v>
      </c>
      <c r="L16" s="389" t="s">
        <v>978</v>
      </c>
      <c r="M16" s="390" t="s">
        <v>979</v>
      </c>
      <c r="N16" s="390" t="s">
        <v>980</v>
      </c>
      <c r="O16" s="390" t="s">
        <v>981</v>
      </c>
      <c r="P16" s="390" t="s">
        <v>982</v>
      </c>
      <c r="Q16" s="136" t="s">
        <v>983</v>
      </c>
      <c r="R16" s="125" t="s">
        <v>984</v>
      </c>
      <c r="S16" s="125" t="s">
        <v>985</v>
      </c>
      <c r="T16" s="125" t="s">
        <v>986</v>
      </c>
      <c r="U16" s="125" t="s">
        <v>987</v>
      </c>
      <c r="V16" s="126" t="s">
        <v>988</v>
      </c>
      <c r="W16" s="137" t="s">
        <v>989</v>
      </c>
      <c r="X16" s="137" t="s">
        <v>990</v>
      </c>
      <c r="Y16" s="137" t="s">
        <v>991</v>
      </c>
      <c r="Z16" s="137" t="s">
        <v>992</v>
      </c>
    </row>
    <row r="17" spans="2:26" ht="14.4" thickBot="1" x14ac:dyDescent="0.3">
      <c r="B17" s="364" t="s">
        <v>998</v>
      </c>
      <c r="C17" s="365" t="s">
        <v>939</v>
      </c>
      <c r="D17" s="1575" t="s">
        <v>146</v>
      </c>
      <c r="E17" s="1576"/>
      <c r="F17" s="366">
        <v>2</v>
      </c>
      <c r="G17" s="367">
        <f>BWXBRS!L175</f>
        <v>278.93413189404333</v>
      </c>
      <c r="H17" s="367">
        <f>BWXBRS!M175</f>
        <v>278.14761980295498</v>
      </c>
      <c r="I17" s="367">
        <f>BWXBRS!N175</f>
        <v>275.35272303146263</v>
      </c>
      <c r="J17" s="367">
        <f>BWXBRS!O175</f>
        <v>272.15287641412834</v>
      </c>
      <c r="K17" s="367">
        <f>BWXBRS!P175</f>
        <v>269.06041905722549</v>
      </c>
      <c r="L17" s="367">
        <f>BWXBRS!Q175</f>
        <v>265.94861981021927</v>
      </c>
      <c r="M17" s="318">
        <f>SUM(BWXBRS!R175:V175)</f>
        <v>1249.5346630135693</v>
      </c>
      <c r="N17" s="318">
        <f>SUM(BWXBRS!W175:AA175)</f>
        <v>1164.7921122261077</v>
      </c>
      <c r="O17" s="318">
        <f>SUM(BWXBRS!AB175:AF175)</f>
        <v>1115.8685425564836</v>
      </c>
      <c r="P17" s="318">
        <f>SUM(BWXBRS!AG175:AK175)</f>
        <v>1102.0258973473615</v>
      </c>
      <c r="Q17" s="318">
        <f>SUM(BWXBRS!AL175:AP175)</f>
        <v>1117.3635765107683</v>
      </c>
      <c r="R17" s="318">
        <f>SUM(BWXBRS!AQ175:AU175)</f>
        <v>1187.0119111550814</v>
      </c>
      <c r="S17" s="318">
        <f>SUM(BWXBRS!AV175:AZ175)</f>
        <v>1241.1561206687352</v>
      </c>
      <c r="T17" s="318">
        <f>SUM(BWXBRS!BA175:BE175)</f>
        <v>1279.0257599157744</v>
      </c>
      <c r="U17" s="318">
        <f>SUM(BWXBRS!BF175:BJ175)</f>
        <v>1305.9957453816828</v>
      </c>
      <c r="V17" s="318">
        <f>SUM(BWXBRS!BH175:BL175)</f>
        <v>1316.1595388484964</v>
      </c>
      <c r="W17" s="314"/>
      <c r="X17" s="314"/>
      <c r="Y17" s="314"/>
      <c r="Z17" s="314"/>
    </row>
    <row r="18" spans="2:26" ht="28.5" customHeight="1" thickBot="1" x14ac:dyDescent="0.3">
      <c r="B18" s="372" t="s">
        <v>999</v>
      </c>
      <c r="C18" s="131" t="s">
        <v>300</v>
      </c>
      <c r="D18" s="1577" t="s">
        <v>146</v>
      </c>
      <c r="E18" s="1578"/>
      <c r="F18" s="132">
        <v>2</v>
      </c>
      <c r="G18" s="367">
        <f>BWXBRS!L132</f>
        <v>307.23750000000001</v>
      </c>
      <c r="H18" s="367">
        <f>BWXBRS!M132</f>
        <v>312.80125000000004</v>
      </c>
      <c r="I18" s="367">
        <f>BWXBRS!N132</f>
        <v>312.39500000000004</v>
      </c>
      <c r="J18" s="367">
        <f>BWXBRS!O132</f>
        <v>311.98875000000004</v>
      </c>
      <c r="K18" s="367">
        <f>BWXBRS!P132</f>
        <v>311.58250000000004</v>
      </c>
      <c r="L18" s="367">
        <f>BWXBRS!Q132</f>
        <v>311.17625000000004</v>
      </c>
      <c r="M18" s="318">
        <f>SUM(BWXBRS!R132:V132)</f>
        <v>1541.6875000000002</v>
      </c>
      <c r="N18" s="318">
        <f>SUM(BWXBRS!W132:AA132)</f>
        <v>1511.5312500000002</v>
      </c>
      <c r="O18" s="318">
        <f>SUM(BWXBRS!AB132:AF132)</f>
        <v>1501.6250000000002</v>
      </c>
      <c r="P18" s="318">
        <f>SUM(BWXBRS!AG132:AK132)</f>
        <v>1491.4687500000002</v>
      </c>
      <c r="Q18" s="318">
        <f>SUM(BWXBRS!AL132:AP132)</f>
        <v>1481.3125000000002</v>
      </c>
      <c r="R18" s="318">
        <f>SUM(BWXBRS!AQ132:AU132)</f>
        <v>1471.1562500000002</v>
      </c>
      <c r="S18" s="318">
        <f>SUM(BWXBRS!AV132:AZ132)</f>
        <v>1461.0000000000002</v>
      </c>
      <c r="T18" s="318">
        <f>SUM(BWXBRS!BA132:BE132)</f>
        <v>1450.8437500000002</v>
      </c>
      <c r="U18" s="318">
        <f>SUM(BWXBRS!BF132:BJ132)</f>
        <v>1440.6875000000002</v>
      </c>
      <c r="V18" s="318">
        <f>SUM(BWXBRS!BH132:BL132)</f>
        <v>1436.6250000000002</v>
      </c>
      <c r="W18" s="318"/>
      <c r="X18" s="318"/>
      <c r="Y18" s="318"/>
      <c r="Z18" s="318"/>
    </row>
    <row r="19" spans="2:26" ht="14.4" thickBot="1" x14ac:dyDescent="0.3">
      <c r="B19" s="374" t="s">
        <v>1000</v>
      </c>
      <c r="C19" s="213" t="s">
        <v>294</v>
      </c>
      <c r="D19" s="1577" t="s">
        <v>146</v>
      </c>
      <c r="E19" s="1578"/>
      <c r="F19" s="132">
        <v>2</v>
      </c>
      <c r="G19" s="367">
        <f>BWXBRS!L178</f>
        <v>14.044624468896783</v>
      </c>
      <c r="H19" s="367">
        <f>BWXBRS!M178</f>
        <v>14.062496270910394</v>
      </c>
      <c r="I19" s="367">
        <f>BWXBRS!N178</f>
        <v>14.385475563742698</v>
      </c>
      <c r="J19" s="367">
        <f>BWXBRS!O178</f>
        <v>14.584143171743792</v>
      </c>
      <c r="K19" s="367">
        <f>BWXBRS!P178</f>
        <v>14.813651528764154</v>
      </c>
      <c r="L19" s="367">
        <f>BWXBRS!Q178</f>
        <v>12.386436241809495</v>
      </c>
      <c r="M19" s="318">
        <f>SUM(BWXBRS!R178:V178)</f>
        <v>63.208927491111297</v>
      </c>
      <c r="N19" s="318">
        <f>SUM(BWXBRS!W178:AA178)</f>
        <v>58.774993929857089</v>
      </c>
      <c r="O19" s="318">
        <f>SUM(BWXBRS!AB178:AF178)</f>
        <v>54.652415133207782</v>
      </c>
      <c r="P19" s="318">
        <f>SUM(BWXBRS!AG178:AK178)</f>
        <v>51.179244475227804</v>
      </c>
      <c r="Q19" s="318">
        <f>SUM(BWXBRS!AL178:AP178)</f>
        <v>48.786445269581804</v>
      </c>
      <c r="R19" s="318">
        <f>SUM(BWXBRS!AQ178:AU178)</f>
        <v>52.591194610450593</v>
      </c>
      <c r="S19" s="318">
        <f>SUM(BWXBRS!AV178:AZ178)</f>
        <v>56.46569198156061</v>
      </c>
      <c r="T19" s="318">
        <f>SUM(BWXBRS!BA178:BE178)</f>
        <v>60.867410669112509</v>
      </c>
      <c r="U19" s="318">
        <f>SUM(BWXBRS!BF178:BJ178)</f>
        <v>65.871103474940284</v>
      </c>
      <c r="V19" s="318">
        <f>SUM(BWXBRS!BH178:BL178)</f>
        <v>68.218948584058808</v>
      </c>
      <c r="W19" s="322"/>
      <c r="X19" s="322"/>
      <c r="Y19" s="322"/>
      <c r="Z19" s="322"/>
    </row>
    <row r="20" spans="2:26" ht="14.4" thickBot="1" x14ac:dyDescent="0.3">
      <c r="B20" s="376" t="s">
        <v>1001</v>
      </c>
      <c r="C20" s="377" t="s">
        <v>303</v>
      </c>
      <c r="D20" s="1569" t="s">
        <v>146</v>
      </c>
      <c r="E20" s="1570"/>
      <c r="F20" s="378">
        <v>2</v>
      </c>
      <c r="G20" s="367">
        <f>BWXBRS!L181</f>
        <v>14.258743637059895</v>
      </c>
      <c r="H20" s="367">
        <f>BWXBRS!M181</f>
        <v>20.591133926134667</v>
      </c>
      <c r="I20" s="367">
        <f>BWXBRS!N181</f>
        <v>22.656801404794709</v>
      </c>
      <c r="J20" s="367">
        <f>BWXBRS!O181</f>
        <v>25.251730414127906</v>
      </c>
      <c r="K20" s="367">
        <f>BWXBRS!P181</f>
        <v>27.708429414010396</v>
      </c>
      <c r="L20" s="367">
        <f>BWXBRS!Q181</f>
        <v>32.841193947971277</v>
      </c>
      <c r="M20" s="318">
        <f>SUM(BWXBRS!R181:V181)</f>
        <v>228.94390949531956</v>
      </c>
      <c r="N20" s="318">
        <f>SUM(BWXBRS!W181:AA181)</f>
        <v>287.96414384403533</v>
      </c>
      <c r="O20" s="318">
        <f>SUM(BWXBRS!AB181:AF181)</f>
        <v>331.10404231030896</v>
      </c>
      <c r="P20" s="318">
        <f>SUM(BWXBRS!AG181:AK181)</f>
        <v>338.26360817741107</v>
      </c>
      <c r="Q20" s="318">
        <f>SUM(BWXBRS!AL181:AP181)</f>
        <v>315.16247821965021</v>
      </c>
      <c r="R20" s="318">
        <f>SUM(BWXBRS!AQ181:AU181)</f>
        <v>231.55314423446811</v>
      </c>
      <c r="S20" s="318">
        <f>SUM(BWXBRS!AV181:AZ181)</f>
        <v>163.37818734970455</v>
      </c>
      <c r="T20" s="318">
        <f>SUM(BWXBRS!BA181:BE181)</f>
        <v>110.95057941511334</v>
      </c>
      <c r="U20" s="318">
        <f>SUM(BWXBRS!BF181:BJ181)</f>
        <v>68.82065114337702</v>
      </c>
      <c r="V20" s="318">
        <f>SUM(BWXBRS!BH181:BL181)</f>
        <v>52.246512567445116</v>
      </c>
      <c r="W20" s="326"/>
      <c r="X20" s="326"/>
      <c r="Y20" s="326"/>
      <c r="Z20" s="326"/>
    </row>
    <row r="21" spans="2:26" ht="14.4" thickBot="1" x14ac:dyDescent="0.3">
      <c r="B21" s="66"/>
      <c r="Q21" s="66"/>
      <c r="R21" s="66"/>
    </row>
    <row r="22" spans="2:26" ht="60.75" customHeight="1" thickBot="1" x14ac:dyDescent="0.3">
      <c r="B22" s="210" t="str">
        <f>CONCATENATE("Table 7c: WC level - Alternative Programme  ",E2, " Totex")</f>
        <v>Table 7c: WC level - Alternative Programme  Least Cost  Totex</v>
      </c>
      <c r="C22" s="155"/>
      <c r="D22" s="154"/>
      <c r="E22" s="90"/>
      <c r="F22" s="90"/>
      <c r="G22" s="90"/>
      <c r="H22" s="90"/>
      <c r="I22" s="90"/>
      <c r="J22" s="90"/>
      <c r="K22" s="90"/>
      <c r="L22" s="90"/>
      <c r="M22" s="1571" t="s">
        <v>971</v>
      </c>
      <c r="N22" s="1572"/>
      <c r="O22" s="1572"/>
      <c r="P22" s="1572"/>
      <c r="Q22" s="1572"/>
      <c r="R22" s="1572"/>
      <c r="S22" s="1572"/>
      <c r="T22" s="1572"/>
      <c r="U22" s="1572"/>
      <c r="V22" s="1572"/>
      <c r="W22" s="1572"/>
      <c r="X22" s="1572"/>
      <c r="Y22" s="1572"/>
      <c r="Z22" s="1572"/>
    </row>
    <row r="23" spans="2:26" ht="28.2" thickBot="1" x14ac:dyDescent="0.3">
      <c r="B23" s="122" t="s">
        <v>63</v>
      </c>
      <c r="C23" s="123" t="s">
        <v>1002</v>
      </c>
      <c r="D23" s="123" t="s">
        <v>1003</v>
      </c>
      <c r="E23" s="123" t="s">
        <v>117</v>
      </c>
      <c r="F23" s="124" t="s">
        <v>118</v>
      </c>
      <c r="G23" s="136" t="s">
        <v>973</v>
      </c>
      <c r="H23" s="125" t="s">
        <v>974</v>
      </c>
      <c r="I23" s="125" t="s">
        <v>975</v>
      </c>
      <c r="J23" s="125" t="s">
        <v>976</v>
      </c>
      <c r="K23" s="125" t="s">
        <v>977</v>
      </c>
      <c r="L23" s="126" t="s">
        <v>978</v>
      </c>
      <c r="M23" s="137" t="s">
        <v>979</v>
      </c>
      <c r="N23" s="137" t="s">
        <v>980</v>
      </c>
      <c r="O23" s="137" t="s">
        <v>981</v>
      </c>
      <c r="P23" s="137" t="s">
        <v>982</v>
      </c>
      <c r="Q23" s="136" t="s">
        <v>983</v>
      </c>
      <c r="R23" s="125" t="s">
        <v>984</v>
      </c>
      <c r="S23" s="125" t="s">
        <v>985</v>
      </c>
      <c r="T23" s="125" t="s">
        <v>986</v>
      </c>
      <c r="U23" s="125" t="s">
        <v>987</v>
      </c>
      <c r="V23" s="126" t="s">
        <v>988</v>
      </c>
      <c r="W23" s="137" t="s">
        <v>989</v>
      </c>
      <c r="X23" s="137" t="s">
        <v>990</v>
      </c>
      <c r="Y23" s="137" t="s">
        <v>991</v>
      </c>
      <c r="Z23" s="137" t="s">
        <v>992</v>
      </c>
    </row>
    <row r="24" spans="2:26" ht="14.4" thickBot="1" x14ac:dyDescent="0.3">
      <c r="B24" s="264" t="s">
        <v>1004</v>
      </c>
      <c r="C24" s="265" t="s">
        <v>1005</v>
      </c>
      <c r="D24" s="265" t="s">
        <v>1006</v>
      </c>
      <c r="E24" s="265" t="s">
        <v>254</v>
      </c>
      <c r="F24" s="294">
        <v>3</v>
      </c>
      <c r="G24" s="299">
        <f>'8. Business Plan Links '!L102</f>
        <v>0</v>
      </c>
      <c r="H24" s="299">
        <f>'8. Business Plan Links '!M102</f>
        <v>1345.707402518568</v>
      </c>
      <c r="I24" s="299">
        <f>'8. Business Plan Links '!N102</f>
        <v>1345.707402518568</v>
      </c>
      <c r="J24" s="299">
        <f>'8. Business Plan Links '!O102</f>
        <v>1345.707402518568</v>
      </c>
      <c r="K24" s="299">
        <f>'8. Business Plan Links '!P102</f>
        <v>1345.707402518568</v>
      </c>
      <c r="L24" s="299">
        <f>'8. Business Plan Links '!Q102</f>
        <v>1345.707402518568</v>
      </c>
      <c r="M24" s="299">
        <f>'8. Business Plan Links '!R102</f>
        <v>6728.5370125928412</v>
      </c>
      <c r="N24" s="299">
        <f>'8. Business Plan Links '!S102</f>
        <v>6728.5370125928412</v>
      </c>
      <c r="O24" s="299">
        <f>'8. Business Plan Links '!T102</f>
        <v>0</v>
      </c>
      <c r="P24" s="299">
        <f>'8. Business Plan Links '!U102</f>
        <v>0</v>
      </c>
      <c r="Q24" s="299">
        <f>'8. Business Plan Links '!V102</f>
        <v>0</v>
      </c>
      <c r="R24" s="299">
        <f>'8. Business Plan Links '!W102</f>
        <v>0</v>
      </c>
      <c r="S24" s="299">
        <f>'8. Business Plan Links '!X102</f>
        <v>0</v>
      </c>
      <c r="T24" s="299">
        <f>'8. Business Plan Links '!Y102</f>
        <v>0</v>
      </c>
      <c r="U24" s="299">
        <f>'8. Business Plan Links '!Z102</f>
        <v>0</v>
      </c>
      <c r="V24" s="299">
        <f>'8. Business Plan Links '!AA102</f>
        <v>0</v>
      </c>
      <c r="W24" s="314"/>
      <c r="X24" s="314"/>
      <c r="Y24" s="314"/>
      <c r="Z24" s="314"/>
    </row>
    <row r="25" spans="2:26" ht="14.4" thickBot="1" x14ac:dyDescent="0.3">
      <c r="B25" s="130" t="s">
        <v>1007</v>
      </c>
      <c r="C25" s="131" t="s">
        <v>1008</v>
      </c>
      <c r="D25" s="131" t="s">
        <v>1006</v>
      </c>
      <c r="E25" s="131" t="s">
        <v>254</v>
      </c>
      <c r="F25" s="295">
        <v>3</v>
      </c>
      <c r="G25" s="299">
        <f>'8. Business Plan Links '!L103</f>
        <v>0</v>
      </c>
      <c r="H25" s="299">
        <f>'8. Business Plan Links '!M103</f>
        <v>0</v>
      </c>
      <c r="I25" s="299">
        <f>'8. Business Plan Links '!N103</f>
        <v>0</v>
      </c>
      <c r="J25" s="299">
        <f>'8. Business Plan Links '!O103</f>
        <v>0</v>
      </c>
      <c r="K25" s="299">
        <f>'8. Business Plan Links '!P103</f>
        <v>0</v>
      </c>
      <c r="L25" s="299">
        <f>'8. Business Plan Links '!Q103</f>
        <v>0</v>
      </c>
      <c r="M25" s="299">
        <f>'8. Business Plan Links '!R103</f>
        <v>0</v>
      </c>
      <c r="N25" s="299">
        <f>'8. Business Plan Links '!S103</f>
        <v>0</v>
      </c>
      <c r="O25" s="299">
        <f>'8. Business Plan Links '!T103</f>
        <v>0</v>
      </c>
      <c r="P25" s="299">
        <f>'8. Business Plan Links '!U103</f>
        <v>0</v>
      </c>
      <c r="Q25" s="299">
        <f>'8. Business Plan Links '!V103</f>
        <v>0</v>
      </c>
      <c r="R25" s="299">
        <f>'8. Business Plan Links '!W103</f>
        <v>0</v>
      </c>
      <c r="S25" s="299">
        <f>'8. Business Plan Links '!X103</f>
        <v>0</v>
      </c>
      <c r="T25" s="299">
        <f>'8. Business Plan Links '!Y103</f>
        <v>0</v>
      </c>
      <c r="U25" s="299">
        <f>'8. Business Plan Links '!Z103</f>
        <v>0</v>
      </c>
      <c r="V25" s="299">
        <f>'8. Business Plan Links '!AA103</f>
        <v>0</v>
      </c>
      <c r="W25" s="318"/>
      <c r="X25" s="318"/>
      <c r="Y25" s="318"/>
      <c r="Z25" s="318"/>
    </row>
    <row r="26" spans="2:26" ht="14.4" thickBot="1" x14ac:dyDescent="0.3">
      <c r="B26" s="133" t="s">
        <v>1009</v>
      </c>
      <c r="C26" s="134" t="s">
        <v>1010</v>
      </c>
      <c r="D26" s="134" t="s">
        <v>1006</v>
      </c>
      <c r="E26" s="134" t="s">
        <v>254</v>
      </c>
      <c r="F26" s="296">
        <v>3</v>
      </c>
      <c r="G26" s="299">
        <f>'8. Business Plan Links '!L104</f>
        <v>0</v>
      </c>
      <c r="H26" s="299">
        <f>'8. Business Plan Links '!M104</f>
        <v>1345.707402518568</v>
      </c>
      <c r="I26" s="299">
        <f>'8. Business Plan Links '!N104</f>
        <v>1345.707402518568</v>
      </c>
      <c r="J26" s="299">
        <f>'8. Business Plan Links '!O104</f>
        <v>1345.707402518568</v>
      </c>
      <c r="K26" s="299">
        <f>'8. Business Plan Links '!P104</f>
        <v>1345.707402518568</v>
      </c>
      <c r="L26" s="299">
        <f>'8. Business Plan Links '!Q104</f>
        <v>1345.707402518568</v>
      </c>
      <c r="M26" s="299">
        <f>'8. Business Plan Links '!R104</f>
        <v>6728.5370125928412</v>
      </c>
      <c r="N26" s="299">
        <f>'8. Business Plan Links '!S104</f>
        <v>6728.5370125928412</v>
      </c>
      <c r="O26" s="299">
        <f>'8. Business Plan Links '!T104</f>
        <v>0</v>
      </c>
      <c r="P26" s="299">
        <f>'8. Business Plan Links '!U104</f>
        <v>0</v>
      </c>
      <c r="Q26" s="299">
        <f>'8. Business Plan Links '!V104</f>
        <v>0</v>
      </c>
      <c r="R26" s="299">
        <f>'8. Business Plan Links '!W104</f>
        <v>0</v>
      </c>
      <c r="S26" s="299">
        <f>'8. Business Plan Links '!X104</f>
        <v>0</v>
      </c>
      <c r="T26" s="299">
        <f>'8. Business Plan Links '!Y104</f>
        <v>0</v>
      </c>
      <c r="U26" s="299">
        <f>'8. Business Plan Links '!Z104</f>
        <v>0</v>
      </c>
      <c r="V26" s="299">
        <f>'8. Business Plan Links '!AA104</f>
        <v>0</v>
      </c>
      <c r="W26" s="326"/>
      <c r="X26" s="326"/>
      <c r="Y26" s="326"/>
      <c r="Z26" s="326"/>
    </row>
    <row r="27" spans="2:26" ht="14.4" thickBot="1" x14ac:dyDescent="0.3">
      <c r="R27" s="66"/>
      <c r="S27" s="66"/>
    </row>
    <row r="28" spans="2:26" ht="42" thickBot="1" x14ac:dyDescent="0.3">
      <c r="B28" s="210" t="str">
        <f>CONCATENATE("Table 7d: WC level - Alternative Programme  ",E2, " Enhancement Expenditure")</f>
        <v>Table 7d: WC level - Alternative Programme  Least Cost  Enhancement Expenditure</v>
      </c>
      <c r="C28" s="155"/>
      <c r="D28" s="154"/>
      <c r="E28" s="154"/>
      <c r="F28" s="90"/>
      <c r="G28" s="90"/>
      <c r="H28" s="90"/>
      <c r="I28" s="90"/>
      <c r="J28" s="90"/>
      <c r="K28" s="90"/>
      <c r="L28" s="90"/>
      <c r="M28" s="1571" t="s">
        <v>971</v>
      </c>
      <c r="N28" s="1572"/>
      <c r="O28" s="1572"/>
      <c r="P28" s="1572"/>
      <c r="Q28" s="1572"/>
      <c r="R28" s="1572"/>
      <c r="S28" s="1572"/>
      <c r="T28" s="1572"/>
      <c r="U28" s="1572"/>
      <c r="V28" s="1572"/>
      <c r="W28" s="1572"/>
      <c r="X28" s="1572"/>
      <c r="Y28" s="1572"/>
      <c r="Z28" s="1572"/>
    </row>
    <row r="29" spans="2:26" ht="28.2" thickBot="1" x14ac:dyDescent="0.3">
      <c r="B29" s="122" t="s">
        <v>63</v>
      </c>
      <c r="C29" s="123" t="s">
        <v>1002</v>
      </c>
      <c r="D29" s="123" t="s">
        <v>1003</v>
      </c>
      <c r="E29" s="123" t="s">
        <v>117</v>
      </c>
      <c r="F29" s="124" t="s">
        <v>118</v>
      </c>
      <c r="G29" s="136" t="s">
        <v>973</v>
      </c>
      <c r="H29" s="125" t="s">
        <v>974</v>
      </c>
      <c r="I29" s="125" t="s">
        <v>975</v>
      </c>
      <c r="J29" s="125" t="s">
        <v>976</v>
      </c>
      <c r="K29" s="125" t="s">
        <v>977</v>
      </c>
      <c r="L29" s="126" t="s">
        <v>978</v>
      </c>
      <c r="M29" s="137" t="s">
        <v>979</v>
      </c>
      <c r="N29" s="137" t="s">
        <v>980</v>
      </c>
      <c r="O29" s="137" t="s">
        <v>981</v>
      </c>
      <c r="P29" s="137" t="s">
        <v>982</v>
      </c>
      <c r="Q29" s="136" t="s">
        <v>983</v>
      </c>
      <c r="R29" s="125" t="s">
        <v>984</v>
      </c>
      <c r="S29" s="125" t="s">
        <v>985</v>
      </c>
      <c r="T29" s="125" t="s">
        <v>986</v>
      </c>
      <c r="U29" s="125" t="s">
        <v>987</v>
      </c>
      <c r="V29" s="126" t="s">
        <v>988</v>
      </c>
      <c r="W29" s="137" t="s">
        <v>989</v>
      </c>
      <c r="X29" s="137" t="s">
        <v>990</v>
      </c>
      <c r="Y29" s="137" t="s">
        <v>991</v>
      </c>
      <c r="Z29" s="137" t="s">
        <v>992</v>
      </c>
    </row>
    <row r="30" spans="2:26" ht="13.95" customHeight="1" thickBot="1" x14ac:dyDescent="0.3">
      <c r="B30" s="264" t="s">
        <v>1011</v>
      </c>
      <c r="C30" s="265" t="s">
        <v>1012</v>
      </c>
      <c r="D30" s="265" t="s">
        <v>811</v>
      </c>
      <c r="E30" s="265" t="s">
        <v>254</v>
      </c>
      <c r="F30" s="294">
        <v>3</v>
      </c>
      <c r="G30" s="299">
        <f>'8. Business Plan Links '!L167</f>
        <v>0</v>
      </c>
      <c r="H30" s="299">
        <f>'8. Business Plan Links '!M167</f>
        <v>6821.0313154933247</v>
      </c>
      <c r="I30" s="299">
        <f>'8. Business Plan Links '!N167</f>
        <v>9882.3617714228403</v>
      </c>
      <c r="J30" s="299">
        <f>'8. Business Plan Links '!O167</f>
        <v>7605.0247886126608</v>
      </c>
      <c r="K30" s="299">
        <f>'8. Business Plan Links '!P167</f>
        <v>7674.5231488640948</v>
      </c>
      <c r="L30" s="299">
        <f>'8. Business Plan Links '!Q167</f>
        <v>13453.948349349792</v>
      </c>
      <c r="M30" s="299">
        <f>'8. Business Plan Links '!R167</f>
        <v>72645.120887816593</v>
      </c>
      <c r="N30" s="299">
        <f>'8. Business Plan Links '!S167</f>
        <v>68730.213194554934</v>
      </c>
      <c r="O30" s="299">
        <f>'8. Business Plan Links '!T167</f>
        <v>82828.523676928555</v>
      </c>
      <c r="P30" s="299">
        <f>'8. Business Plan Links '!U167</f>
        <v>107075.01727586468</v>
      </c>
      <c r="Q30" s="299">
        <f>'8. Business Plan Links '!V167</f>
        <v>4179.4198518969442</v>
      </c>
      <c r="R30" s="299">
        <f>'8. Business Plan Links '!W167</f>
        <v>2091.6356667906525</v>
      </c>
      <c r="S30" s="299">
        <f>'8. Business Plan Links '!X167</f>
        <v>0</v>
      </c>
      <c r="T30" s="299">
        <f>'8. Business Plan Links '!Y167</f>
        <v>0</v>
      </c>
      <c r="U30" s="299">
        <f>'8. Business Plan Links '!Z167</f>
        <v>0</v>
      </c>
      <c r="V30" s="299">
        <f>'8. Business Plan Links '!AA167</f>
        <v>0</v>
      </c>
      <c r="W30" s="314"/>
      <c r="X30" s="314"/>
      <c r="Y30" s="314"/>
      <c r="Z30" s="314"/>
    </row>
    <row r="31" spans="2:26" ht="13.95" customHeight="1" thickBot="1" x14ac:dyDescent="0.3">
      <c r="B31" s="130" t="s">
        <v>1013</v>
      </c>
      <c r="C31" s="131" t="s">
        <v>1012</v>
      </c>
      <c r="D31" s="131" t="s">
        <v>806</v>
      </c>
      <c r="E31" s="131" t="s">
        <v>254</v>
      </c>
      <c r="F31" s="295">
        <v>3</v>
      </c>
      <c r="G31" s="299">
        <f>'8. Business Plan Links '!L168</f>
        <v>0</v>
      </c>
      <c r="H31" s="299">
        <f>'8. Business Plan Links '!M168</f>
        <v>214.1196222222222</v>
      </c>
      <c r="I31" s="299">
        <f>'8. Business Plan Links '!N168</f>
        <v>221.26886666666661</v>
      </c>
      <c r="J31" s="299">
        <f>'8. Business Plan Links '!O168</f>
        <v>228.92675555555556</v>
      </c>
      <c r="K31" s="299">
        <f>'8. Business Plan Links '!P168</f>
        <v>236.58464444444445</v>
      </c>
      <c r="L31" s="299">
        <f>'8. Business Plan Links '!Q168</f>
        <v>243.79808888888888</v>
      </c>
      <c r="M31" s="299">
        <f>'8. Business Plan Links '!R168</f>
        <v>1703.8493955555552</v>
      </c>
      <c r="N31" s="299">
        <f>'8. Business Plan Links '!S168</f>
        <v>1472.9035333333334</v>
      </c>
      <c r="O31" s="299">
        <f>'8. Business Plan Links '!T168</f>
        <v>2315.3886440841161</v>
      </c>
      <c r="P31" s="299">
        <f>'8. Business Plan Links '!U168</f>
        <v>2325.6886440841163</v>
      </c>
      <c r="Q31" s="299">
        <f>'8. Business Plan Links '!V168</f>
        <v>1926.2034440841164</v>
      </c>
      <c r="R31" s="299">
        <f>'8. Business Plan Links '!W168</f>
        <v>1926.2034440841164</v>
      </c>
      <c r="S31" s="299">
        <f>'8. Business Plan Links '!X168</f>
        <v>1926.2034440841164</v>
      </c>
      <c r="T31" s="299">
        <f>'8. Business Plan Links '!Y168</f>
        <v>1926.2034440841164</v>
      </c>
      <c r="U31" s="299">
        <f>'8. Business Plan Links '!Z168</f>
        <v>1926.2034440841164</v>
      </c>
      <c r="V31" s="299">
        <f>'8. Business Plan Links '!AA168</f>
        <v>1926.2034440841164</v>
      </c>
      <c r="W31" s="318"/>
      <c r="X31" s="318"/>
      <c r="Y31" s="318"/>
      <c r="Z31" s="318"/>
    </row>
    <row r="32" spans="2:26" ht="13.95" customHeight="1" thickBot="1" x14ac:dyDescent="0.3">
      <c r="B32" s="133" t="s">
        <v>1014</v>
      </c>
      <c r="C32" s="134" t="s">
        <v>1012</v>
      </c>
      <c r="D32" s="134" t="s">
        <v>1006</v>
      </c>
      <c r="E32" s="134" t="s">
        <v>254</v>
      </c>
      <c r="F32" s="296">
        <v>3</v>
      </c>
      <c r="G32" s="299">
        <f>'8. Business Plan Links '!L169</f>
        <v>0</v>
      </c>
      <c r="H32" s="299">
        <f>'8. Business Plan Links '!M169</f>
        <v>7035.1509377155471</v>
      </c>
      <c r="I32" s="299">
        <f>'8. Business Plan Links '!N169</f>
        <v>10103.630638089508</v>
      </c>
      <c r="J32" s="299">
        <f>'8. Business Plan Links '!O169</f>
        <v>7833.9515441682161</v>
      </c>
      <c r="K32" s="299">
        <f>'8. Business Plan Links '!P169</f>
        <v>7911.1077933085389</v>
      </c>
      <c r="L32" s="299">
        <f>'8. Business Plan Links '!Q169</f>
        <v>13697.746438238681</v>
      </c>
      <c r="M32" s="299">
        <f>'8. Business Plan Links '!R169</f>
        <v>74348.970283372153</v>
      </c>
      <c r="N32" s="299">
        <f>'8. Business Plan Links '!S169</f>
        <v>70203.116727888264</v>
      </c>
      <c r="O32" s="299">
        <f>'8. Business Plan Links '!T169</f>
        <v>85143.912321012671</v>
      </c>
      <c r="P32" s="299">
        <f>'8. Business Plan Links '!U169</f>
        <v>109400.7059199488</v>
      </c>
      <c r="Q32" s="299">
        <f>'8. Business Plan Links '!V169</f>
        <v>6105.6232959810604</v>
      </c>
      <c r="R32" s="299">
        <f>'8. Business Plan Links '!W169</f>
        <v>4017.8391108747692</v>
      </c>
      <c r="S32" s="299">
        <f>'8. Business Plan Links '!X169</f>
        <v>1926.2034440841164</v>
      </c>
      <c r="T32" s="299">
        <f>'8. Business Plan Links '!Y169</f>
        <v>1926.2034440841164</v>
      </c>
      <c r="U32" s="299">
        <f>'8. Business Plan Links '!Z169</f>
        <v>1926.2034440841164</v>
      </c>
      <c r="V32" s="299">
        <f>'8. Business Plan Links '!AA169</f>
        <v>1926.2034440841164</v>
      </c>
      <c r="W32" s="326"/>
      <c r="X32" s="326"/>
      <c r="Y32" s="326"/>
      <c r="Z32" s="326"/>
    </row>
    <row r="33" spans="2:26" x14ac:dyDescent="0.25">
      <c r="Q33" s="66"/>
      <c r="R33" s="66"/>
    </row>
    <row r="34" spans="2:26" ht="14.4" thickBot="1" x14ac:dyDescent="0.3">
      <c r="Q34" s="66"/>
      <c r="R34" s="66"/>
    </row>
    <row r="35" spans="2:26" ht="42.6" customHeight="1" thickBot="1" x14ac:dyDescent="0.3">
      <c r="B35" s="116" t="s">
        <v>57</v>
      </c>
      <c r="C35" s="62" t="str">
        <f>'TITLE PAGE'!$D$18</f>
        <v>Bristol Water</v>
      </c>
      <c r="D35" s="117" t="s">
        <v>956</v>
      </c>
      <c r="E35" s="63" t="s">
        <v>1695</v>
      </c>
      <c r="F35" s="116" t="s">
        <v>958</v>
      </c>
      <c r="G35" s="63" t="s">
        <v>355</v>
      </c>
      <c r="H35" s="118" t="s">
        <v>111</v>
      </c>
      <c r="I35" s="63" t="s">
        <v>2057</v>
      </c>
      <c r="Q35" s="66"/>
      <c r="R35" s="66"/>
    </row>
    <row r="36" spans="2:26" ht="90" customHeight="1" thickBot="1" x14ac:dyDescent="0.3">
      <c r="B36" s="117" t="s">
        <v>961</v>
      </c>
      <c r="C36" s="1585" t="s">
        <v>2061</v>
      </c>
      <c r="D36" s="1586"/>
      <c r="E36" s="1586"/>
      <c r="F36" s="1586"/>
      <c r="G36" s="1586"/>
      <c r="H36" s="1586"/>
      <c r="I36" s="1587"/>
      <c r="Q36" s="66"/>
      <c r="R36" s="66"/>
    </row>
    <row r="37" spans="2:26" ht="42.6" customHeight="1" thickBot="1" x14ac:dyDescent="0.3">
      <c r="B37" s="117" t="s">
        <v>963</v>
      </c>
      <c r="C37" s="1582" t="s">
        <v>1696</v>
      </c>
      <c r="D37" s="1588"/>
      <c r="E37" s="1588"/>
      <c r="F37" s="1588"/>
      <c r="G37" s="1588"/>
      <c r="H37" s="1588"/>
      <c r="I37" s="1589"/>
      <c r="Q37" s="66"/>
      <c r="R37" s="66"/>
    </row>
    <row r="38" spans="2:26" ht="87.6" customHeight="1" thickBot="1" x14ac:dyDescent="0.3">
      <c r="B38" s="117" t="s">
        <v>966</v>
      </c>
      <c r="C38" s="1585" t="s">
        <v>1702</v>
      </c>
      <c r="D38" s="1590"/>
      <c r="E38" s="1590"/>
      <c r="F38" s="1590"/>
      <c r="G38" s="1590"/>
      <c r="H38" s="1590"/>
      <c r="I38" s="1591"/>
    </row>
    <row r="39" spans="2:26" ht="55.8" thickBot="1" x14ac:dyDescent="0.3">
      <c r="B39" s="64" t="s">
        <v>968</v>
      </c>
      <c r="C39" s="119"/>
      <c r="D39" s="65" t="s">
        <v>969</v>
      </c>
      <c r="E39" s="1472" t="s">
        <v>761</v>
      </c>
      <c r="F39" s="120" t="s">
        <v>970</v>
      </c>
      <c r="G39" s="1473" t="s">
        <v>761</v>
      </c>
      <c r="H39" s="120" t="s">
        <v>2</v>
      </c>
      <c r="I39" s="121"/>
    </row>
    <row r="40" spans="2:26" ht="14.4" thickBot="1" x14ac:dyDescent="0.3"/>
    <row r="41" spans="2:26" ht="28.2" thickBot="1" x14ac:dyDescent="0.3">
      <c r="B41" s="210" t="str">
        <f>CONCATENATE("Table 7a: WC level - Alternative Programme ",E35, " Baseline SDB")</f>
        <v>Table 7a: WC level - Alternative Programme Ofwat Core  Baseline SDB</v>
      </c>
      <c r="M41" s="1571" t="s">
        <v>971</v>
      </c>
      <c r="N41" s="1572"/>
      <c r="O41" s="1572"/>
      <c r="P41" s="1572"/>
      <c r="Q41" s="1572"/>
      <c r="R41" s="1572"/>
      <c r="S41" s="1572"/>
      <c r="T41" s="1572"/>
      <c r="U41" s="1572"/>
      <c r="V41" s="1572"/>
      <c r="W41" s="1572"/>
      <c r="X41" s="1572"/>
      <c r="Y41" s="1572"/>
      <c r="Z41" s="1572"/>
    </row>
    <row r="42" spans="2:26" ht="28.2" thickBot="1" x14ac:dyDescent="0.3">
      <c r="B42" s="122" t="s">
        <v>63</v>
      </c>
      <c r="C42" s="123" t="s">
        <v>972</v>
      </c>
      <c r="D42" s="1573" t="s">
        <v>117</v>
      </c>
      <c r="E42" s="1574"/>
      <c r="F42" s="124" t="s">
        <v>118</v>
      </c>
      <c r="G42" s="136" t="s">
        <v>973</v>
      </c>
      <c r="H42" s="125" t="s">
        <v>974</v>
      </c>
      <c r="I42" s="125" t="s">
        <v>975</v>
      </c>
      <c r="J42" s="125" t="s">
        <v>976</v>
      </c>
      <c r="K42" s="125" t="s">
        <v>977</v>
      </c>
      <c r="L42" s="126" t="s">
        <v>978</v>
      </c>
      <c r="M42" s="137" t="s">
        <v>979</v>
      </c>
      <c r="N42" s="137" t="s">
        <v>980</v>
      </c>
      <c r="O42" s="137" t="s">
        <v>981</v>
      </c>
      <c r="P42" s="137" t="s">
        <v>982</v>
      </c>
      <c r="Q42" s="136" t="s">
        <v>983</v>
      </c>
      <c r="R42" s="125" t="s">
        <v>984</v>
      </c>
      <c r="S42" s="125" t="s">
        <v>985</v>
      </c>
      <c r="T42" s="125" t="s">
        <v>986</v>
      </c>
      <c r="U42" s="125" t="s">
        <v>987</v>
      </c>
      <c r="V42" s="126" t="s">
        <v>988</v>
      </c>
      <c r="W42" s="137" t="s">
        <v>989</v>
      </c>
      <c r="X42" s="137" t="s">
        <v>990</v>
      </c>
      <c r="Y42" s="137" t="s">
        <v>991</v>
      </c>
      <c r="Z42" s="137" t="s">
        <v>992</v>
      </c>
    </row>
    <row r="43" spans="2:26" x14ac:dyDescent="0.25">
      <c r="B43" s="127" t="s">
        <v>993</v>
      </c>
      <c r="C43" s="128" t="s">
        <v>939</v>
      </c>
      <c r="D43" s="1575" t="s">
        <v>146</v>
      </c>
      <c r="E43" s="1576"/>
      <c r="F43" s="129">
        <v>2</v>
      </c>
      <c r="G43" s="315">
        <f>G10</f>
        <v>278.93413189404333</v>
      </c>
      <c r="H43" s="315">
        <f t="shared" ref="H43:V43" si="0">H10</f>
        <v>279.21570306045902</v>
      </c>
      <c r="I43" s="315">
        <f t="shared" si="0"/>
        <v>279.64864307183785</v>
      </c>
      <c r="J43" s="315">
        <f t="shared" si="0"/>
        <v>279.80633600864383</v>
      </c>
      <c r="K43" s="315">
        <f t="shared" si="0"/>
        <v>279.96763831131614</v>
      </c>
      <c r="L43" s="315">
        <f t="shared" si="0"/>
        <v>280.17749263091429</v>
      </c>
      <c r="M43" s="315">
        <f t="shared" si="0"/>
        <v>1402.411500293319</v>
      </c>
      <c r="N43" s="315">
        <f t="shared" si="0"/>
        <v>1413.9166363569225</v>
      </c>
      <c r="O43" s="315">
        <f t="shared" si="0"/>
        <v>1434.6026859356284</v>
      </c>
      <c r="P43" s="315">
        <f t="shared" si="0"/>
        <v>1455.7495760755219</v>
      </c>
      <c r="Q43" s="315">
        <f t="shared" si="0"/>
        <v>1477.3522329373259</v>
      </c>
      <c r="R43" s="315">
        <f t="shared" si="0"/>
        <v>1500.3226873894948</v>
      </c>
      <c r="S43" s="315">
        <f t="shared" si="0"/>
        <v>1525.9609587472653</v>
      </c>
      <c r="T43" s="315">
        <f t="shared" si="0"/>
        <v>1552.1793049377798</v>
      </c>
      <c r="U43" s="315">
        <f t="shared" si="0"/>
        <v>1578.7479074354023</v>
      </c>
      <c r="V43" s="315">
        <f t="shared" si="0"/>
        <v>1589.426843098533</v>
      </c>
      <c r="W43" s="314"/>
      <c r="X43" s="314"/>
      <c r="Y43" s="314"/>
      <c r="Z43" s="314"/>
    </row>
    <row r="44" spans="2:26" x14ac:dyDescent="0.25">
      <c r="B44" s="130" t="s">
        <v>994</v>
      </c>
      <c r="C44" s="131" t="s">
        <v>300</v>
      </c>
      <c r="D44" s="1577" t="s">
        <v>146</v>
      </c>
      <c r="E44" s="1578"/>
      <c r="F44" s="132">
        <v>2</v>
      </c>
      <c r="G44" s="315">
        <f t="shared" ref="G44:L46" si="1">G11</f>
        <v>307.23750000000001</v>
      </c>
      <c r="H44" s="315">
        <f t="shared" si="1"/>
        <v>312.80125000000004</v>
      </c>
      <c r="I44" s="315">
        <f t="shared" si="1"/>
        <v>312.39500000000004</v>
      </c>
      <c r="J44" s="315">
        <f t="shared" si="1"/>
        <v>311.98875000000004</v>
      </c>
      <c r="K44" s="315">
        <f t="shared" si="1"/>
        <v>311.58250000000004</v>
      </c>
      <c r="L44" s="315">
        <f t="shared" si="1"/>
        <v>311.17625000000004</v>
      </c>
      <c r="M44" s="315">
        <f t="shared" ref="M44:V44" si="2">M11</f>
        <v>1541.6875000000002</v>
      </c>
      <c r="N44" s="315">
        <f t="shared" si="2"/>
        <v>1511.5312500000002</v>
      </c>
      <c r="O44" s="315">
        <f t="shared" si="2"/>
        <v>1501.6250000000002</v>
      </c>
      <c r="P44" s="315">
        <f t="shared" si="2"/>
        <v>1491.4687500000002</v>
      </c>
      <c r="Q44" s="315">
        <f t="shared" si="2"/>
        <v>1481.3125000000002</v>
      </c>
      <c r="R44" s="315">
        <f t="shared" si="2"/>
        <v>1471.1562500000002</v>
      </c>
      <c r="S44" s="315">
        <f t="shared" si="2"/>
        <v>1461.0000000000002</v>
      </c>
      <c r="T44" s="315">
        <f t="shared" si="2"/>
        <v>1450.8437500000002</v>
      </c>
      <c r="U44" s="315">
        <f t="shared" si="2"/>
        <v>1440.6875000000002</v>
      </c>
      <c r="V44" s="315">
        <f t="shared" si="2"/>
        <v>1436.6250000000002</v>
      </c>
      <c r="W44" s="318"/>
      <c r="X44" s="318"/>
      <c r="Y44" s="318"/>
      <c r="Z44" s="318"/>
    </row>
    <row r="45" spans="2:26" x14ac:dyDescent="0.25">
      <c r="B45" s="212" t="s">
        <v>995</v>
      </c>
      <c r="C45" s="213" t="s">
        <v>294</v>
      </c>
      <c r="D45" s="1577" t="s">
        <v>146</v>
      </c>
      <c r="E45" s="1578"/>
      <c r="F45" s="132">
        <v>2</v>
      </c>
      <c r="G45" s="315">
        <f t="shared" si="1"/>
        <v>14.044624468896783</v>
      </c>
      <c r="H45" s="315">
        <f t="shared" si="1"/>
        <v>14.062496270910394</v>
      </c>
      <c r="I45" s="315">
        <f t="shared" si="1"/>
        <v>14.385475563742698</v>
      </c>
      <c r="J45" s="315">
        <f t="shared" si="1"/>
        <v>14.584143171743792</v>
      </c>
      <c r="K45" s="315">
        <f t="shared" si="1"/>
        <v>14.813651528764154</v>
      </c>
      <c r="L45" s="315">
        <f t="shared" si="1"/>
        <v>12.386436241809495</v>
      </c>
      <c r="M45" s="315">
        <f t="shared" ref="M45:V45" si="3">M12</f>
        <v>63.208927491111297</v>
      </c>
      <c r="N45" s="315">
        <f t="shared" si="3"/>
        <v>58.774993929857089</v>
      </c>
      <c r="O45" s="315">
        <f t="shared" si="3"/>
        <v>54.652415133207782</v>
      </c>
      <c r="P45" s="315">
        <f t="shared" si="3"/>
        <v>51.179244475227804</v>
      </c>
      <c r="Q45" s="315">
        <f t="shared" si="3"/>
        <v>36841.995235047725</v>
      </c>
      <c r="R45" s="315">
        <f t="shared" si="3"/>
        <v>52.591194610450593</v>
      </c>
      <c r="S45" s="315">
        <f t="shared" si="3"/>
        <v>56.46569198156061</v>
      </c>
      <c r="T45" s="315">
        <f t="shared" si="3"/>
        <v>60.867410669112509</v>
      </c>
      <c r="U45" s="315">
        <f t="shared" si="3"/>
        <v>65.871103474940284</v>
      </c>
      <c r="V45" s="315">
        <f t="shared" si="3"/>
        <v>68.218948584058808</v>
      </c>
      <c r="W45" s="322"/>
      <c r="X45" s="322"/>
      <c r="Y45" s="322"/>
      <c r="Z45" s="322"/>
    </row>
    <row r="46" spans="2:26" ht="14.4" thickBot="1" x14ac:dyDescent="0.3">
      <c r="B46" s="133" t="s">
        <v>996</v>
      </c>
      <c r="C46" s="134" t="s">
        <v>303</v>
      </c>
      <c r="D46" s="1569" t="s">
        <v>146</v>
      </c>
      <c r="E46" s="1570"/>
      <c r="F46" s="135">
        <v>2</v>
      </c>
      <c r="G46" s="315">
        <f t="shared" si="1"/>
        <v>14.258743637059895</v>
      </c>
      <c r="H46" s="315">
        <f t="shared" si="1"/>
        <v>19.523050668630624</v>
      </c>
      <c r="I46" s="315">
        <f t="shared" si="1"/>
        <v>18.360881364419487</v>
      </c>
      <c r="J46" s="315">
        <f t="shared" si="1"/>
        <v>17.598270819612424</v>
      </c>
      <c r="K46" s="315">
        <f t="shared" si="1"/>
        <v>16.801210159919748</v>
      </c>
      <c r="L46" s="315">
        <f t="shared" si="1"/>
        <v>18.612321127276257</v>
      </c>
      <c r="M46" s="315">
        <f t="shared" ref="M46:V46" si="4">M13</f>
        <v>76.067072215569851</v>
      </c>
      <c r="N46" s="315">
        <f t="shared" si="4"/>
        <v>38.839619713220713</v>
      </c>
      <c r="O46" s="315">
        <f t="shared" si="4"/>
        <v>12.369898931163972</v>
      </c>
      <c r="P46" s="315">
        <f t="shared" si="4"/>
        <v>-15.460070550749396</v>
      </c>
      <c r="Q46" s="315">
        <f t="shared" si="4"/>
        <v>-44.826178206907457</v>
      </c>
      <c r="R46" s="315">
        <f t="shared" si="4"/>
        <v>-81.757631999945147</v>
      </c>
      <c r="S46" s="315">
        <f t="shared" si="4"/>
        <v>-121.42665072882585</v>
      </c>
      <c r="T46" s="315">
        <f t="shared" si="4"/>
        <v>-162.20296560689195</v>
      </c>
      <c r="U46" s="315">
        <f t="shared" si="4"/>
        <v>-203.93151091034264</v>
      </c>
      <c r="V46" s="315">
        <f t="shared" si="4"/>
        <v>-221.02079168259147</v>
      </c>
      <c r="W46" s="326"/>
      <c r="X46" s="326"/>
      <c r="Y46" s="326"/>
      <c r="Z46" s="326"/>
    </row>
    <row r="47" spans="2:26" ht="14.4" thickBot="1" x14ac:dyDescent="0.3">
      <c r="B47" s="153"/>
      <c r="C47" s="82"/>
      <c r="D47" s="82"/>
      <c r="E47" s="82"/>
      <c r="Q47" s="66"/>
      <c r="R47" s="66"/>
    </row>
    <row r="48" spans="2:26" ht="28.2" thickBot="1" x14ac:dyDescent="0.3">
      <c r="B48" s="210" t="str">
        <f>CONCATENATE("Table 7b: WC level - Alternative Programme  ",E35, " Final Plan SDB")</f>
        <v>Table 7b: WC level - Alternative Programme  Ofwat Core  Final Plan SDB</v>
      </c>
      <c r="C48" s="155"/>
      <c r="D48" s="154"/>
      <c r="E48" s="154"/>
      <c r="F48" s="90"/>
      <c r="G48" s="90"/>
      <c r="H48" s="90"/>
      <c r="I48" s="90"/>
      <c r="J48" s="90"/>
      <c r="K48" s="90"/>
      <c r="L48" s="90"/>
      <c r="M48" s="1571" t="s">
        <v>971</v>
      </c>
      <c r="N48" s="1572"/>
      <c r="O48" s="1572"/>
      <c r="P48" s="1572"/>
      <c r="Q48" s="1572"/>
      <c r="R48" s="1572"/>
      <c r="S48" s="1572"/>
      <c r="T48" s="1572"/>
      <c r="U48" s="1572"/>
      <c r="V48" s="1572"/>
      <c r="W48" s="1572"/>
      <c r="X48" s="1572"/>
      <c r="Y48" s="1572"/>
      <c r="Z48" s="1572"/>
    </row>
    <row r="49" spans="2:26" ht="28.2" thickBot="1" x14ac:dyDescent="0.3">
      <c r="B49" s="384" t="s">
        <v>63</v>
      </c>
      <c r="C49" s="385" t="s">
        <v>997</v>
      </c>
      <c r="D49" s="1573" t="s">
        <v>117</v>
      </c>
      <c r="E49" s="1574"/>
      <c r="F49" s="386" t="s">
        <v>118</v>
      </c>
      <c r="G49" s="387" t="s">
        <v>973</v>
      </c>
      <c r="H49" s="388" t="s">
        <v>974</v>
      </c>
      <c r="I49" s="388" t="s">
        <v>975</v>
      </c>
      <c r="J49" s="388" t="s">
        <v>976</v>
      </c>
      <c r="K49" s="388" t="s">
        <v>977</v>
      </c>
      <c r="L49" s="389" t="s">
        <v>978</v>
      </c>
      <c r="M49" s="390" t="s">
        <v>979</v>
      </c>
      <c r="N49" s="390" t="s">
        <v>980</v>
      </c>
      <c r="O49" s="390" t="s">
        <v>981</v>
      </c>
      <c r="P49" s="390" t="s">
        <v>982</v>
      </c>
      <c r="Q49" s="136" t="s">
        <v>983</v>
      </c>
      <c r="R49" s="125" t="s">
        <v>984</v>
      </c>
      <c r="S49" s="125" t="s">
        <v>985</v>
      </c>
      <c r="T49" s="125" t="s">
        <v>986</v>
      </c>
      <c r="U49" s="125" t="s">
        <v>987</v>
      </c>
      <c r="V49" s="126" t="s">
        <v>988</v>
      </c>
      <c r="W49" s="137" t="s">
        <v>989</v>
      </c>
      <c r="X49" s="137" t="s">
        <v>990</v>
      </c>
      <c r="Y49" s="137" t="s">
        <v>991</v>
      </c>
      <c r="Z49" s="137" t="s">
        <v>992</v>
      </c>
    </row>
    <row r="50" spans="2:26" x14ac:dyDescent="0.25">
      <c r="B50" s="364" t="s">
        <v>998</v>
      </c>
      <c r="C50" s="365" t="s">
        <v>939</v>
      </c>
      <c r="D50" s="1575" t="s">
        <v>146</v>
      </c>
      <c r="E50" s="1576"/>
      <c r="F50" s="366">
        <v>2</v>
      </c>
      <c r="G50" s="311">
        <f>G17</f>
        <v>278.93413189404333</v>
      </c>
      <c r="H50" s="311">
        <f t="shared" ref="H50:L50" si="5">H17</f>
        <v>278.14761980295498</v>
      </c>
      <c r="I50" s="311">
        <f t="shared" si="5"/>
        <v>275.35272303146263</v>
      </c>
      <c r="J50" s="311">
        <f t="shared" si="5"/>
        <v>272.15287641412834</v>
      </c>
      <c r="K50" s="311">
        <f t="shared" si="5"/>
        <v>269.06041905722549</v>
      </c>
      <c r="L50" s="311">
        <f t="shared" si="5"/>
        <v>265.94861981021927</v>
      </c>
      <c r="M50" s="311">
        <f t="shared" ref="M50:V50" si="6">M17</f>
        <v>1249.5346630135693</v>
      </c>
      <c r="N50" s="311">
        <f t="shared" si="6"/>
        <v>1164.7921122261077</v>
      </c>
      <c r="O50" s="311">
        <f t="shared" si="6"/>
        <v>1115.8685425564836</v>
      </c>
      <c r="P50" s="311">
        <f t="shared" si="6"/>
        <v>1102.0258973473615</v>
      </c>
      <c r="Q50" s="311">
        <f t="shared" si="6"/>
        <v>1117.3635765107683</v>
      </c>
      <c r="R50" s="311">
        <f t="shared" si="6"/>
        <v>1187.0119111550814</v>
      </c>
      <c r="S50" s="311">
        <f t="shared" si="6"/>
        <v>1241.1561206687352</v>
      </c>
      <c r="T50" s="311">
        <f t="shared" si="6"/>
        <v>1279.0257599157744</v>
      </c>
      <c r="U50" s="311">
        <f t="shared" si="6"/>
        <v>1305.9957453816828</v>
      </c>
      <c r="V50" s="311">
        <f t="shared" si="6"/>
        <v>1316.1595388484964</v>
      </c>
      <c r="W50" s="314"/>
      <c r="X50" s="314"/>
      <c r="Y50" s="314"/>
      <c r="Z50" s="314"/>
    </row>
    <row r="51" spans="2:26" x14ac:dyDescent="0.25">
      <c r="B51" s="372" t="s">
        <v>999</v>
      </c>
      <c r="C51" s="131" t="s">
        <v>300</v>
      </c>
      <c r="D51" s="1577" t="s">
        <v>146</v>
      </c>
      <c r="E51" s="1578"/>
      <c r="F51" s="132">
        <v>2</v>
      </c>
      <c r="G51" s="311">
        <f t="shared" ref="G51:L53" si="7">G18</f>
        <v>307.23750000000001</v>
      </c>
      <c r="H51" s="311">
        <f t="shared" si="7"/>
        <v>312.80125000000004</v>
      </c>
      <c r="I51" s="311">
        <f t="shared" si="7"/>
        <v>312.39500000000004</v>
      </c>
      <c r="J51" s="311">
        <f t="shared" si="7"/>
        <v>311.98875000000004</v>
      </c>
      <c r="K51" s="311">
        <f t="shared" si="7"/>
        <v>311.58250000000004</v>
      </c>
      <c r="L51" s="311">
        <f t="shared" si="7"/>
        <v>311.17625000000004</v>
      </c>
      <c r="M51" s="311">
        <f t="shared" ref="M51:V51" si="8">M18</f>
        <v>1541.6875000000002</v>
      </c>
      <c r="N51" s="311">
        <f t="shared" si="8"/>
        <v>1511.5312500000002</v>
      </c>
      <c r="O51" s="311">
        <f t="shared" si="8"/>
        <v>1501.6250000000002</v>
      </c>
      <c r="P51" s="311">
        <f t="shared" si="8"/>
        <v>1491.4687500000002</v>
      </c>
      <c r="Q51" s="311">
        <f t="shared" si="8"/>
        <v>1481.3125000000002</v>
      </c>
      <c r="R51" s="311">
        <f t="shared" si="8"/>
        <v>1471.1562500000002</v>
      </c>
      <c r="S51" s="311">
        <f t="shared" si="8"/>
        <v>1461.0000000000002</v>
      </c>
      <c r="T51" s="311">
        <f t="shared" si="8"/>
        <v>1450.8437500000002</v>
      </c>
      <c r="U51" s="311">
        <f t="shared" si="8"/>
        <v>1440.6875000000002</v>
      </c>
      <c r="V51" s="311">
        <f t="shared" si="8"/>
        <v>1436.6250000000002</v>
      </c>
      <c r="W51" s="318"/>
      <c r="X51" s="318"/>
      <c r="Y51" s="318"/>
      <c r="Z51" s="318"/>
    </row>
    <row r="52" spans="2:26" x14ac:dyDescent="0.25">
      <c r="B52" s="374" t="s">
        <v>1000</v>
      </c>
      <c r="C52" s="213" t="s">
        <v>294</v>
      </c>
      <c r="D52" s="1577" t="s">
        <v>146</v>
      </c>
      <c r="E52" s="1578"/>
      <c r="F52" s="132">
        <v>2</v>
      </c>
      <c r="G52" s="311">
        <f t="shared" si="7"/>
        <v>14.044624468896783</v>
      </c>
      <c r="H52" s="311">
        <f t="shared" si="7"/>
        <v>14.062496270910394</v>
      </c>
      <c r="I52" s="311">
        <f t="shared" si="7"/>
        <v>14.385475563742698</v>
      </c>
      <c r="J52" s="311">
        <f t="shared" si="7"/>
        <v>14.584143171743792</v>
      </c>
      <c r="K52" s="311">
        <f t="shared" si="7"/>
        <v>14.813651528764154</v>
      </c>
      <c r="L52" s="311">
        <f t="shared" si="7"/>
        <v>12.386436241809495</v>
      </c>
      <c r="M52" s="311">
        <f t="shared" ref="M52:V52" si="9">M19</f>
        <v>63.208927491111297</v>
      </c>
      <c r="N52" s="311">
        <f t="shared" si="9"/>
        <v>58.774993929857089</v>
      </c>
      <c r="O52" s="311">
        <f t="shared" si="9"/>
        <v>54.652415133207782</v>
      </c>
      <c r="P52" s="311">
        <f t="shared" si="9"/>
        <v>51.179244475227804</v>
      </c>
      <c r="Q52" s="311">
        <f t="shared" si="9"/>
        <v>48.786445269581804</v>
      </c>
      <c r="R52" s="311">
        <f t="shared" si="9"/>
        <v>52.591194610450593</v>
      </c>
      <c r="S52" s="311">
        <f t="shared" si="9"/>
        <v>56.46569198156061</v>
      </c>
      <c r="T52" s="311">
        <f t="shared" si="9"/>
        <v>60.867410669112509</v>
      </c>
      <c r="U52" s="311">
        <f t="shared" si="9"/>
        <v>65.871103474940284</v>
      </c>
      <c r="V52" s="311">
        <f t="shared" si="9"/>
        <v>68.218948584058808</v>
      </c>
      <c r="W52" s="322"/>
      <c r="X52" s="322"/>
      <c r="Y52" s="322"/>
      <c r="Z52" s="322"/>
    </row>
    <row r="53" spans="2:26" ht="14.4" thickBot="1" x14ac:dyDescent="0.3">
      <c r="B53" s="376" t="s">
        <v>1001</v>
      </c>
      <c r="C53" s="377" t="s">
        <v>303</v>
      </c>
      <c r="D53" s="1569" t="s">
        <v>146</v>
      </c>
      <c r="E53" s="1570"/>
      <c r="F53" s="378">
        <v>2</v>
      </c>
      <c r="G53" s="311">
        <f t="shared" si="7"/>
        <v>14.258743637059895</v>
      </c>
      <c r="H53" s="311">
        <f t="shared" si="7"/>
        <v>20.591133926134667</v>
      </c>
      <c r="I53" s="311">
        <f t="shared" si="7"/>
        <v>22.656801404794709</v>
      </c>
      <c r="J53" s="311">
        <f t="shared" si="7"/>
        <v>25.251730414127906</v>
      </c>
      <c r="K53" s="311">
        <f t="shared" si="7"/>
        <v>27.708429414010396</v>
      </c>
      <c r="L53" s="311">
        <f t="shared" si="7"/>
        <v>32.841193947971277</v>
      </c>
      <c r="M53" s="311">
        <f t="shared" ref="M53:V53" si="10">M20</f>
        <v>228.94390949531956</v>
      </c>
      <c r="N53" s="311">
        <f t="shared" si="10"/>
        <v>287.96414384403533</v>
      </c>
      <c r="O53" s="311">
        <f t="shared" si="10"/>
        <v>331.10404231030896</v>
      </c>
      <c r="P53" s="311">
        <f t="shared" si="10"/>
        <v>338.26360817741107</v>
      </c>
      <c r="Q53" s="311">
        <f t="shared" si="10"/>
        <v>315.16247821965021</v>
      </c>
      <c r="R53" s="311">
        <f t="shared" si="10"/>
        <v>231.55314423446811</v>
      </c>
      <c r="S53" s="311">
        <f t="shared" si="10"/>
        <v>163.37818734970455</v>
      </c>
      <c r="T53" s="311">
        <f t="shared" si="10"/>
        <v>110.95057941511334</v>
      </c>
      <c r="U53" s="311">
        <f t="shared" si="10"/>
        <v>68.82065114337702</v>
      </c>
      <c r="V53" s="311">
        <f t="shared" si="10"/>
        <v>52.246512567445116</v>
      </c>
      <c r="W53" s="326"/>
      <c r="X53" s="326"/>
      <c r="Y53" s="326"/>
      <c r="Z53" s="326"/>
    </row>
    <row r="54" spans="2:26" ht="14.4" thickBot="1" x14ac:dyDescent="0.3">
      <c r="B54" s="66"/>
      <c r="Q54" s="66"/>
      <c r="R54" s="66"/>
    </row>
    <row r="55" spans="2:26" ht="28.2" thickBot="1" x14ac:dyDescent="0.3">
      <c r="B55" s="210" t="str">
        <f>CONCATENATE("Table 7c: WC level - Alternative Programme  ",E35, " Totex")</f>
        <v>Table 7c: WC level - Alternative Programme  Ofwat Core  Totex</v>
      </c>
      <c r="C55" s="155"/>
      <c r="D55" s="154"/>
      <c r="E55" s="90"/>
      <c r="F55" s="90"/>
      <c r="G55" s="90"/>
      <c r="H55" s="90"/>
      <c r="I55" s="90"/>
      <c r="J55" s="90"/>
      <c r="K55" s="90"/>
      <c r="L55" s="90"/>
      <c r="M55" s="1571" t="s">
        <v>971</v>
      </c>
      <c r="N55" s="1572"/>
      <c r="O55" s="1572"/>
      <c r="P55" s="1572"/>
      <c r="Q55" s="1572"/>
      <c r="R55" s="1572"/>
      <c r="S55" s="1572"/>
      <c r="T55" s="1572"/>
      <c r="U55" s="1572"/>
      <c r="V55" s="1572"/>
      <c r="W55" s="1572"/>
      <c r="X55" s="1572"/>
      <c r="Y55" s="1572"/>
      <c r="Z55" s="1572"/>
    </row>
    <row r="56" spans="2:26" ht="28.2" thickBot="1" x14ac:dyDescent="0.3">
      <c r="B56" s="122" t="s">
        <v>63</v>
      </c>
      <c r="C56" s="123" t="s">
        <v>1002</v>
      </c>
      <c r="D56" s="123" t="s">
        <v>1003</v>
      </c>
      <c r="E56" s="123" t="s">
        <v>117</v>
      </c>
      <c r="F56" s="124" t="s">
        <v>118</v>
      </c>
      <c r="G56" s="136" t="s">
        <v>973</v>
      </c>
      <c r="H56" s="125" t="s">
        <v>974</v>
      </c>
      <c r="I56" s="125" t="s">
        <v>975</v>
      </c>
      <c r="J56" s="125" t="s">
        <v>976</v>
      </c>
      <c r="K56" s="125" t="s">
        <v>977</v>
      </c>
      <c r="L56" s="126" t="s">
        <v>978</v>
      </c>
      <c r="M56" s="137" t="s">
        <v>979</v>
      </c>
      <c r="N56" s="137" t="s">
        <v>980</v>
      </c>
      <c r="O56" s="137" t="s">
        <v>981</v>
      </c>
      <c r="P56" s="137" t="s">
        <v>982</v>
      </c>
      <c r="Q56" s="136" t="s">
        <v>983</v>
      </c>
      <c r="R56" s="125" t="s">
        <v>984</v>
      </c>
      <c r="S56" s="125" t="s">
        <v>985</v>
      </c>
      <c r="T56" s="125" t="s">
        <v>986</v>
      </c>
      <c r="U56" s="125" t="s">
        <v>987</v>
      </c>
      <c r="V56" s="126" t="s">
        <v>988</v>
      </c>
      <c r="W56" s="137" t="s">
        <v>989</v>
      </c>
      <c r="X56" s="137" t="s">
        <v>990</v>
      </c>
      <c r="Y56" s="137" t="s">
        <v>991</v>
      </c>
      <c r="Z56" s="137" t="s">
        <v>992</v>
      </c>
    </row>
    <row r="57" spans="2:26" ht="14.4" thickBot="1" x14ac:dyDescent="0.3">
      <c r="B57" s="264" t="s">
        <v>1004</v>
      </c>
      <c r="C57" s="265" t="s">
        <v>1005</v>
      </c>
      <c r="D57" s="265" t="s">
        <v>1006</v>
      </c>
      <c r="E57" s="265" t="s">
        <v>254</v>
      </c>
      <c r="F57" s="294">
        <v>3</v>
      </c>
      <c r="G57" s="299">
        <f>'8. Business Plan Links '!L197</f>
        <v>0</v>
      </c>
      <c r="H57" s="299">
        <f>'8. Business Plan Links '!M197</f>
        <v>1345.707402518568</v>
      </c>
      <c r="I57" s="299">
        <f>'8. Business Plan Links '!N197</f>
        <v>1345.707402518568</v>
      </c>
      <c r="J57" s="299">
        <f>'8. Business Plan Links '!O197</f>
        <v>1345.707402518568</v>
      </c>
      <c r="K57" s="299">
        <f>'8. Business Plan Links '!P197</f>
        <v>1345.707402518568</v>
      </c>
      <c r="L57" s="299">
        <f>'8. Business Plan Links '!Q197</f>
        <v>1345.707402518568</v>
      </c>
      <c r="M57" s="299">
        <f>'8. Business Plan Links '!R197</f>
        <v>6728.5370125928412</v>
      </c>
      <c r="N57" s="299">
        <f>'8. Business Plan Links '!S197</f>
        <v>6728.5370125928412</v>
      </c>
      <c r="O57" s="299">
        <f>'8. Business Plan Links '!T197</f>
        <v>0</v>
      </c>
      <c r="P57" s="299">
        <f>'8. Business Plan Links '!U197</f>
        <v>0</v>
      </c>
      <c r="Q57" s="299">
        <f>'8. Business Plan Links '!V197</f>
        <v>0</v>
      </c>
      <c r="R57" s="299">
        <f>'8. Business Plan Links '!W197</f>
        <v>0</v>
      </c>
      <c r="S57" s="299">
        <f>'8. Business Plan Links '!X197</f>
        <v>0</v>
      </c>
      <c r="T57" s="299">
        <f>'8. Business Plan Links '!Y197</f>
        <v>0</v>
      </c>
      <c r="U57" s="299">
        <f>'8. Business Plan Links '!Z197</f>
        <v>0</v>
      </c>
      <c r="V57" s="299">
        <f>'8. Business Plan Links '!AA197</f>
        <v>0</v>
      </c>
      <c r="W57" s="314"/>
      <c r="X57" s="314"/>
      <c r="Y57" s="314"/>
      <c r="Z57" s="314"/>
    </row>
    <row r="58" spans="2:26" ht="14.4" thickBot="1" x14ac:dyDescent="0.3">
      <c r="B58" s="130" t="s">
        <v>1007</v>
      </c>
      <c r="C58" s="131" t="s">
        <v>1008</v>
      </c>
      <c r="D58" s="131" t="s">
        <v>1006</v>
      </c>
      <c r="E58" s="131" t="s">
        <v>254</v>
      </c>
      <c r="F58" s="295">
        <v>3</v>
      </c>
      <c r="G58" s="299">
        <f>'8. Business Plan Links '!L198</f>
        <v>0</v>
      </c>
      <c r="H58" s="299">
        <f>'8. Business Plan Links '!M198</f>
        <v>0</v>
      </c>
      <c r="I58" s="299">
        <f>'8. Business Plan Links '!N198</f>
        <v>0</v>
      </c>
      <c r="J58" s="299">
        <f>'8. Business Plan Links '!O198</f>
        <v>0</v>
      </c>
      <c r="K58" s="299">
        <f>'8. Business Plan Links '!P198</f>
        <v>0</v>
      </c>
      <c r="L58" s="299">
        <f>'8. Business Plan Links '!Q198</f>
        <v>0</v>
      </c>
      <c r="M58" s="299">
        <f>'8. Business Plan Links '!R198</f>
        <v>0</v>
      </c>
      <c r="N58" s="299">
        <f>'8. Business Plan Links '!S198</f>
        <v>0</v>
      </c>
      <c r="O58" s="299">
        <f>'8. Business Plan Links '!T198</f>
        <v>0</v>
      </c>
      <c r="P58" s="299">
        <f>'8. Business Plan Links '!U198</f>
        <v>0</v>
      </c>
      <c r="Q58" s="299">
        <f>'8. Business Plan Links '!V198</f>
        <v>0</v>
      </c>
      <c r="R58" s="299">
        <f>'8. Business Plan Links '!W198</f>
        <v>0</v>
      </c>
      <c r="S58" s="299">
        <f>'8. Business Plan Links '!X198</f>
        <v>0</v>
      </c>
      <c r="T58" s="299">
        <f>'8. Business Plan Links '!Y198</f>
        <v>0</v>
      </c>
      <c r="U58" s="299">
        <f>'8. Business Plan Links '!Z198</f>
        <v>0</v>
      </c>
      <c r="V58" s="299">
        <f>'8. Business Plan Links '!AA198</f>
        <v>0</v>
      </c>
      <c r="W58" s="318"/>
      <c r="X58" s="318"/>
      <c r="Y58" s="318"/>
      <c r="Z58" s="318"/>
    </row>
    <row r="59" spans="2:26" ht="14.4" thickBot="1" x14ac:dyDescent="0.3">
      <c r="B59" s="133" t="s">
        <v>1009</v>
      </c>
      <c r="C59" s="134" t="s">
        <v>1010</v>
      </c>
      <c r="D59" s="134" t="s">
        <v>1006</v>
      </c>
      <c r="E59" s="134" t="s">
        <v>254</v>
      </c>
      <c r="F59" s="296">
        <v>3</v>
      </c>
      <c r="G59" s="299">
        <f>'8. Business Plan Links '!L199</f>
        <v>0</v>
      </c>
      <c r="H59" s="299">
        <f>'8. Business Plan Links '!M199</f>
        <v>1345.707402518568</v>
      </c>
      <c r="I59" s="299">
        <f>'8. Business Plan Links '!N199</f>
        <v>1345.707402518568</v>
      </c>
      <c r="J59" s="299">
        <f>'8. Business Plan Links '!O199</f>
        <v>1345.707402518568</v>
      </c>
      <c r="K59" s="299">
        <f>'8. Business Plan Links '!P199</f>
        <v>1345.707402518568</v>
      </c>
      <c r="L59" s="299">
        <f>'8. Business Plan Links '!Q199</f>
        <v>1345.707402518568</v>
      </c>
      <c r="M59" s="299">
        <f>'8. Business Plan Links '!R199</f>
        <v>6728.5370125928412</v>
      </c>
      <c r="N59" s="299">
        <f>'8. Business Plan Links '!S199</f>
        <v>6728.5370125928412</v>
      </c>
      <c r="O59" s="299">
        <f>'8. Business Plan Links '!T199</f>
        <v>0</v>
      </c>
      <c r="P59" s="299">
        <f>'8. Business Plan Links '!U199</f>
        <v>0</v>
      </c>
      <c r="Q59" s="299">
        <f>'8. Business Plan Links '!V199</f>
        <v>0</v>
      </c>
      <c r="R59" s="299">
        <f>'8. Business Plan Links '!W199</f>
        <v>0</v>
      </c>
      <c r="S59" s="299">
        <f>'8. Business Plan Links '!X199</f>
        <v>0</v>
      </c>
      <c r="T59" s="299">
        <f>'8. Business Plan Links '!Y199</f>
        <v>0</v>
      </c>
      <c r="U59" s="299">
        <f>'8. Business Plan Links '!Z199</f>
        <v>0</v>
      </c>
      <c r="V59" s="299">
        <f>'8. Business Plan Links '!AA199</f>
        <v>0</v>
      </c>
      <c r="W59" s="326"/>
      <c r="X59" s="326"/>
      <c r="Y59" s="326"/>
      <c r="Z59" s="326"/>
    </row>
    <row r="60" spans="2:26" ht="14.4" thickBot="1" x14ac:dyDescent="0.3">
      <c r="R60" s="66"/>
      <c r="S60" s="66"/>
    </row>
    <row r="61" spans="2:26" ht="42" thickBot="1" x14ac:dyDescent="0.3">
      <c r="B61" s="210" t="str">
        <f>CONCATENATE("Table 7d: WC level - Alternative Programme  ",E35, " Enhancement Expenditure")</f>
        <v>Table 7d: WC level - Alternative Programme  Ofwat Core  Enhancement Expenditure</v>
      </c>
      <c r="C61" s="155"/>
      <c r="D61" s="154"/>
      <c r="E61" s="154"/>
      <c r="F61" s="90"/>
      <c r="G61" s="90"/>
      <c r="H61" s="90"/>
      <c r="I61" s="90"/>
      <c r="J61" s="90"/>
      <c r="K61" s="90"/>
      <c r="L61" s="90"/>
      <c r="M61" s="1571" t="s">
        <v>971</v>
      </c>
      <c r="N61" s="1572"/>
      <c r="O61" s="1572"/>
      <c r="P61" s="1572"/>
      <c r="Q61" s="1572"/>
      <c r="R61" s="1572"/>
      <c r="S61" s="1572"/>
      <c r="T61" s="1572"/>
      <c r="U61" s="1572"/>
      <c r="V61" s="1572"/>
      <c r="W61" s="1572"/>
      <c r="X61" s="1572"/>
      <c r="Y61" s="1572"/>
      <c r="Z61" s="1572"/>
    </row>
    <row r="62" spans="2:26" ht="28.2" thickBot="1" x14ac:dyDescent="0.3">
      <c r="B62" s="122" t="s">
        <v>63</v>
      </c>
      <c r="C62" s="123" t="s">
        <v>1002</v>
      </c>
      <c r="D62" s="123" t="s">
        <v>1003</v>
      </c>
      <c r="E62" s="123" t="s">
        <v>117</v>
      </c>
      <c r="F62" s="124" t="s">
        <v>118</v>
      </c>
      <c r="G62" s="136" t="s">
        <v>973</v>
      </c>
      <c r="H62" s="125" t="s">
        <v>974</v>
      </c>
      <c r="I62" s="125" t="s">
        <v>975</v>
      </c>
      <c r="J62" s="125" t="s">
        <v>976</v>
      </c>
      <c r="K62" s="125" t="s">
        <v>977</v>
      </c>
      <c r="L62" s="126" t="s">
        <v>978</v>
      </c>
      <c r="M62" s="137" t="s">
        <v>979</v>
      </c>
      <c r="N62" s="137" t="s">
        <v>980</v>
      </c>
      <c r="O62" s="137" t="s">
        <v>981</v>
      </c>
      <c r="P62" s="137" t="s">
        <v>982</v>
      </c>
      <c r="Q62" s="136" t="s">
        <v>983</v>
      </c>
      <c r="R62" s="125" t="s">
        <v>984</v>
      </c>
      <c r="S62" s="125" t="s">
        <v>985</v>
      </c>
      <c r="T62" s="125" t="s">
        <v>986</v>
      </c>
      <c r="U62" s="125" t="s">
        <v>987</v>
      </c>
      <c r="V62" s="126" t="s">
        <v>988</v>
      </c>
      <c r="W62" s="137" t="s">
        <v>989</v>
      </c>
      <c r="X62" s="137" t="s">
        <v>990</v>
      </c>
      <c r="Y62" s="137" t="s">
        <v>991</v>
      </c>
      <c r="Z62" s="137" t="s">
        <v>992</v>
      </c>
    </row>
    <row r="63" spans="2:26" ht="28.2" thickBot="1" x14ac:dyDescent="0.3">
      <c r="B63" s="264" t="s">
        <v>1011</v>
      </c>
      <c r="C63" s="265" t="s">
        <v>1012</v>
      </c>
      <c r="D63" s="265" t="s">
        <v>811</v>
      </c>
      <c r="E63" s="265" t="s">
        <v>254</v>
      </c>
      <c r="F63" s="294">
        <v>3</v>
      </c>
      <c r="G63" s="299">
        <f>'8. Business Plan Links '!L262</f>
        <v>0</v>
      </c>
      <c r="H63" s="299">
        <f>'8. Business Plan Links '!M262</f>
        <v>6821.0313154933247</v>
      </c>
      <c r="I63" s="299">
        <f>'8. Business Plan Links '!N262</f>
        <v>9882.3617714228403</v>
      </c>
      <c r="J63" s="299">
        <f>'8. Business Plan Links '!O262</f>
        <v>7605.0247886126608</v>
      </c>
      <c r="K63" s="299">
        <f>'8. Business Plan Links '!P262</f>
        <v>7674.5231488640948</v>
      </c>
      <c r="L63" s="299">
        <f>'8. Business Plan Links '!Q262</f>
        <v>13453.948349349792</v>
      </c>
      <c r="M63" s="299">
        <f>'8. Business Plan Links '!R262</f>
        <v>72645.120887816593</v>
      </c>
      <c r="N63" s="299">
        <f>'8. Business Plan Links '!S262</f>
        <v>68730.213194554934</v>
      </c>
      <c r="O63" s="299">
        <f>'8. Business Plan Links '!T262</f>
        <v>82828.523676928555</v>
      </c>
      <c r="P63" s="299">
        <f>'8. Business Plan Links '!U262</f>
        <v>107075.01727586468</v>
      </c>
      <c r="Q63" s="299">
        <f>'8. Business Plan Links '!V262</f>
        <v>4179.4198518969442</v>
      </c>
      <c r="R63" s="299">
        <f>'8. Business Plan Links '!W262</f>
        <v>2091.6356667906525</v>
      </c>
      <c r="S63" s="299">
        <f>'8. Business Plan Links '!X262</f>
        <v>0</v>
      </c>
      <c r="T63" s="299">
        <f>'8. Business Plan Links '!Y262</f>
        <v>0</v>
      </c>
      <c r="U63" s="299">
        <f>'8. Business Plan Links '!Z262</f>
        <v>0</v>
      </c>
      <c r="V63" s="299">
        <f>'8. Business Plan Links '!AA262</f>
        <v>0</v>
      </c>
      <c r="W63" s="314"/>
      <c r="X63" s="314"/>
      <c r="Y63" s="314"/>
      <c r="Z63" s="314"/>
    </row>
    <row r="64" spans="2:26" ht="28.2" thickBot="1" x14ac:dyDescent="0.3">
      <c r="B64" s="130" t="s">
        <v>1013</v>
      </c>
      <c r="C64" s="131" t="s">
        <v>1012</v>
      </c>
      <c r="D64" s="131" t="s">
        <v>806</v>
      </c>
      <c r="E64" s="131" t="s">
        <v>254</v>
      </c>
      <c r="F64" s="295">
        <v>3</v>
      </c>
      <c r="G64" s="299">
        <f>'8. Business Plan Links '!L263</f>
        <v>0</v>
      </c>
      <c r="H64" s="299">
        <f>'8. Business Plan Links '!M263</f>
        <v>214.1196222222222</v>
      </c>
      <c r="I64" s="299">
        <f>'8. Business Plan Links '!N263</f>
        <v>221.26886666666661</v>
      </c>
      <c r="J64" s="299">
        <f>'8. Business Plan Links '!O263</f>
        <v>228.92675555555556</v>
      </c>
      <c r="K64" s="299">
        <f>'8. Business Plan Links '!P263</f>
        <v>236.58464444444445</v>
      </c>
      <c r="L64" s="299">
        <f>'8. Business Plan Links '!Q263</f>
        <v>243.79808888888888</v>
      </c>
      <c r="M64" s="299">
        <f>'8. Business Plan Links '!R263</f>
        <v>1703.8493955555552</v>
      </c>
      <c r="N64" s="299">
        <f>'8. Business Plan Links '!S263</f>
        <v>1472.9035333333334</v>
      </c>
      <c r="O64" s="299">
        <f>'8. Business Plan Links '!T263</f>
        <v>2315.3886440841161</v>
      </c>
      <c r="P64" s="299">
        <f>'8. Business Plan Links '!U263</f>
        <v>2325.6886440841163</v>
      </c>
      <c r="Q64" s="299">
        <f>'8. Business Plan Links '!V263</f>
        <v>1926.2034440841164</v>
      </c>
      <c r="R64" s="299">
        <f>'8. Business Plan Links '!W263</f>
        <v>1926.2034440841164</v>
      </c>
      <c r="S64" s="299">
        <f>'8. Business Plan Links '!X263</f>
        <v>1926.2034440841164</v>
      </c>
      <c r="T64" s="299">
        <f>'8. Business Plan Links '!Y263</f>
        <v>1926.2034440841164</v>
      </c>
      <c r="U64" s="299">
        <f>'8. Business Plan Links '!Z263</f>
        <v>1926.2034440841164</v>
      </c>
      <c r="V64" s="299">
        <f>'8. Business Plan Links '!AA263</f>
        <v>1926.2034440841164</v>
      </c>
      <c r="W64" s="318"/>
      <c r="X64" s="318"/>
      <c r="Y64" s="318"/>
      <c r="Z64" s="318"/>
    </row>
    <row r="65" spans="2:26" ht="28.2" thickBot="1" x14ac:dyDescent="0.3">
      <c r="B65" s="133" t="s">
        <v>1014</v>
      </c>
      <c r="C65" s="134" t="s">
        <v>1012</v>
      </c>
      <c r="D65" s="134" t="s">
        <v>1006</v>
      </c>
      <c r="E65" s="134" t="s">
        <v>254</v>
      </c>
      <c r="F65" s="296">
        <v>3</v>
      </c>
      <c r="G65" s="299">
        <f>'8. Business Plan Links '!L264</f>
        <v>0</v>
      </c>
      <c r="H65" s="299">
        <f>'8. Business Plan Links '!M264</f>
        <v>7035.1509377155471</v>
      </c>
      <c r="I65" s="299">
        <f>'8. Business Plan Links '!N264</f>
        <v>10103.630638089508</v>
      </c>
      <c r="J65" s="299">
        <f>'8. Business Plan Links '!O264</f>
        <v>7833.9515441682161</v>
      </c>
      <c r="K65" s="299">
        <f>'8. Business Plan Links '!P264</f>
        <v>7911.1077933085389</v>
      </c>
      <c r="L65" s="299">
        <f>'8. Business Plan Links '!Q264</f>
        <v>13697.746438238681</v>
      </c>
      <c r="M65" s="299">
        <f>'8. Business Plan Links '!R264</f>
        <v>74348.970283372153</v>
      </c>
      <c r="N65" s="299">
        <f>'8. Business Plan Links '!S264</f>
        <v>70203.116727888264</v>
      </c>
      <c r="O65" s="299">
        <f>'8. Business Plan Links '!T264</f>
        <v>85143.912321012671</v>
      </c>
      <c r="P65" s="299">
        <f>'8. Business Plan Links '!U264</f>
        <v>109400.7059199488</v>
      </c>
      <c r="Q65" s="299">
        <f>'8. Business Plan Links '!V264</f>
        <v>6105.6232959810604</v>
      </c>
      <c r="R65" s="299">
        <f>'8. Business Plan Links '!W264</f>
        <v>4017.8391108747692</v>
      </c>
      <c r="S65" s="299">
        <f>'8. Business Plan Links '!X264</f>
        <v>1926.2034440841164</v>
      </c>
      <c r="T65" s="299">
        <f>'8. Business Plan Links '!Y264</f>
        <v>1926.2034440841164</v>
      </c>
      <c r="U65" s="299">
        <f>'8. Business Plan Links '!Z264</f>
        <v>1926.2034440841164</v>
      </c>
      <c r="V65" s="299">
        <f>'8. Business Plan Links '!AA264</f>
        <v>1926.2034440841164</v>
      </c>
      <c r="W65" s="326"/>
      <c r="X65" s="326"/>
      <c r="Y65" s="326"/>
      <c r="Z65" s="326"/>
    </row>
    <row r="67" spans="2:26" ht="14.4" thickBot="1" x14ac:dyDescent="0.3"/>
    <row r="68" spans="2:26" ht="28.2" thickBot="1" x14ac:dyDescent="0.3">
      <c r="B68" s="116" t="s">
        <v>57</v>
      </c>
      <c r="C68" s="62" t="str">
        <f>'TITLE PAGE'!$D$18</f>
        <v>Bristol Water</v>
      </c>
      <c r="D68" s="117" t="s">
        <v>956</v>
      </c>
      <c r="E68" s="63" t="s">
        <v>957</v>
      </c>
      <c r="F68" s="116" t="s">
        <v>958</v>
      </c>
      <c r="G68" s="63" t="s">
        <v>959</v>
      </c>
      <c r="H68" s="118" t="s">
        <v>111</v>
      </c>
      <c r="I68" s="63" t="s">
        <v>960</v>
      </c>
    </row>
    <row r="69" spans="2:26" ht="28.2" thickBot="1" x14ac:dyDescent="0.3">
      <c r="B69" s="117" t="s">
        <v>961</v>
      </c>
      <c r="C69" s="1582" t="s">
        <v>962</v>
      </c>
      <c r="D69" s="1583"/>
      <c r="E69" s="1583"/>
      <c r="F69" s="1583"/>
      <c r="G69" s="1583"/>
      <c r="H69" s="1583"/>
      <c r="I69" s="1584"/>
    </row>
    <row r="70" spans="2:26" ht="42" thickBot="1" x14ac:dyDescent="0.3">
      <c r="B70" s="117" t="s">
        <v>963</v>
      </c>
      <c r="C70" s="1579" t="s">
        <v>964</v>
      </c>
      <c r="D70" s="1580"/>
      <c r="E70" s="1580"/>
      <c r="F70" s="1580"/>
      <c r="G70" s="1580"/>
      <c r="H70" s="1580"/>
      <c r="I70" s="1581"/>
    </row>
    <row r="71" spans="2:26" ht="75.599999999999994" customHeight="1" thickBot="1" x14ac:dyDescent="0.3">
      <c r="B71" s="117" t="s">
        <v>966</v>
      </c>
      <c r="C71" s="1579" t="s">
        <v>967</v>
      </c>
      <c r="D71" s="1580"/>
      <c r="E71" s="1580"/>
      <c r="F71" s="1580"/>
      <c r="G71" s="1580"/>
      <c r="H71" s="1580"/>
      <c r="I71" s="1581"/>
    </row>
    <row r="72" spans="2:26" ht="55.8" thickBot="1" x14ac:dyDescent="0.3">
      <c r="B72" s="64" t="s">
        <v>968</v>
      </c>
      <c r="C72" s="119"/>
      <c r="D72" s="65" t="s">
        <v>969</v>
      </c>
      <c r="E72" s="119"/>
      <c r="F72" s="120" t="s">
        <v>970</v>
      </c>
      <c r="G72" s="121"/>
      <c r="H72" s="120" t="s">
        <v>2</v>
      </c>
      <c r="I72" s="121"/>
    </row>
    <row r="73" spans="2:26" ht="14.4" thickBot="1" x14ac:dyDescent="0.3"/>
    <row r="74" spans="2:26" ht="28.2" thickBot="1" x14ac:dyDescent="0.3">
      <c r="B74" s="210" t="str">
        <f>CONCATENATE("Table 7a: WC level - Alternative Programme ",E68, " Baseline SDB")</f>
        <v>Table 7a: WC level - Alternative Programme  [specify] Baseline SDB</v>
      </c>
      <c r="M74" s="1571" t="s">
        <v>971</v>
      </c>
      <c r="N74" s="1572"/>
      <c r="O74" s="1572"/>
      <c r="P74" s="1572"/>
      <c r="Q74" s="1572"/>
      <c r="R74" s="1572"/>
      <c r="S74" s="1572"/>
      <c r="T74" s="1572"/>
      <c r="U74" s="1572"/>
      <c r="V74" s="1572"/>
      <c r="W74" s="1572"/>
      <c r="X74" s="1572"/>
      <c r="Y74" s="1572"/>
      <c r="Z74" s="1572"/>
    </row>
    <row r="75" spans="2:26" ht="28.2" thickBot="1" x14ac:dyDescent="0.3">
      <c r="B75" s="122" t="s">
        <v>63</v>
      </c>
      <c r="C75" s="123" t="s">
        <v>972</v>
      </c>
      <c r="D75" s="1573" t="s">
        <v>117</v>
      </c>
      <c r="E75" s="1574"/>
      <c r="F75" s="124" t="s">
        <v>118</v>
      </c>
      <c r="G75" s="136" t="s">
        <v>973</v>
      </c>
      <c r="H75" s="125" t="s">
        <v>974</v>
      </c>
      <c r="I75" s="125" t="s">
        <v>975</v>
      </c>
      <c r="J75" s="125" t="s">
        <v>976</v>
      </c>
      <c r="K75" s="125" t="s">
        <v>977</v>
      </c>
      <c r="L75" s="126" t="s">
        <v>978</v>
      </c>
      <c r="M75" s="137" t="s">
        <v>979</v>
      </c>
      <c r="N75" s="137" t="s">
        <v>980</v>
      </c>
      <c r="O75" s="137" t="s">
        <v>981</v>
      </c>
      <c r="P75" s="137" t="s">
        <v>982</v>
      </c>
      <c r="Q75" s="136" t="s">
        <v>983</v>
      </c>
      <c r="R75" s="125" t="s">
        <v>984</v>
      </c>
      <c r="S75" s="125" t="s">
        <v>985</v>
      </c>
      <c r="T75" s="125" t="s">
        <v>986</v>
      </c>
      <c r="U75" s="125" t="s">
        <v>987</v>
      </c>
      <c r="V75" s="126" t="s">
        <v>988</v>
      </c>
      <c r="W75" s="137" t="s">
        <v>989</v>
      </c>
      <c r="X75" s="137" t="s">
        <v>990</v>
      </c>
      <c r="Y75" s="137" t="s">
        <v>991</v>
      </c>
      <c r="Z75" s="137" t="s">
        <v>992</v>
      </c>
    </row>
    <row r="76" spans="2:26" x14ac:dyDescent="0.25">
      <c r="B76" s="127" t="s">
        <v>993</v>
      </c>
      <c r="C76" s="128" t="s">
        <v>939</v>
      </c>
      <c r="D76" s="1575" t="s">
        <v>146</v>
      </c>
      <c r="E76" s="1576"/>
      <c r="F76" s="129">
        <v>2</v>
      </c>
      <c r="G76" s="311"/>
      <c r="H76" s="312"/>
      <c r="I76" s="312"/>
      <c r="J76" s="312"/>
      <c r="K76" s="312"/>
      <c r="L76" s="313"/>
      <c r="M76" s="314"/>
      <c r="N76" s="314"/>
      <c r="O76" s="314"/>
      <c r="P76" s="314"/>
      <c r="Q76" s="311"/>
      <c r="R76" s="312"/>
      <c r="S76" s="312"/>
      <c r="T76" s="312"/>
      <c r="U76" s="312"/>
      <c r="V76" s="313"/>
      <c r="W76" s="314"/>
      <c r="X76" s="314"/>
      <c r="Y76" s="314"/>
      <c r="Z76" s="314"/>
    </row>
    <row r="77" spans="2:26" x14ac:dyDescent="0.25">
      <c r="B77" s="130" t="s">
        <v>994</v>
      </c>
      <c r="C77" s="131" t="s">
        <v>300</v>
      </c>
      <c r="D77" s="1577" t="s">
        <v>146</v>
      </c>
      <c r="E77" s="1578"/>
      <c r="F77" s="132">
        <v>2</v>
      </c>
      <c r="G77" s="315"/>
      <c r="H77" s="316"/>
      <c r="I77" s="316"/>
      <c r="J77" s="316"/>
      <c r="K77" s="316"/>
      <c r="L77" s="317"/>
      <c r="M77" s="318"/>
      <c r="N77" s="318"/>
      <c r="O77" s="318"/>
      <c r="P77" s="318"/>
      <c r="Q77" s="315"/>
      <c r="R77" s="316"/>
      <c r="S77" s="316"/>
      <c r="T77" s="316"/>
      <c r="U77" s="316"/>
      <c r="V77" s="317"/>
      <c r="W77" s="318"/>
      <c r="X77" s="318"/>
      <c r="Y77" s="318"/>
      <c r="Z77" s="318"/>
    </row>
    <row r="78" spans="2:26" x14ac:dyDescent="0.25">
      <c r="B78" s="212" t="s">
        <v>995</v>
      </c>
      <c r="C78" s="213" t="s">
        <v>294</v>
      </c>
      <c r="D78" s="1577" t="s">
        <v>146</v>
      </c>
      <c r="E78" s="1578"/>
      <c r="F78" s="132">
        <v>2</v>
      </c>
      <c r="G78" s="319"/>
      <c r="H78" s="320"/>
      <c r="I78" s="320"/>
      <c r="J78" s="320"/>
      <c r="K78" s="320"/>
      <c r="L78" s="321"/>
      <c r="M78" s="322"/>
      <c r="N78" s="322"/>
      <c r="O78" s="322"/>
      <c r="P78" s="322"/>
      <c r="Q78" s="319"/>
      <c r="R78" s="320"/>
      <c r="S78" s="320"/>
      <c r="T78" s="320"/>
      <c r="U78" s="320"/>
      <c r="V78" s="321"/>
      <c r="W78" s="322"/>
      <c r="X78" s="322"/>
      <c r="Y78" s="322"/>
      <c r="Z78" s="322"/>
    </row>
    <row r="79" spans="2:26" ht="14.4" thickBot="1" x14ac:dyDescent="0.3">
      <c r="B79" s="133" t="s">
        <v>996</v>
      </c>
      <c r="C79" s="134" t="s">
        <v>303</v>
      </c>
      <c r="D79" s="1569" t="s">
        <v>146</v>
      </c>
      <c r="E79" s="1570"/>
      <c r="F79" s="135">
        <v>2</v>
      </c>
      <c r="G79" s="323"/>
      <c r="H79" s="324"/>
      <c r="I79" s="324"/>
      <c r="J79" s="324"/>
      <c r="K79" s="324"/>
      <c r="L79" s="325"/>
      <c r="M79" s="326"/>
      <c r="N79" s="326"/>
      <c r="O79" s="326"/>
      <c r="P79" s="326"/>
      <c r="Q79" s="323"/>
      <c r="R79" s="324"/>
      <c r="S79" s="324"/>
      <c r="T79" s="324"/>
      <c r="U79" s="324"/>
      <c r="V79" s="325"/>
      <c r="W79" s="326"/>
      <c r="X79" s="326"/>
      <c r="Y79" s="326"/>
      <c r="Z79" s="326"/>
    </row>
    <row r="80" spans="2:26" ht="14.4" thickBot="1" x14ac:dyDescent="0.3">
      <c r="B80" s="153"/>
      <c r="C80" s="82"/>
      <c r="D80" s="82"/>
      <c r="E80" s="82"/>
      <c r="Q80" s="66"/>
      <c r="R80" s="66"/>
    </row>
    <row r="81" spans="2:26" ht="28.2" thickBot="1" x14ac:dyDescent="0.3">
      <c r="B81" s="210" t="str">
        <f>CONCATENATE("Table 7b: WC level - Alternative Programme  ",E68, " Final Plan SDB")</f>
        <v>Table 7b: WC level - Alternative Programme   [specify] Final Plan SDB</v>
      </c>
      <c r="C81" s="155"/>
      <c r="D81" s="154"/>
      <c r="E81" s="154"/>
      <c r="F81" s="90"/>
      <c r="G81" s="90"/>
      <c r="H81" s="90"/>
      <c r="I81" s="90"/>
      <c r="J81" s="90"/>
      <c r="K81" s="90"/>
      <c r="L81" s="90"/>
      <c r="M81" s="1571" t="s">
        <v>971</v>
      </c>
      <c r="N81" s="1572"/>
      <c r="O81" s="1572"/>
      <c r="P81" s="1572"/>
      <c r="Q81" s="1572"/>
      <c r="R81" s="1572"/>
      <c r="S81" s="1572"/>
      <c r="T81" s="1572"/>
      <c r="U81" s="1572"/>
      <c r="V81" s="1572"/>
      <c r="W81" s="1572"/>
      <c r="X81" s="1572"/>
      <c r="Y81" s="1572"/>
      <c r="Z81" s="1572"/>
    </row>
    <row r="82" spans="2:26" ht="28.2" thickBot="1" x14ac:dyDescent="0.3">
      <c r="B82" s="384" t="s">
        <v>63</v>
      </c>
      <c r="C82" s="385" t="s">
        <v>997</v>
      </c>
      <c r="D82" s="1573" t="s">
        <v>117</v>
      </c>
      <c r="E82" s="1574"/>
      <c r="F82" s="386" t="s">
        <v>118</v>
      </c>
      <c r="G82" s="387" t="s">
        <v>973</v>
      </c>
      <c r="H82" s="388" t="s">
        <v>974</v>
      </c>
      <c r="I82" s="388" t="s">
        <v>975</v>
      </c>
      <c r="J82" s="388" t="s">
        <v>976</v>
      </c>
      <c r="K82" s="388" t="s">
        <v>977</v>
      </c>
      <c r="L82" s="389" t="s">
        <v>978</v>
      </c>
      <c r="M82" s="390" t="s">
        <v>979</v>
      </c>
      <c r="N82" s="390" t="s">
        <v>980</v>
      </c>
      <c r="O82" s="390" t="s">
        <v>981</v>
      </c>
      <c r="P82" s="390" t="s">
        <v>982</v>
      </c>
      <c r="Q82" s="136" t="s">
        <v>983</v>
      </c>
      <c r="R82" s="125" t="s">
        <v>984</v>
      </c>
      <c r="S82" s="125" t="s">
        <v>985</v>
      </c>
      <c r="T82" s="125" t="s">
        <v>986</v>
      </c>
      <c r="U82" s="125" t="s">
        <v>987</v>
      </c>
      <c r="V82" s="126" t="s">
        <v>988</v>
      </c>
      <c r="W82" s="137" t="s">
        <v>989</v>
      </c>
      <c r="X82" s="137" t="s">
        <v>990</v>
      </c>
      <c r="Y82" s="137" t="s">
        <v>991</v>
      </c>
      <c r="Z82" s="137" t="s">
        <v>992</v>
      </c>
    </row>
    <row r="83" spans="2:26" x14ac:dyDescent="0.25">
      <c r="B83" s="364" t="s">
        <v>998</v>
      </c>
      <c r="C83" s="365" t="s">
        <v>939</v>
      </c>
      <c r="D83" s="1575" t="s">
        <v>146</v>
      </c>
      <c r="E83" s="1576"/>
      <c r="F83" s="366">
        <v>2</v>
      </c>
      <c r="G83" s="367"/>
      <c r="H83" s="368"/>
      <c r="I83" s="368"/>
      <c r="J83" s="368"/>
      <c r="K83" s="368"/>
      <c r="L83" s="369"/>
      <c r="M83" s="370"/>
      <c r="N83" s="370"/>
      <c r="O83" s="370"/>
      <c r="P83" s="371"/>
      <c r="Q83" s="311"/>
      <c r="R83" s="312"/>
      <c r="S83" s="312"/>
      <c r="T83" s="312"/>
      <c r="U83" s="312"/>
      <c r="V83" s="313"/>
      <c r="W83" s="314"/>
      <c r="X83" s="314"/>
      <c r="Y83" s="314"/>
      <c r="Z83" s="314"/>
    </row>
    <row r="84" spans="2:26" x14ac:dyDescent="0.25">
      <c r="B84" s="372" t="s">
        <v>999</v>
      </c>
      <c r="C84" s="131" t="s">
        <v>300</v>
      </c>
      <c r="D84" s="1577" t="s">
        <v>146</v>
      </c>
      <c r="E84" s="1578"/>
      <c r="F84" s="132">
        <v>2</v>
      </c>
      <c r="G84" s="315"/>
      <c r="H84" s="316"/>
      <c r="I84" s="316"/>
      <c r="J84" s="316"/>
      <c r="K84" s="316"/>
      <c r="L84" s="317"/>
      <c r="M84" s="318"/>
      <c r="N84" s="318"/>
      <c r="O84" s="318"/>
      <c r="P84" s="373"/>
      <c r="Q84" s="315"/>
      <c r="R84" s="316"/>
      <c r="S84" s="316"/>
      <c r="T84" s="316"/>
      <c r="U84" s="316"/>
      <c r="V84" s="317"/>
      <c r="W84" s="318"/>
      <c r="X84" s="318"/>
      <c r="Y84" s="318"/>
      <c r="Z84" s="318"/>
    </row>
    <row r="85" spans="2:26" x14ac:dyDescent="0.25">
      <c r="B85" s="374" t="s">
        <v>1000</v>
      </c>
      <c r="C85" s="213" t="s">
        <v>294</v>
      </c>
      <c r="D85" s="1577" t="s">
        <v>146</v>
      </c>
      <c r="E85" s="1578"/>
      <c r="F85" s="132">
        <v>2</v>
      </c>
      <c r="G85" s="319"/>
      <c r="H85" s="320"/>
      <c r="I85" s="320"/>
      <c r="J85" s="320"/>
      <c r="K85" s="320"/>
      <c r="L85" s="321"/>
      <c r="M85" s="322"/>
      <c r="N85" s="322"/>
      <c r="O85" s="322"/>
      <c r="P85" s="375"/>
      <c r="Q85" s="319"/>
      <c r="R85" s="320"/>
      <c r="S85" s="320"/>
      <c r="T85" s="320"/>
      <c r="U85" s="320"/>
      <c r="V85" s="321"/>
      <c r="W85" s="322"/>
      <c r="X85" s="322"/>
      <c r="Y85" s="322"/>
      <c r="Z85" s="322"/>
    </row>
    <row r="86" spans="2:26" ht="14.4" thickBot="1" x14ac:dyDescent="0.3">
      <c r="B86" s="376" t="s">
        <v>1001</v>
      </c>
      <c r="C86" s="377" t="s">
        <v>303</v>
      </c>
      <c r="D86" s="1569" t="s">
        <v>146</v>
      </c>
      <c r="E86" s="1570"/>
      <c r="F86" s="378">
        <v>2</v>
      </c>
      <c r="G86" s="379"/>
      <c r="H86" s="380"/>
      <c r="I86" s="380"/>
      <c r="J86" s="380"/>
      <c r="K86" s="380"/>
      <c r="L86" s="381"/>
      <c r="M86" s="382"/>
      <c r="N86" s="382"/>
      <c r="O86" s="382"/>
      <c r="P86" s="383"/>
      <c r="Q86" s="323"/>
      <c r="R86" s="324"/>
      <c r="S86" s="324"/>
      <c r="T86" s="324"/>
      <c r="U86" s="324"/>
      <c r="V86" s="325"/>
      <c r="W86" s="326"/>
      <c r="X86" s="326"/>
      <c r="Y86" s="326"/>
      <c r="Z86" s="326"/>
    </row>
    <row r="87" spans="2:26" ht="14.4" thickBot="1" x14ac:dyDescent="0.3">
      <c r="B87" s="66"/>
      <c r="Q87" s="66"/>
      <c r="R87" s="66"/>
    </row>
    <row r="88" spans="2:26" ht="28.2" thickBot="1" x14ac:dyDescent="0.3">
      <c r="B88" s="210" t="str">
        <f>CONCATENATE("Table 7c: WC level - Alternative Programme  ",E68, " Totex")</f>
        <v>Table 7c: WC level - Alternative Programme   [specify] Totex</v>
      </c>
      <c r="C88" s="155"/>
      <c r="D88" s="154"/>
      <c r="E88" s="90"/>
      <c r="F88" s="90"/>
      <c r="G88" s="90"/>
      <c r="H88" s="90"/>
      <c r="I88" s="90"/>
      <c r="J88" s="90"/>
      <c r="K88" s="90"/>
      <c r="L88" s="90"/>
      <c r="M88" s="1571" t="s">
        <v>971</v>
      </c>
      <c r="N88" s="1572"/>
      <c r="O88" s="1572"/>
      <c r="P88" s="1572"/>
      <c r="Q88" s="1572"/>
      <c r="R88" s="1572"/>
      <c r="S88" s="1572"/>
      <c r="T88" s="1572"/>
      <c r="U88" s="1572"/>
      <c r="V88" s="1572"/>
      <c r="W88" s="1572"/>
      <c r="X88" s="1572"/>
      <c r="Y88" s="1572"/>
      <c r="Z88" s="1572"/>
    </row>
    <row r="89" spans="2:26" ht="28.2" thickBot="1" x14ac:dyDescent="0.3">
      <c r="B89" s="122" t="s">
        <v>63</v>
      </c>
      <c r="C89" s="123" t="s">
        <v>1002</v>
      </c>
      <c r="D89" s="123" t="s">
        <v>1003</v>
      </c>
      <c r="E89" s="123" t="s">
        <v>117</v>
      </c>
      <c r="F89" s="124" t="s">
        <v>118</v>
      </c>
      <c r="G89" s="136" t="s">
        <v>973</v>
      </c>
      <c r="H89" s="125" t="s">
        <v>974</v>
      </c>
      <c r="I89" s="125" t="s">
        <v>975</v>
      </c>
      <c r="J89" s="125" t="s">
        <v>976</v>
      </c>
      <c r="K89" s="125" t="s">
        <v>977</v>
      </c>
      <c r="L89" s="126" t="s">
        <v>978</v>
      </c>
      <c r="M89" s="137" t="s">
        <v>979</v>
      </c>
      <c r="N89" s="137" t="s">
        <v>980</v>
      </c>
      <c r="O89" s="137" t="s">
        <v>981</v>
      </c>
      <c r="P89" s="137" t="s">
        <v>982</v>
      </c>
      <c r="Q89" s="136" t="s">
        <v>983</v>
      </c>
      <c r="R89" s="125" t="s">
        <v>984</v>
      </c>
      <c r="S89" s="125" t="s">
        <v>985</v>
      </c>
      <c r="T89" s="125" t="s">
        <v>986</v>
      </c>
      <c r="U89" s="125" t="s">
        <v>987</v>
      </c>
      <c r="V89" s="126" t="s">
        <v>988</v>
      </c>
      <c r="W89" s="137" t="s">
        <v>989</v>
      </c>
      <c r="X89" s="137" t="s">
        <v>990</v>
      </c>
      <c r="Y89" s="137" t="s">
        <v>991</v>
      </c>
      <c r="Z89" s="137" t="s">
        <v>992</v>
      </c>
    </row>
    <row r="90" spans="2:26" x14ac:dyDescent="0.25">
      <c r="B90" s="264" t="s">
        <v>1004</v>
      </c>
      <c r="C90" s="265" t="s">
        <v>1005</v>
      </c>
      <c r="D90" s="265" t="s">
        <v>1006</v>
      </c>
      <c r="E90" s="265" t="s">
        <v>254</v>
      </c>
      <c r="F90" s="294">
        <v>3</v>
      </c>
      <c r="G90" s="299"/>
      <c r="H90" s="300"/>
      <c r="I90" s="300"/>
      <c r="J90" s="300"/>
      <c r="K90" s="300"/>
      <c r="L90" s="301"/>
      <c r="M90" s="302"/>
      <c r="N90" s="302"/>
      <c r="O90" s="302"/>
      <c r="P90" s="302"/>
      <c r="Q90" s="311"/>
      <c r="R90" s="312"/>
      <c r="S90" s="312"/>
      <c r="T90" s="312"/>
      <c r="U90" s="312"/>
      <c r="V90" s="313"/>
      <c r="W90" s="314"/>
      <c r="X90" s="314"/>
      <c r="Y90" s="314"/>
      <c r="Z90" s="314"/>
    </row>
    <row r="91" spans="2:26" x14ac:dyDescent="0.25">
      <c r="B91" s="130" t="s">
        <v>1007</v>
      </c>
      <c r="C91" s="131" t="s">
        <v>1008</v>
      </c>
      <c r="D91" s="131" t="s">
        <v>1006</v>
      </c>
      <c r="E91" s="131" t="s">
        <v>254</v>
      </c>
      <c r="F91" s="295">
        <v>3</v>
      </c>
      <c r="G91" s="303"/>
      <c r="H91" s="304"/>
      <c r="I91" s="304"/>
      <c r="J91" s="304"/>
      <c r="K91" s="304"/>
      <c r="L91" s="305"/>
      <c r="M91" s="306"/>
      <c r="N91" s="306"/>
      <c r="O91" s="306"/>
      <c r="P91" s="306"/>
      <c r="Q91" s="315"/>
      <c r="R91" s="316"/>
      <c r="S91" s="316"/>
      <c r="T91" s="316"/>
      <c r="U91" s="316"/>
      <c r="V91" s="317"/>
      <c r="W91" s="318"/>
      <c r="X91" s="318"/>
      <c r="Y91" s="318"/>
      <c r="Z91" s="318"/>
    </row>
    <row r="92" spans="2:26" ht="14.4" thickBot="1" x14ac:dyDescent="0.3">
      <c r="B92" s="133" t="s">
        <v>1009</v>
      </c>
      <c r="C92" s="134" t="s">
        <v>1010</v>
      </c>
      <c r="D92" s="134" t="s">
        <v>1006</v>
      </c>
      <c r="E92" s="134" t="s">
        <v>254</v>
      </c>
      <c r="F92" s="296">
        <v>3</v>
      </c>
      <c r="G92" s="307"/>
      <c r="H92" s="308"/>
      <c r="I92" s="308"/>
      <c r="J92" s="308"/>
      <c r="K92" s="308"/>
      <c r="L92" s="309"/>
      <c r="M92" s="310"/>
      <c r="N92" s="310"/>
      <c r="O92" s="310"/>
      <c r="P92" s="310"/>
      <c r="Q92" s="323"/>
      <c r="R92" s="324"/>
      <c r="S92" s="324"/>
      <c r="T92" s="324"/>
      <c r="U92" s="324"/>
      <c r="V92" s="325"/>
      <c r="W92" s="326"/>
      <c r="X92" s="326"/>
      <c r="Y92" s="326"/>
      <c r="Z92" s="326"/>
    </row>
    <row r="93" spans="2:26" ht="14.4" thickBot="1" x14ac:dyDescent="0.3">
      <c r="R93" s="66"/>
      <c r="S93" s="66"/>
    </row>
    <row r="94" spans="2:26" ht="42" thickBot="1" x14ac:dyDescent="0.3">
      <c r="B94" s="210" t="str">
        <f>CONCATENATE("Table 7d: WC level - Alternative Programme  ",E68, " Enhancement Expenditure")</f>
        <v>Table 7d: WC level - Alternative Programme   [specify] Enhancement Expenditure</v>
      </c>
      <c r="C94" s="155"/>
      <c r="D94" s="154"/>
      <c r="E94" s="154"/>
      <c r="F94" s="90"/>
      <c r="G94" s="90"/>
      <c r="H94" s="90"/>
      <c r="I94" s="90"/>
      <c r="J94" s="90"/>
      <c r="K94" s="90"/>
      <c r="L94" s="90"/>
      <c r="M94" s="1571" t="s">
        <v>971</v>
      </c>
      <c r="N94" s="1572"/>
      <c r="O94" s="1572"/>
      <c r="P94" s="1572"/>
      <c r="Q94" s="1572"/>
      <c r="R94" s="1572"/>
      <c r="S94" s="1572"/>
      <c r="T94" s="1572"/>
      <c r="U94" s="1572"/>
      <c r="V94" s="1572"/>
      <c r="W94" s="1572"/>
      <c r="X94" s="1572"/>
      <c r="Y94" s="1572"/>
      <c r="Z94" s="1572"/>
    </row>
    <row r="95" spans="2:26" ht="28.2" thickBot="1" x14ac:dyDescent="0.3">
      <c r="B95" s="122" t="s">
        <v>63</v>
      </c>
      <c r="C95" s="123" t="s">
        <v>1002</v>
      </c>
      <c r="D95" s="123" t="s">
        <v>1003</v>
      </c>
      <c r="E95" s="123" t="s">
        <v>117</v>
      </c>
      <c r="F95" s="124" t="s">
        <v>118</v>
      </c>
      <c r="G95" s="136" t="s">
        <v>973</v>
      </c>
      <c r="H95" s="125" t="s">
        <v>974</v>
      </c>
      <c r="I95" s="125" t="s">
        <v>975</v>
      </c>
      <c r="J95" s="125" t="s">
        <v>976</v>
      </c>
      <c r="K95" s="125" t="s">
        <v>977</v>
      </c>
      <c r="L95" s="126" t="s">
        <v>978</v>
      </c>
      <c r="M95" s="137" t="s">
        <v>979</v>
      </c>
      <c r="N95" s="137" t="s">
        <v>980</v>
      </c>
      <c r="O95" s="137" t="s">
        <v>981</v>
      </c>
      <c r="P95" s="137" t="s">
        <v>982</v>
      </c>
      <c r="Q95" s="136" t="s">
        <v>983</v>
      </c>
      <c r="R95" s="125" t="s">
        <v>984</v>
      </c>
      <c r="S95" s="125" t="s">
        <v>985</v>
      </c>
      <c r="T95" s="125" t="s">
        <v>986</v>
      </c>
      <c r="U95" s="125" t="s">
        <v>987</v>
      </c>
      <c r="V95" s="126" t="s">
        <v>988</v>
      </c>
      <c r="W95" s="137" t="s">
        <v>989</v>
      </c>
      <c r="X95" s="137" t="s">
        <v>990</v>
      </c>
      <c r="Y95" s="137" t="s">
        <v>991</v>
      </c>
      <c r="Z95" s="137" t="s">
        <v>992</v>
      </c>
    </row>
    <row r="96" spans="2:26" ht="27.6" x14ac:dyDescent="0.25">
      <c r="B96" s="264" t="s">
        <v>1011</v>
      </c>
      <c r="C96" s="265" t="s">
        <v>1012</v>
      </c>
      <c r="D96" s="265" t="s">
        <v>811</v>
      </c>
      <c r="E96" s="265" t="s">
        <v>254</v>
      </c>
      <c r="F96" s="294">
        <v>3</v>
      </c>
      <c r="G96" s="299"/>
      <c r="H96" s="300"/>
      <c r="I96" s="300"/>
      <c r="J96" s="300"/>
      <c r="K96" s="300"/>
      <c r="L96" s="301"/>
      <c r="M96" s="302"/>
      <c r="N96" s="302"/>
      <c r="O96" s="302"/>
      <c r="P96" s="302"/>
      <c r="Q96" s="311"/>
      <c r="R96" s="312"/>
      <c r="S96" s="312"/>
      <c r="T96" s="312"/>
      <c r="U96" s="312"/>
      <c r="V96" s="313"/>
      <c r="W96" s="314"/>
      <c r="X96" s="314"/>
      <c r="Y96" s="314"/>
      <c r="Z96" s="314"/>
    </row>
    <row r="97" spans="2:26" ht="27.6" x14ac:dyDescent="0.25">
      <c r="B97" s="130" t="s">
        <v>1013</v>
      </c>
      <c r="C97" s="131" t="s">
        <v>1012</v>
      </c>
      <c r="D97" s="131" t="s">
        <v>806</v>
      </c>
      <c r="E97" s="131" t="s">
        <v>254</v>
      </c>
      <c r="F97" s="295">
        <v>3</v>
      </c>
      <c r="G97" s="303"/>
      <c r="H97" s="304"/>
      <c r="I97" s="304"/>
      <c r="J97" s="304"/>
      <c r="K97" s="304"/>
      <c r="L97" s="305"/>
      <c r="M97" s="306"/>
      <c r="N97" s="306"/>
      <c r="O97" s="306"/>
      <c r="P97" s="306"/>
      <c r="Q97" s="315"/>
      <c r="R97" s="316"/>
      <c r="S97" s="316"/>
      <c r="T97" s="316"/>
      <c r="U97" s="316"/>
      <c r="V97" s="317"/>
      <c r="W97" s="318"/>
      <c r="X97" s="318"/>
      <c r="Y97" s="318"/>
      <c r="Z97" s="318"/>
    </row>
    <row r="98" spans="2:26" ht="28.2" thickBot="1" x14ac:dyDescent="0.3">
      <c r="B98" s="133" t="s">
        <v>1014</v>
      </c>
      <c r="C98" s="134" t="s">
        <v>1012</v>
      </c>
      <c r="D98" s="134" t="s">
        <v>1006</v>
      </c>
      <c r="E98" s="134" t="s">
        <v>254</v>
      </c>
      <c r="F98" s="296">
        <v>3</v>
      </c>
      <c r="G98" s="307"/>
      <c r="H98" s="308"/>
      <c r="I98" s="308"/>
      <c r="J98" s="308"/>
      <c r="K98" s="308"/>
      <c r="L98" s="309"/>
      <c r="M98" s="310"/>
      <c r="N98" s="310"/>
      <c r="O98" s="310"/>
      <c r="P98" s="310"/>
      <c r="Q98" s="323"/>
      <c r="R98" s="324"/>
      <c r="S98" s="324"/>
      <c r="T98" s="324"/>
      <c r="U98" s="324"/>
      <c r="V98" s="325"/>
      <c r="W98" s="326"/>
      <c r="X98" s="326"/>
      <c r="Y98" s="326"/>
      <c r="Z98" s="326"/>
    </row>
    <row r="100" spans="2:26" ht="14.4" thickBot="1" x14ac:dyDescent="0.3"/>
    <row r="101" spans="2:26" ht="28.2" thickBot="1" x14ac:dyDescent="0.3">
      <c r="B101" s="116" t="s">
        <v>57</v>
      </c>
      <c r="C101" s="62" t="str">
        <f>'TITLE PAGE'!$D$18</f>
        <v>Bristol Water</v>
      </c>
      <c r="D101" s="117" t="s">
        <v>956</v>
      </c>
      <c r="E101" s="63" t="s">
        <v>957</v>
      </c>
      <c r="F101" s="116" t="s">
        <v>958</v>
      </c>
      <c r="G101" s="63" t="s">
        <v>959</v>
      </c>
      <c r="H101" s="118" t="s">
        <v>111</v>
      </c>
      <c r="I101" s="63" t="s">
        <v>960</v>
      </c>
    </row>
    <row r="102" spans="2:26" ht="28.2" thickBot="1" x14ac:dyDescent="0.3">
      <c r="B102" s="117" t="s">
        <v>961</v>
      </c>
      <c r="C102" s="1582" t="s">
        <v>962</v>
      </c>
      <c r="D102" s="1583"/>
      <c r="E102" s="1583"/>
      <c r="F102" s="1583"/>
      <c r="G102" s="1583"/>
      <c r="H102" s="1583"/>
      <c r="I102" s="1584"/>
    </row>
    <row r="103" spans="2:26" ht="42" thickBot="1" x14ac:dyDescent="0.3">
      <c r="B103" s="117" t="s">
        <v>963</v>
      </c>
      <c r="C103" s="1579" t="s">
        <v>964</v>
      </c>
      <c r="D103" s="1580"/>
      <c r="E103" s="1580"/>
      <c r="F103" s="1580"/>
      <c r="G103" s="1580"/>
      <c r="H103" s="1580"/>
      <c r="I103" s="1581"/>
    </row>
    <row r="104" spans="2:26" ht="69.599999999999994" customHeight="1" thickBot="1" x14ac:dyDescent="0.3">
      <c r="B104" s="117" t="s">
        <v>966</v>
      </c>
      <c r="C104" s="1579" t="s">
        <v>967</v>
      </c>
      <c r="D104" s="1580"/>
      <c r="E104" s="1580"/>
      <c r="F104" s="1580"/>
      <c r="G104" s="1580"/>
      <c r="H104" s="1580"/>
      <c r="I104" s="1581"/>
    </row>
    <row r="105" spans="2:26" ht="55.8" thickBot="1" x14ac:dyDescent="0.3">
      <c r="B105" s="64" t="s">
        <v>968</v>
      </c>
      <c r="C105" s="119"/>
      <c r="D105" s="65" t="s">
        <v>969</v>
      </c>
      <c r="E105" s="119"/>
      <c r="F105" s="120" t="s">
        <v>970</v>
      </c>
      <c r="G105" s="121"/>
      <c r="H105" s="120" t="s">
        <v>2</v>
      </c>
      <c r="I105" s="121"/>
    </row>
    <row r="106" spans="2:26" ht="14.4" thickBot="1" x14ac:dyDescent="0.3"/>
    <row r="107" spans="2:26" ht="28.2" thickBot="1" x14ac:dyDescent="0.3">
      <c r="B107" s="210" t="str">
        <f>CONCATENATE("Table 7a: WC level - Alternative Programme ",E101, " Baseline SDB")</f>
        <v>Table 7a: WC level - Alternative Programme  [specify] Baseline SDB</v>
      </c>
      <c r="M107" s="1571" t="s">
        <v>971</v>
      </c>
      <c r="N107" s="1572"/>
      <c r="O107" s="1572"/>
      <c r="P107" s="1572"/>
      <c r="Q107" s="1572"/>
      <c r="R107" s="1572"/>
      <c r="S107" s="1572"/>
      <c r="T107" s="1572"/>
      <c r="U107" s="1572"/>
      <c r="V107" s="1572"/>
      <c r="W107" s="1572"/>
      <c r="X107" s="1572"/>
      <c r="Y107" s="1572"/>
      <c r="Z107" s="1572"/>
    </row>
    <row r="108" spans="2:26" ht="28.2" thickBot="1" x14ac:dyDescent="0.3">
      <c r="B108" s="122" t="s">
        <v>63</v>
      </c>
      <c r="C108" s="123" t="s">
        <v>972</v>
      </c>
      <c r="D108" s="1573" t="s">
        <v>117</v>
      </c>
      <c r="E108" s="1574"/>
      <c r="F108" s="124" t="s">
        <v>118</v>
      </c>
      <c r="G108" s="136" t="s">
        <v>973</v>
      </c>
      <c r="H108" s="125" t="s">
        <v>974</v>
      </c>
      <c r="I108" s="125" t="s">
        <v>975</v>
      </c>
      <c r="J108" s="125" t="s">
        <v>976</v>
      </c>
      <c r="K108" s="125" t="s">
        <v>977</v>
      </c>
      <c r="L108" s="126" t="s">
        <v>978</v>
      </c>
      <c r="M108" s="137" t="s">
        <v>979</v>
      </c>
      <c r="N108" s="137" t="s">
        <v>980</v>
      </c>
      <c r="O108" s="137" t="s">
        <v>981</v>
      </c>
      <c r="P108" s="137" t="s">
        <v>982</v>
      </c>
      <c r="Q108" s="136" t="s">
        <v>983</v>
      </c>
      <c r="R108" s="125" t="s">
        <v>984</v>
      </c>
      <c r="S108" s="125" t="s">
        <v>985</v>
      </c>
      <c r="T108" s="125" t="s">
        <v>986</v>
      </c>
      <c r="U108" s="125" t="s">
        <v>987</v>
      </c>
      <c r="V108" s="126" t="s">
        <v>988</v>
      </c>
      <c r="W108" s="137" t="s">
        <v>989</v>
      </c>
      <c r="X108" s="137" t="s">
        <v>990</v>
      </c>
      <c r="Y108" s="137" t="s">
        <v>991</v>
      </c>
      <c r="Z108" s="137" t="s">
        <v>992</v>
      </c>
    </row>
    <row r="109" spans="2:26" ht="15.6" customHeight="1" x14ac:dyDescent="0.25">
      <c r="B109" s="127" t="s">
        <v>993</v>
      </c>
      <c r="C109" s="128" t="s">
        <v>939</v>
      </c>
      <c r="D109" s="1575" t="s">
        <v>146</v>
      </c>
      <c r="E109" s="1576"/>
      <c r="F109" s="129">
        <v>2</v>
      </c>
      <c r="G109" s="311"/>
      <c r="H109" s="312"/>
      <c r="I109" s="312"/>
      <c r="J109" s="312"/>
      <c r="K109" s="312"/>
      <c r="L109" s="313"/>
      <c r="M109" s="314"/>
      <c r="N109" s="314"/>
      <c r="O109" s="314"/>
      <c r="P109" s="314"/>
      <c r="Q109" s="311"/>
      <c r="R109" s="312"/>
      <c r="S109" s="312"/>
      <c r="T109" s="312"/>
      <c r="U109" s="312"/>
      <c r="V109" s="313"/>
      <c r="W109" s="314"/>
      <c r="X109" s="314"/>
      <c r="Y109" s="314"/>
      <c r="Z109" s="314"/>
    </row>
    <row r="110" spans="2:26" ht="15.6" customHeight="1" x14ac:dyDescent="0.25">
      <c r="B110" s="130" t="s">
        <v>994</v>
      </c>
      <c r="C110" s="131" t="s">
        <v>300</v>
      </c>
      <c r="D110" s="1577" t="s">
        <v>146</v>
      </c>
      <c r="E110" s="1578"/>
      <c r="F110" s="132">
        <v>2</v>
      </c>
      <c r="G110" s="315"/>
      <c r="H110" s="316"/>
      <c r="I110" s="316"/>
      <c r="J110" s="316"/>
      <c r="K110" s="316"/>
      <c r="L110" s="317"/>
      <c r="M110" s="318"/>
      <c r="N110" s="318"/>
      <c r="O110" s="318"/>
      <c r="P110" s="318"/>
      <c r="Q110" s="315"/>
      <c r="R110" s="316"/>
      <c r="S110" s="316"/>
      <c r="T110" s="316"/>
      <c r="U110" s="316"/>
      <c r="V110" s="317"/>
      <c r="W110" s="318"/>
      <c r="X110" s="318"/>
      <c r="Y110" s="318"/>
      <c r="Z110" s="318"/>
    </row>
    <row r="111" spans="2:26" ht="15.6" customHeight="1" x14ac:dyDescent="0.25">
      <c r="B111" s="212" t="s">
        <v>995</v>
      </c>
      <c r="C111" s="213" t="s">
        <v>294</v>
      </c>
      <c r="D111" s="1577" t="s">
        <v>146</v>
      </c>
      <c r="E111" s="1578"/>
      <c r="F111" s="132">
        <v>2</v>
      </c>
      <c r="G111" s="319"/>
      <c r="H111" s="320"/>
      <c r="I111" s="320"/>
      <c r="J111" s="320"/>
      <c r="K111" s="320"/>
      <c r="L111" s="321"/>
      <c r="M111" s="322"/>
      <c r="N111" s="322"/>
      <c r="O111" s="322"/>
      <c r="P111" s="322"/>
      <c r="Q111" s="319"/>
      <c r="R111" s="320"/>
      <c r="S111" s="320"/>
      <c r="T111" s="320"/>
      <c r="U111" s="320"/>
      <c r="V111" s="321"/>
      <c r="W111" s="322"/>
      <c r="X111" s="322"/>
      <c r="Y111" s="322"/>
      <c r="Z111" s="322"/>
    </row>
    <row r="112" spans="2:26" ht="16.2" customHeight="1" thickBot="1" x14ac:dyDescent="0.3">
      <c r="B112" s="133" t="s">
        <v>996</v>
      </c>
      <c r="C112" s="134" t="s">
        <v>303</v>
      </c>
      <c r="D112" s="1569" t="s">
        <v>146</v>
      </c>
      <c r="E112" s="1570"/>
      <c r="F112" s="135">
        <v>2</v>
      </c>
      <c r="G112" s="323"/>
      <c r="H112" s="324"/>
      <c r="I112" s="324"/>
      <c r="J112" s="324"/>
      <c r="K112" s="324"/>
      <c r="L112" s="325"/>
      <c r="M112" s="326"/>
      <c r="N112" s="326"/>
      <c r="O112" s="326"/>
      <c r="P112" s="326"/>
      <c r="Q112" s="323"/>
      <c r="R112" s="324"/>
      <c r="S112" s="324"/>
      <c r="T112" s="324"/>
      <c r="U112" s="324"/>
      <c r="V112" s="325"/>
      <c r="W112" s="326"/>
      <c r="X112" s="326"/>
      <c r="Y112" s="326"/>
      <c r="Z112" s="326"/>
    </row>
    <row r="113" spans="2:26" ht="14.4" thickBot="1" x14ac:dyDescent="0.3">
      <c r="B113" s="153"/>
      <c r="C113" s="82"/>
      <c r="D113" s="82"/>
      <c r="E113" s="82"/>
      <c r="Q113" s="66"/>
      <c r="R113" s="66"/>
    </row>
    <row r="114" spans="2:26" ht="28.2" thickBot="1" x14ac:dyDescent="0.3">
      <c r="B114" s="210" t="str">
        <f>CONCATENATE("Table 7b: WC level - Alternative Programme  ",E101, " Final Plan SDB")</f>
        <v>Table 7b: WC level - Alternative Programme   [specify] Final Plan SDB</v>
      </c>
      <c r="C114" s="155"/>
      <c r="D114" s="154"/>
      <c r="E114" s="154"/>
      <c r="F114" s="90"/>
      <c r="G114" s="90"/>
      <c r="H114" s="90"/>
      <c r="I114" s="90"/>
      <c r="J114" s="90"/>
      <c r="K114" s="90"/>
      <c r="L114" s="90"/>
      <c r="M114" s="1571" t="s">
        <v>971</v>
      </c>
      <c r="N114" s="1572"/>
      <c r="O114" s="1572"/>
      <c r="P114" s="1572"/>
      <c r="Q114" s="1572"/>
      <c r="R114" s="1572"/>
      <c r="S114" s="1572"/>
      <c r="T114" s="1572"/>
      <c r="U114" s="1572"/>
      <c r="V114" s="1572"/>
      <c r="W114" s="1572"/>
      <c r="X114" s="1572"/>
      <c r="Y114" s="1572"/>
      <c r="Z114" s="1572"/>
    </row>
    <row r="115" spans="2:26" ht="28.2" thickBot="1" x14ac:dyDescent="0.3">
      <c r="B115" s="384" t="s">
        <v>63</v>
      </c>
      <c r="C115" s="385" t="s">
        <v>997</v>
      </c>
      <c r="D115" s="1573" t="s">
        <v>117</v>
      </c>
      <c r="E115" s="1574"/>
      <c r="F115" s="386" t="s">
        <v>118</v>
      </c>
      <c r="G115" s="387" t="s">
        <v>973</v>
      </c>
      <c r="H115" s="388" t="s">
        <v>974</v>
      </c>
      <c r="I115" s="388" t="s">
        <v>975</v>
      </c>
      <c r="J115" s="388" t="s">
        <v>976</v>
      </c>
      <c r="K115" s="388" t="s">
        <v>977</v>
      </c>
      <c r="L115" s="389" t="s">
        <v>978</v>
      </c>
      <c r="M115" s="390" t="s">
        <v>979</v>
      </c>
      <c r="N115" s="390" t="s">
        <v>980</v>
      </c>
      <c r="O115" s="390" t="s">
        <v>981</v>
      </c>
      <c r="P115" s="390" t="s">
        <v>982</v>
      </c>
      <c r="Q115" s="136" t="s">
        <v>983</v>
      </c>
      <c r="R115" s="125" t="s">
        <v>984</v>
      </c>
      <c r="S115" s="125" t="s">
        <v>985</v>
      </c>
      <c r="T115" s="125" t="s">
        <v>986</v>
      </c>
      <c r="U115" s="125" t="s">
        <v>987</v>
      </c>
      <c r="V115" s="126" t="s">
        <v>988</v>
      </c>
      <c r="W115" s="137" t="s">
        <v>989</v>
      </c>
      <c r="X115" s="137" t="s">
        <v>990</v>
      </c>
      <c r="Y115" s="137" t="s">
        <v>991</v>
      </c>
      <c r="Z115" s="137" t="s">
        <v>992</v>
      </c>
    </row>
    <row r="116" spans="2:26" x14ac:dyDescent="0.25">
      <c r="B116" s="364" t="s">
        <v>998</v>
      </c>
      <c r="C116" s="365" t="s">
        <v>939</v>
      </c>
      <c r="D116" s="1575" t="s">
        <v>146</v>
      </c>
      <c r="E116" s="1576"/>
      <c r="F116" s="366">
        <v>2</v>
      </c>
      <c r="G116" s="367"/>
      <c r="H116" s="368"/>
      <c r="I116" s="368"/>
      <c r="J116" s="368"/>
      <c r="K116" s="368"/>
      <c r="L116" s="369"/>
      <c r="M116" s="370"/>
      <c r="N116" s="370"/>
      <c r="O116" s="370"/>
      <c r="P116" s="371"/>
      <c r="Q116" s="311"/>
      <c r="R116" s="312"/>
      <c r="S116" s="312"/>
      <c r="T116" s="312"/>
      <c r="U116" s="312"/>
      <c r="V116" s="313"/>
      <c r="W116" s="314"/>
      <c r="X116" s="314"/>
      <c r="Y116" s="314"/>
      <c r="Z116" s="314"/>
    </row>
    <row r="117" spans="2:26" x14ac:dyDescent="0.25">
      <c r="B117" s="372" t="s">
        <v>999</v>
      </c>
      <c r="C117" s="131" t="s">
        <v>300</v>
      </c>
      <c r="D117" s="1577" t="s">
        <v>146</v>
      </c>
      <c r="E117" s="1578"/>
      <c r="F117" s="132">
        <v>2</v>
      </c>
      <c r="G117" s="315"/>
      <c r="H117" s="316"/>
      <c r="I117" s="316"/>
      <c r="J117" s="316"/>
      <c r="K117" s="316"/>
      <c r="L117" s="317"/>
      <c r="M117" s="318"/>
      <c r="N117" s="318"/>
      <c r="O117" s="318"/>
      <c r="P117" s="373"/>
      <c r="Q117" s="315"/>
      <c r="R117" s="316"/>
      <c r="S117" s="316"/>
      <c r="T117" s="316"/>
      <c r="U117" s="316"/>
      <c r="V117" s="317"/>
      <c r="W117" s="318"/>
      <c r="X117" s="318"/>
      <c r="Y117" s="318"/>
      <c r="Z117" s="318"/>
    </row>
    <row r="118" spans="2:26" x14ac:dyDescent="0.25">
      <c r="B118" s="374" t="s">
        <v>1000</v>
      </c>
      <c r="C118" s="213" t="s">
        <v>294</v>
      </c>
      <c r="D118" s="1577" t="s">
        <v>146</v>
      </c>
      <c r="E118" s="1578"/>
      <c r="F118" s="132">
        <v>2</v>
      </c>
      <c r="G118" s="319"/>
      <c r="H118" s="320"/>
      <c r="I118" s="320"/>
      <c r="J118" s="320"/>
      <c r="K118" s="320"/>
      <c r="L118" s="321"/>
      <c r="M118" s="322"/>
      <c r="N118" s="322"/>
      <c r="O118" s="322"/>
      <c r="P118" s="375"/>
      <c r="Q118" s="319"/>
      <c r="R118" s="320"/>
      <c r="S118" s="320"/>
      <c r="T118" s="320"/>
      <c r="U118" s="320"/>
      <c r="V118" s="321"/>
      <c r="W118" s="322"/>
      <c r="X118" s="322"/>
      <c r="Y118" s="322"/>
      <c r="Z118" s="322"/>
    </row>
    <row r="119" spans="2:26" ht="14.4" thickBot="1" x14ac:dyDescent="0.3">
      <c r="B119" s="376" t="s">
        <v>1001</v>
      </c>
      <c r="C119" s="377" t="s">
        <v>303</v>
      </c>
      <c r="D119" s="1569" t="s">
        <v>146</v>
      </c>
      <c r="E119" s="1570"/>
      <c r="F119" s="378">
        <v>2</v>
      </c>
      <c r="G119" s="379"/>
      <c r="H119" s="380"/>
      <c r="I119" s="380"/>
      <c r="J119" s="380"/>
      <c r="K119" s="380"/>
      <c r="L119" s="381"/>
      <c r="M119" s="382"/>
      <c r="N119" s="382"/>
      <c r="O119" s="382"/>
      <c r="P119" s="383"/>
      <c r="Q119" s="323"/>
      <c r="R119" s="324"/>
      <c r="S119" s="324"/>
      <c r="T119" s="324"/>
      <c r="U119" s="324"/>
      <c r="V119" s="325"/>
      <c r="W119" s="326"/>
      <c r="X119" s="326"/>
      <c r="Y119" s="326"/>
      <c r="Z119" s="326"/>
    </row>
    <row r="120" spans="2:26" ht="14.4" thickBot="1" x14ac:dyDescent="0.3">
      <c r="B120" s="66"/>
      <c r="Q120" s="66"/>
      <c r="R120" s="66"/>
    </row>
    <row r="121" spans="2:26" ht="28.2" thickBot="1" x14ac:dyDescent="0.3">
      <c r="B121" s="210" t="str">
        <f>CONCATENATE("Table 7c: WC level - Alternative Programme  ",E101, " Totex")</f>
        <v>Table 7c: WC level - Alternative Programme   [specify] Totex</v>
      </c>
      <c r="C121" s="155"/>
      <c r="D121" s="154"/>
      <c r="E121" s="90"/>
      <c r="F121" s="90"/>
      <c r="G121" s="90"/>
      <c r="H121" s="90"/>
      <c r="I121" s="90"/>
      <c r="J121" s="90"/>
      <c r="K121" s="90"/>
      <c r="L121" s="90"/>
      <c r="M121" s="1571" t="s">
        <v>971</v>
      </c>
      <c r="N121" s="1572"/>
      <c r="O121" s="1572"/>
      <c r="P121" s="1572"/>
      <c r="Q121" s="1572"/>
      <c r="R121" s="1572"/>
      <c r="S121" s="1572"/>
      <c r="T121" s="1572"/>
      <c r="U121" s="1572"/>
      <c r="V121" s="1572"/>
      <c r="W121" s="1572"/>
      <c r="X121" s="1572"/>
      <c r="Y121" s="1572"/>
      <c r="Z121" s="1572"/>
    </row>
    <row r="122" spans="2:26" ht="28.2" thickBot="1" x14ac:dyDescent="0.3">
      <c r="B122" s="122" t="s">
        <v>63</v>
      </c>
      <c r="C122" s="123" t="s">
        <v>1002</v>
      </c>
      <c r="D122" s="123" t="s">
        <v>1003</v>
      </c>
      <c r="E122" s="123" t="s">
        <v>117</v>
      </c>
      <c r="F122" s="124" t="s">
        <v>118</v>
      </c>
      <c r="G122" s="136" t="s">
        <v>973</v>
      </c>
      <c r="H122" s="125" t="s">
        <v>974</v>
      </c>
      <c r="I122" s="125" t="s">
        <v>975</v>
      </c>
      <c r="J122" s="125" t="s">
        <v>976</v>
      </c>
      <c r="K122" s="125" t="s">
        <v>977</v>
      </c>
      <c r="L122" s="126" t="s">
        <v>978</v>
      </c>
      <c r="M122" s="137" t="s">
        <v>979</v>
      </c>
      <c r="N122" s="137" t="s">
        <v>980</v>
      </c>
      <c r="O122" s="137" t="s">
        <v>981</v>
      </c>
      <c r="P122" s="137" t="s">
        <v>982</v>
      </c>
      <c r="Q122" s="136" t="s">
        <v>983</v>
      </c>
      <c r="R122" s="125" t="s">
        <v>984</v>
      </c>
      <c r="S122" s="125" t="s">
        <v>985</v>
      </c>
      <c r="T122" s="125" t="s">
        <v>986</v>
      </c>
      <c r="U122" s="125" t="s">
        <v>987</v>
      </c>
      <c r="V122" s="126" t="s">
        <v>988</v>
      </c>
      <c r="W122" s="137" t="s">
        <v>989</v>
      </c>
      <c r="X122" s="137" t="s">
        <v>990</v>
      </c>
      <c r="Y122" s="137" t="s">
        <v>991</v>
      </c>
      <c r="Z122" s="137" t="s">
        <v>992</v>
      </c>
    </row>
    <row r="123" spans="2:26" x14ac:dyDescent="0.25">
      <c r="B123" s="264" t="s">
        <v>1004</v>
      </c>
      <c r="C123" s="265" t="s">
        <v>1005</v>
      </c>
      <c r="D123" s="265" t="s">
        <v>1006</v>
      </c>
      <c r="E123" s="265" t="s">
        <v>254</v>
      </c>
      <c r="F123" s="294">
        <v>3</v>
      </c>
      <c r="G123" s="299"/>
      <c r="H123" s="300"/>
      <c r="I123" s="300"/>
      <c r="J123" s="300"/>
      <c r="K123" s="300"/>
      <c r="L123" s="301"/>
      <c r="M123" s="302"/>
      <c r="N123" s="302"/>
      <c r="O123" s="302"/>
      <c r="P123" s="302"/>
      <c r="Q123" s="311"/>
      <c r="R123" s="312"/>
      <c r="S123" s="312"/>
      <c r="T123" s="312"/>
      <c r="U123" s="312"/>
      <c r="V123" s="313"/>
      <c r="W123" s="314"/>
      <c r="X123" s="314"/>
      <c r="Y123" s="314"/>
      <c r="Z123" s="314"/>
    </row>
    <row r="124" spans="2:26" x14ac:dyDescent="0.25">
      <c r="B124" s="130" t="s">
        <v>1007</v>
      </c>
      <c r="C124" s="131" t="s">
        <v>1008</v>
      </c>
      <c r="D124" s="131" t="s">
        <v>1006</v>
      </c>
      <c r="E124" s="131" t="s">
        <v>254</v>
      </c>
      <c r="F124" s="295">
        <v>3</v>
      </c>
      <c r="G124" s="303"/>
      <c r="H124" s="304"/>
      <c r="I124" s="304"/>
      <c r="J124" s="304"/>
      <c r="K124" s="304"/>
      <c r="L124" s="305"/>
      <c r="M124" s="306"/>
      <c r="N124" s="306"/>
      <c r="O124" s="306"/>
      <c r="P124" s="306"/>
      <c r="Q124" s="315"/>
      <c r="R124" s="316"/>
      <c r="S124" s="316"/>
      <c r="T124" s="316"/>
      <c r="U124" s="316"/>
      <c r="V124" s="317"/>
      <c r="W124" s="318"/>
      <c r="X124" s="318"/>
      <c r="Y124" s="318"/>
      <c r="Z124" s="318"/>
    </row>
    <row r="125" spans="2:26" ht="14.4" thickBot="1" x14ac:dyDescent="0.3">
      <c r="B125" s="133" t="s">
        <v>1009</v>
      </c>
      <c r="C125" s="134" t="s">
        <v>1010</v>
      </c>
      <c r="D125" s="134" t="s">
        <v>1006</v>
      </c>
      <c r="E125" s="134" t="s">
        <v>254</v>
      </c>
      <c r="F125" s="296">
        <v>3</v>
      </c>
      <c r="G125" s="307"/>
      <c r="H125" s="308"/>
      <c r="I125" s="308"/>
      <c r="J125" s="308"/>
      <c r="K125" s="308"/>
      <c r="L125" s="309"/>
      <c r="M125" s="310"/>
      <c r="N125" s="310"/>
      <c r="O125" s="310"/>
      <c r="P125" s="310"/>
      <c r="Q125" s="323"/>
      <c r="R125" s="324"/>
      <c r="S125" s="324"/>
      <c r="T125" s="324"/>
      <c r="U125" s="324"/>
      <c r="V125" s="325"/>
      <c r="W125" s="326"/>
      <c r="X125" s="326"/>
      <c r="Y125" s="326"/>
      <c r="Z125" s="326"/>
    </row>
    <row r="126" spans="2:26" ht="14.4" thickBot="1" x14ac:dyDescent="0.3">
      <c r="R126" s="66"/>
      <c r="S126" s="66"/>
    </row>
    <row r="127" spans="2:26" ht="42" thickBot="1" x14ac:dyDescent="0.3">
      <c r="B127" s="210" t="str">
        <f>CONCATENATE("Table 7d: WC level - Alternative Programme  ",E101, " Enhancement Expenditure")</f>
        <v>Table 7d: WC level - Alternative Programme   [specify] Enhancement Expenditure</v>
      </c>
      <c r="C127" s="155"/>
      <c r="D127" s="154"/>
      <c r="E127" s="154"/>
      <c r="F127" s="90"/>
      <c r="G127" s="90"/>
      <c r="H127" s="90"/>
      <c r="I127" s="90"/>
      <c r="J127" s="90"/>
      <c r="K127" s="90"/>
      <c r="L127" s="90"/>
      <c r="M127" s="1571" t="s">
        <v>971</v>
      </c>
      <c r="N127" s="1572"/>
      <c r="O127" s="1572"/>
      <c r="P127" s="1572"/>
      <c r="Q127" s="1572"/>
      <c r="R127" s="1572"/>
      <c r="S127" s="1572"/>
      <c r="T127" s="1572"/>
      <c r="U127" s="1572"/>
      <c r="V127" s="1572"/>
      <c r="W127" s="1572"/>
      <c r="X127" s="1572"/>
      <c r="Y127" s="1572"/>
      <c r="Z127" s="1572"/>
    </row>
    <row r="128" spans="2:26" ht="28.2" thickBot="1" x14ac:dyDescent="0.3">
      <c r="B128" s="122" t="s">
        <v>63</v>
      </c>
      <c r="C128" s="123" t="s">
        <v>1002</v>
      </c>
      <c r="D128" s="123" t="s">
        <v>1003</v>
      </c>
      <c r="E128" s="123" t="s">
        <v>117</v>
      </c>
      <c r="F128" s="124" t="s">
        <v>118</v>
      </c>
      <c r="G128" s="136" t="s">
        <v>973</v>
      </c>
      <c r="H128" s="125" t="s">
        <v>974</v>
      </c>
      <c r="I128" s="125" t="s">
        <v>975</v>
      </c>
      <c r="J128" s="125" t="s">
        <v>976</v>
      </c>
      <c r="K128" s="125" t="s">
        <v>977</v>
      </c>
      <c r="L128" s="126" t="s">
        <v>978</v>
      </c>
      <c r="M128" s="137" t="s">
        <v>979</v>
      </c>
      <c r="N128" s="137" t="s">
        <v>980</v>
      </c>
      <c r="O128" s="137" t="s">
        <v>981</v>
      </c>
      <c r="P128" s="137" t="s">
        <v>982</v>
      </c>
      <c r="Q128" s="136" t="s">
        <v>983</v>
      </c>
      <c r="R128" s="125" t="s">
        <v>984</v>
      </c>
      <c r="S128" s="125" t="s">
        <v>985</v>
      </c>
      <c r="T128" s="125" t="s">
        <v>986</v>
      </c>
      <c r="U128" s="125" t="s">
        <v>987</v>
      </c>
      <c r="V128" s="126" t="s">
        <v>988</v>
      </c>
      <c r="W128" s="137" t="s">
        <v>989</v>
      </c>
      <c r="X128" s="137" t="s">
        <v>990</v>
      </c>
      <c r="Y128" s="137" t="s">
        <v>991</v>
      </c>
      <c r="Z128" s="137" t="s">
        <v>992</v>
      </c>
    </row>
    <row r="129" spans="2:26" ht="27.6" x14ac:dyDescent="0.25">
      <c r="B129" s="264" t="s">
        <v>1011</v>
      </c>
      <c r="C129" s="265" t="s">
        <v>1012</v>
      </c>
      <c r="D129" s="265" t="s">
        <v>811</v>
      </c>
      <c r="E129" s="265" t="s">
        <v>254</v>
      </c>
      <c r="F129" s="294">
        <v>3</v>
      </c>
      <c r="G129" s="299"/>
      <c r="H129" s="300"/>
      <c r="I129" s="300"/>
      <c r="J129" s="300"/>
      <c r="K129" s="300"/>
      <c r="L129" s="301"/>
      <c r="M129" s="302"/>
      <c r="N129" s="302"/>
      <c r="O129" s="302"/>
      <c r="P129" s="302"/>
      <c r="Q129" s="311"/>
      <c r="R129" s="312"/>
      <c r="S129" s="312"/>
      <c r="T129" s="312"/>
      <c r="U129" s="312"/>
      <c r="V129" s="313"/>
      <c r="W129" s="314"/>
      <c r="X129" s="314"/>
      <c r="Y129" s="314"/>
      <c r="Z129" s="314"/>
    </row>
    <row r="130" spans="2:26" ht="27.6" x14ac:dyDescent="0.25">
      <c r="B130" s="130" t="s">
        <v>1013</v>
      </c>
      <c r="C130" s="131" t="s">
        <v>1012</v>
      </c>
      <c r="D130" s="131" t="s">
        <v>806</v>
      </c>
      <c r="E130" s="131" t="s">
        <v>254</v>
      </c>
      <c r="F130" s="295">
        <v>3</v>
      </c>
      <c r="G130" s="303"/>
      <c r="H130" s="304"/>
      <c r="I130" s="304"/>
      <c r="J130" s="304"/>
      <c r="K130" s="304"/>
      <c r="L130" s="305"/>
      <c r="M130" s="306"/>
      <c r="N130" s="306"/>
      <c r="O130" s="306"/>
      <c r="P130" s="306"/>
      <c r="Q130" s="315"/>
      <c r="R130" s="316"/>
      <c r="S130" s="316"/>
      <c r="T130" s="316"/>
      <c r="U130" s="316"/>
      <c r="V130" s="317"/>
      <c r="W130" s="318"/>
      <c r="X130" s="318"/>
      <c r="Y130" s="318"/>
      <c r="Z130" s="318"/>
    </row>
    <row r="131" spans="2:26" ht="28.2" thickBot="1" x14ac:dyDescent="0.3">
      <c r="B131" s="133" t="s">
        <v>1014</v>
      </c>
      <c r="C131" s="134" t="s">
        <v>1012</v>
      </c>
      <c r="D131" s="134" t="s">
        <v>1006</v>
      </c>
      <c r="E131" s="134" t="s">
        <v>254</v>
      </c>
      <c r="F131" s="296">
        <v>3</v>
      </c>
      <c r="G131" s="307"/>
      <c r="H131" s="308"/>
      <c r="I131" s="308"/>
      <c r="J131" s="308"/>
      <c r="K131" s="308"/>
      <c r="L131" s="309"/>
      <c r="M131" s="310"/>
      <c r="N131" s="310"/>
      <c r="O131" s="310"/>
      <c r="P131" s="310"/>
      <c r="Q131" s="323"/>
      <c r="R131" s="324"/>
      <c r="S131" s="324"/>
      <c r="T131" s="324"/>
      <c r="U131" s="324"/>
      <c r="V131" s="325"/>
      <c r="W131" s="326"/>
      <c r="X131" s="326"/>
      <c r="Y131" s="326"/>
      <c r="Z131" s="326"/>
    </row>
  </sheetData>
  <mergeCells count="69">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C38:I38"/>
    <mergeCell ref="C69:I69"/>
    <mergeCell ref="D49:E49"/>
    <mergeCell ref="D50:E50"/>
    <mergeCell ref="D51:E51"/>
    <mergeCell ref="D52:E52"/>
    <mergeCell ref="D53:E53"/>
    <mergeCell ref="D42:E42"/>
    <mergeCell ref="D43:E43"/>
    <mergeCell ref="D44:E44"/>
    <mergeCell ref="D45:E45"/>
    <mergeCell ref="D46:E46"/>
    <mergeCell ref="C70:I70"/>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M94:Z94"/>
    <mergeCell ref="M107:Z107"/>
    <mergeCell ref="M114:Z114"/>
    <mergeCell ref="M41:Z41"/>
    <mergeCell ref="M48:Z48"/>
    <mergeCell ref="M55:Z55"/>
    <mergeCell ref="M61:Z61"/>
    <mergeCell ref="M74:Z74"/>
    <mergeCell ref="N4:U4"/>
    <mergeCell ref="D13:E13"/>
    <mergeCell ref="M121:Z121"/>
    <mergeCell ref="M127:Z127"/>
    <mergeCell ref="D108:E108"/>
    <mergeCell ref="D109:E109"/>
    <mergeCell ref="D110:E110"/>
    <mergeCell ref="D111:E111"/>
    <mergeCell ref="D112:E112"/>
    <mergeCell ref="D115:E115"/>
    <mergeCell ref="D116:E116"/>
    <mergeCell ref="D117:E117"/>
    <mergeCell ref="D118:E118"/>
    <mergeCell ref="D119:E119"/>
    <mergeCell ref="M81:Z81"/>
    <mergeCell ref="M88:Z88"/>
  </mergeCells>
  <hyperlinks>
    <hyperlink ref="K2" location="'TITLE PAGE'!A1" display="Back to title page" xr:uid="{00000000-0004-0000-07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_ip_UnifiedCompliancePolicyUIAction xmlns="http://schemas.microsoft.com/sharepoint/v3" xsi:nil="true"/>
    <k85d23755b3a46b5a51451cf336b2e9b xmlns="662745e8-e224-48e8-a2e3-254862b8c2f5">
      <Terms xmlns="http://schemas.microsoft.com/office/infopath/2007/PartnerControls"/>
    </k85d23755b3a46b5a51451cf336b2e9b>
    <Topic xmlns="662745e8-e224-48e8-a2e3-254862b8c2f5">docs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External</TermName>
          <TermId xmlns="http://schemas.microsoft.com/office/infopath/2007/PartnerControls">1104eb68-55d8-494f-b6ba-c5473579de73</TermId>
        </TermInfo>
      </Terms>
    </ddeb1fd0a9ad4436a96525d34737dc44>
    <_ip_UnifiedCompliancePolicyProperties xmlns="http://schemas.microsoft.com/sharepoint/v3" xsi:nil="true"/>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EA</TermName>
          <TermId xmlns="http://schemas.microsoft.com/office/infopath/2007/PartnerControls">d5f78ddb-b1b6-4328-9877-d7e3ed06fdac</TermId>
        </TermInfo>
      </Terms>
    </fe59e9859d6a491389c5b03567f5dda5>
    <Team xmlns="662745e8-e224-48e8-a2e3-254862b8c2f5">Water company drought and water resources management plans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Community</TermName>
          <TermId xmlns="http://schemas.microsoft.com/office/infopath/2007/PartnerControls">144ac7d7-0b9a-42f9-9385-2935294b6de3</TermId>
        </TermInfo>
      </Terms>
    </n7493b4506bf40e28c373b1e51a33445>
  </documentManagement>
</p:properti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D602D95C52984A489B37C7D69017B1B3" ma:contentTypeVersion="12" ma:contentTypeDescription="Create a new document." ma:contentTypeScope="" ma:versionID="31f9f89f9595426a1321409024a2bc57">
  <xsd:schema xmlns:xsd="http://www.w3.org/2001/XMLSchema" xmlns:xs="http://www.w3.org/2001/XMLSchema" xmlns:p="http://schemas.microsoft.com/office/2006/metadata/properties" xmlns:ns1="http://schemas.microsoft.com/sharepoint/v3" xmlns:ns2="662745e8-e224-48e8-a2e3-254862b8c2f5" xmlns:ns3="dedfcf1f-2de5-42da-89db-7ad95f22089e" xmlns:ns4="038ee544-18b8-4bf0-9151-2e6b56563429" targetNamespace="http://schemas.microsoft.com/office/2006/metadata/properties" ma:root="true" ma:fieldsID="bf650ac88d58dc7f60395b6c04421310" ns1:_="" ns2:_="" ns3:_="" ns4:_="">
    <xsd:import namespace="http://schemas.microsoft.com/sharepoint/v3"/>
    <xsd:import namespace="662745e8-e224-48e8-a2e3-254862b8c2f5"/>
    <xsd:import namespace="dedfcf1f-2de5-42da-89db-7ad95f22089e"/>
    <xsd:import namespace="038ee544-18b8-4bf0-9151-2e6b5656342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SharedWithUsers"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b612ada-49cd-48ef-b602-f18f2094e287}" ma:internalName="TaxCatchAll" ma:showField="CatchAllData" ma:web="dedfcf1f-2de5-42da-89db-7ad95f22089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b612ada-49cd-48ef-b602-f18f2094e287}" ma:internalName="TaxCatchAllLabel" ma:readOnly="true" ma:showField="CatchAllDataLabel" ma:web="dedfcf1f-2de5-42da-89db-7ad95f22089e">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Community|144ac7d7-0b9a-42f9-9385-2935294b6de3"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Water company drought and water resources management plans" ma:internalName="Team">
      <xsd:simpleType>
        <xsd:restriction base="dms:Text"/>
      </xsd:simpleType>
    </xsd:element>
    <xsd:element name="Topic" ma:index="20" nillable="true" ma:displayName="Topic" ma:default="doc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External|1104eb68-55d8-494f-b6ba-c5473579de73"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EA|d5f78ddb-b1b6-4328-9877-d7e3ed06fdac"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dfcf1f-2de5-42da-89db-7ad95f22089e"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38ee544-18b8-4bf0-9151-2e6b56563429"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D13314-7FB5-4A8C-BEB8-909D6C789D98}">
  <ds:schemaRefs>
    <ds:schemaRef ds:uri="http://schemas.microsoft.com/sharepoint/v3"/>
    <ds:schemaRef ds:uri="http://purl.org/dc/elements/1.1/"/>
    <ds:schemaRef ds:uri="http://schemas.microsoft.com/office/2006/documentManagement/types"/>
    <ds:schemaRef ds:uri="662745e8-e224-48e8-a2e3-254862b8c2f5"/>
    <ds:schemaRef ds:uri="dedfcf1f-2de5-42da-89db-7ad95f22089e"/>
    <ds:schemaRef ds:uri="038ee544-18b8-4bf0-9151-2e6b56563429"/>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B1350AD1-F4DC-41C5-91D7-DD125F1FB0A5}">
  <ds:schemaRefs>
    <ds:schemaRef ds:uri="Microsoft.SharePoint.Taxonomy.ContentTypeSync"/>
  </ds:schemaRefs>
</ds:datastoreItem>
</file>

<file path=customXml/itemProps3.xml><?xml version="1.0" encoding="utf-8"?>
<ds:datastoreItem xmlns:ds="http://schemas.openxmlformats.org/officeDocument/2006/customXml" ds:itemID="{2A143D36-1584-4BDC-B676-4B900738C2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62745e8-e224-48e8-a2e3-254862b8c2f5"/>
    <ds:schemaRef ds:uri="dedfcf1f-2de5-42da-89db-7ad95f22089e"/>
    <ds:schemaRef ds:uri="038ee544-18b8-4bf0-9151-2e6b565634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281477B-D0CC-491B-9E7D-92C5611CA7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TITLE PAGE</vt:lpstr>
      <vt:lpstr>1. Base Year Licences</vt:lpstr>
      <vt:lpstr>2. WC Level Data</vt:lpstr>
      <vt:lpstr>BWXBRS</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BWXBRS!WRZ_DATA_T3A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Bristol Water WRMP24 Tables</dc:title>
  <dc:subject>Water Resources</dc:subject>
  <dc:creator/>
  <cp:keywords/>
  <dc:description>Data tables for the 2024 Water Resources Management Plan for Bristol Water</dc:description>
  <cp:lastModifiedBy/>
  <cp:revision/>
  <dcterms:created xsi:type="dcterms:W3CDTF">2016-06-02T10:12:30Z</dcterms:created>
  <dcterms:modified xsi:type="dcterms:W3CDTF">2023-11-21T11:55:03Z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0x010100A5BF1C78D9F64B679A5EBDE1C6598EBC0100D602D95C52984A489B37C7D69017B1B3</vt:lpwstr>
  </property>
  <property fmtid="{D5CDD505-2E9C-101B-9397-08002B2CF9AE}" pid="3" name="Distribution">
    <vt:lpwstr>9;#External|1104eb68-55d8-494f-b6ba-c5473579de73</vt:lpwstr>
  </property>
  <property fmtid="{D5CDD505-2E9C-101B-9397-08002B2CF9AE}" pid="4" name="HOCopyrightLevel">
    <vt:lpwstr>7;#Crown|69589897-2828-4761-976e-717fd8e631c9</vt:lpwstr>
  </property>
  <property fmtid="{D5CDD505-2E9C-101B-9397-08002B2CF9AE}" pid="5" name="HOGovernmentSecurityClassification">
    <vt:lpwstr>6;#Official|14c80daa-741b-422c-9722-f71693c9ede4</vt:lpwstr>
  </property>
  <property fmtid="{D5CDD505-2E9C-101B-9397-08002B2CF9AE}" pid="6" name="HOSiteType">
    <vt:lpwstr>10;#Community|144ac7d7-0b9a-42f9-9385-2935294b6de3</vt:lpwstr>
  </property>
  <property fmtid="{D5CDD505-2E9C-101B-9397-08002B2CF9AE}" pid="7" name="OrganisationalUnit">
    <vt:lpwstr>8;#EA|d5f78ddb-b1b6-4328-9877-d7e3ed06fdac</vt:lpwstr>
  </property>
  <property fmtid="{D5CDD505-2E9C-101B-9397-08002B2CF9AE}" pid="8" name="InformationType">
    <vt:lpwstr/>
  </property>
</Properties>
</file>