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codeName="ThisWorkbook" defaultThemeVersion="124226"/>
  <xr:revisionPtr revIDLastSave="121" documentId="11_07DAE3FCECEAB6280CCA625229E8C11F9FB4C10E" xr6:coauthVersionLast="47" xr6:coauthVersionMax="47" xr10:uidLastSave="{A2F40AE7-050A-4A01-9526-7C41D6111991}"/>
  <bookViews>
    <workbookView xWindow="28680" yWindow="-4065" windowWidth="29040" windowHeight="17640" tabRatio="710" firstSheet="3" activeTab="3"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J70" i="7" l="1"/>
  <c r="J71" i="7"/>
  <c r="J72" i="7"/>
  <c r="J73" i="7"/>
  <c r="J74" i="7"/>
  <c r="J75" i="7"/>
  <c r="J76" i="7"/>
  <c r="J77" i="7"/>
  <c r="J78" i="7"/>
  <c r="J79" i="7"/>
  <c r="J80" i="7"/>
  <c r="J81" i="7"/>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61" i="21"/>
  <c r="Q163"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16"/>
  <c r="F2" i="12"/>
  <c r="F2" i="8"/>
</calcChain>
</file>

<file path=xl/sharedStrings.xml><?xml version="1.0" encoding="utf-8"?>
<sst xmlns="http://schemas.openxmlformats.org/spreadsheetml/2006/main" count="1061" uniqueCount="438">
  <si>
    <t>Workbook title:</t>
  </si>
  <si>
    <t>RPI-CPIH wedge true up</t>
  </si>
  <si>
    <t>Version:</t>
  </si>
  <si>
    <t>Filename:</t>
  </si>
  <si>
    <t>RPI-CPIH-wedge-true-up-model-Dec-2020-v5.xlsx</t>
  </si>
  <si>
    <t>Date:</t>
  </si>
  <si>
    <t>Author:</t>
  </si>
  <si>
    <t>Ofwat</t>
  </si>
  <si>
    <t>Author contact information:</t>
  </si>
  <si>
    <t>OfwatPandO@ofwat.gov.uk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</si>
  <si>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</si>
  <si>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</si>
  <si>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</si>
  <si>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</si>
  <si>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</si>
  <si>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</si>
  <si>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</si>
  <si>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February 2020 version</t>
  </si>
  <si>
    <t>Calc</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</si>
  <si>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</si>
  <si>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</si>
  <si>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</si>
  <si>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</si>
  <si>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</si>
  <si>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</si>
  <si>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</si>
  <si>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</si>
  <si>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</si>
  <si>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</si>
  <si>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</si>
  <si>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</si>
  <si>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</si>
  <si>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</si>
  <si>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</si>
  <si>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</si>
  <si>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</si>
  <si>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</si>
  <si>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</si>
  <si>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</si>
  <si>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</si>
  <si>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</si>
  <si>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</si>
  <si>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</si>
  <si>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</si>
  <si>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</si>
  <si>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</si>
  <si>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</si>
  <si>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</si>
  <si>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</si>
  <si>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</si>
  <si>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</si>
  <si>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</si>
  <si>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</si>
  <si>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</si>
  <si>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</si>
  <si>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</si>
  <si>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</si>
  <si>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</si>
  <si>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</si>
  <si>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</si>
  <si>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</si>
  <si>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</si>
  <si>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</si>
  <si>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</si>
  <si>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</si>
  <si>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</si>
  <si>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</si>
  <si>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</si>
  <si>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</si>
  <si>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</si>
  <si>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</si>
  <si>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</si>
  <si>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</si>
  <si>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</si>
  <si>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</si>
  <si>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</si>
  <si>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</si>
  <si>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</si>
  <si>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</si>
  <si>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</si>
  <si>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</si>
  <si>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</si>
  <si>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</si>
  <si>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</si>
  <si>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</si>
  <si>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</si>
  <si>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</si>
  <si>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</si>
  <si>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</si>
  <si>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</si>
  <si>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</si>
  <si>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</si>
  <si>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</si>
  <si>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</si>
  <si>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</si>
  <si>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</si>
  <si>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</si>
  <si>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</si>
  <si>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</si>
  <si>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</si>
  <si>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</si>
  <si>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</si>
  <si>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</si>
  <si>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</si>
  <si>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</si>
  <si>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</si>
  <si>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</si>
  <si>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</si>
  <si>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</si>
  <si>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</si>
  <si>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</si>
  <si>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</si>
  <si>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</si>
  <si>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</si>
  <si>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</si>
  <si>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</si>
  <si>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</si>
  <si>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</si>
  <si>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</si>
  <si>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</si>
  <si>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</si>
  <si>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</si>
  <si>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</si>
  <si>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</si>
  <si>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</si>
  <si>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</si>
  <si>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Inputs - row format</t>
  </si>
  <si>
    <t>Calculation of true up - Water Network</t>
  </si>
  <si>
    <t>Calculation of true up - Wastewater Network</t>
  </si>
  <si>
    <t>Calculation of true up - Bio Resources</t>
  </si>
  <si>
    <t>Calculation of true up - Dummy Control</t>
  </si>
  <si>
    <t>Error chks</t>
  </si>
  <si>
    <t>Constant</t>
  </si>
  <si>
    <t>Unit</t>
  </si>
  <si>
    <t>Total</t>
  </si>
  <si>
    <t>Data sourced from:</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</si>
  <si>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</si>
  <si>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</si>
  <si>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</si>
  <si>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</si>
  <si>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</si>
  <si>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</si>
  <si>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</si>
  <si>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</si>
  <si>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</si>
  <si>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</si>
  <si>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</si>
  <si>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</si>
  <si>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</si>
  <si>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</si>
  <si>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FINAL DETERMINATION ASSUMPTIONS</t>
  </si>
  <si>
    <t>RPI - final determination</t>
  </si>
  <si>
    <t>RPI: April - index - final determination</t>
  </si>
  <si>
    <t>index</t>
  </si>
  <si>
    <t>PR19 Financial model, 'Index' sheet row 131</t>
  </si>
  <si>
    <t>RPI: May - index - final determination</t>
  </si>
  <si>
    <t>PR19 Financial model, 'Index' sheet row 132</t>
  </si>
  <si>
    <t>RPI: June - index - final determination</t>
  </si>
  <si>
    <t>PR19 Financial model, 'Index' sheet row 133</t>
  </si>
  <si>
    <t>RPI: July - index - final determination</t>
  </si>
  <si>
    <t>PR19 Financial model, 'Index' sheet row 134</t>
  </si>
  <si>
    <t>RPI: August - index - final determination</t>
  </si>
  <si>
    <t>PR19 Financial model, 'Index' sheet row 135</t>
  </si>
  <si>
    <t>RPI: September - index - final determination</t>
  </si>
  <si>
    <t>PR19 Financial model, 'Index' sheet row 136</t>
  </si>
  <si>
    <t>RPI: October - index - final determination</t>
  </si>
  <si>
    <t>PR19 Financial model, 'Index' sheet row 137</t>
  </si>
  <si>
    <t>RPI: November - index - final determination</t>
  </si>
  <si>
    <t>PR19 Financial model, 'Index' sheet row 138</t>
  </si>
  <si>
    <t>RPI: December - index - final determination</t>
  </si>
  <si>
    <t>PR19 Financial model, 'Index' sheet row 139</t>
  </si>
  <si>
    <t>RPI: January - index - final determination</t>
  </si>
  <si>
    <t>PR19 Financial model, 'Index' sheet row 140</t>
  </si>
  <si>
    <t>RPI: February - index - final determination</t>
  </si>
  <si>
    <t>PR19 Financial model, 'Index' sheet row 141</t>
  </si>
  <si>
    <t>RPI: March - index - final determination</t>
  </si>
  <si>
    <t>PR19 Financial model, 'Index' sheet row 142</t>
  </si>
  <si>
    <t>CPI(H) - final determination</t>
  </si>
  <si>
    <t>CPI(H): April - index - final determination</t>
  </si>
  <si>
    <t>PR19 Financial model, 'Index' sheet F59 and 'Index' sheet row 10</t>
  </si>
  <si>
    <t>CPI(H): May - index - final determination</t>
  </si>
  <si>
    <t>PR19 Financial model, 'Index' sheet F60 and 'Index' sheet row 11</t>
  </si>
  <si>
    <t>CPI(H): June - index - final determination</t>
  </si>
  <si>
    <t>PR19 Financial model, 'Index' sheet F61 and 'Index' sheet row 12</t>
  </si>
  <si>
    <t>CPI(H): July - index - final determination</t>
  </si>
  <si>
    <t>PR19 Financial model, 'Index' sheet F62 and 'Index' sheet row 13</t>
  </si>
  <si>
    <t>CPI(H): August - index - final determination</t>
  </si>
  <si>
    <t>PR19 Financial model, 'Index' sheet F63 and 'Index' sheet row 14</t>
  </si>
  <si>
    <t>CPI(H): September - index - final determination</t>
  </si>
  <si>
    <t>PR19 Financial model, 'Index' sheet F64 and 'Index' sheet row 15</t>
  </si>
  <si>
    <t>CPI(H): October - index - final determination</t>
  </si>
  <si>
    <t>PR19 Financial model, 'Index' sheet F65 and 'Index' sheet row 16</t>
  </si>
  <si>
    <t>CPI(H): November - index - final determination</t>
  </si>
  <si>
    <t>PR19 Financial model, 'Index' sheet F66 and 'Index' sheet row 17</t>
  </si>
  <si>
    <t>CPI(H): December - index - final determination</t>
  </si>
  <si>
    <t>PR19 Financial model, 'Index' sheet F67 and 'Index' sheet row 18</t>
  </si>
  <si>
    <t>CPI(H): January - index - final determination</t>
  </si>
  <si>
    <t>PR19 Financial model, 'Index' sheet F68 and 'Index' sheet row 19</t>
  </si>
  <si>
    <t>CPI(H): February - index - final determination</t>
  </si>
  <si>
    <t>PR19 Financial model, 'Index' sheet F69 and 'Index' sheet row 20</t>
  </si>
  <si>
    <t>CPI(H): March - index - final determination</t>
  </si>
  <si>
    <t>PR19 Financial model, 'Index' sheet F70 and 'Index' sheet row 21</t>
  </si>
  <si>
    <t>OUTTURN INFLATION</t>
  </si>
  <si>
    <t>RPI - outturn</t>
  </si>
  <si>
    <t>RPI: April - index - actual (including forecast)</t>
  </si>
  <si>
    <t>ONS, RPI All Items Index: Jan 1987=100</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</si>
  <si>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</si>
  <si>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</si>
  <si>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</si>
  <si>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</si>
  <si>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</si>
  <si>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</si>
  <si>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</si>
  <si>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</si>
  <si>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</si>
  <si>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</si>
  <si>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</si>
  <si>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</si>
  <si>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</si>
  <si>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ONS, CPIH INDEX 00: ALL ITEMS 2015=100</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</si>
  <si>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</si>
  <si>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</si>
  <si>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</si>
  <si>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</si>
  <si>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</si>
  <si>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</si>
  <si>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</si>
  <si>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</si>
  <si>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</si>
  <si>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</si>
  <si>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</si>
  <si>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</si>
  <si>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COMPANY-SPECIFIC INPUTS</t>
  </si>
  <si>
    <t>2020 RCV RPI inflated - initial balance - nominal</t>
  </si>
  <si>
    <t>RCV - CPI(H) + RPI wedge initial balance - nominal - WR</t>
  </si>
  <si>
    <t>£m</t>
  </si>
  <si>
    <t>PR19 Financial model, 'RCV balance summary' sheet cell K23</t>
  </si>
  <si>
    <t>RCV - CPI(H) + RPI wedge initial balance - nominal - WN</t>
  </si>
  <si>
    <t>PR19 Financial model, 'RCV balance summary' sheet cell K93</t>
  </si>
  <si>
    <t>RCV - CPI(H) + RPI wedge initial balance - nominal - WWN</t>
  </si>
  <si>
    <t>PR19 Financial model, 'RCV balance summary' sheet cell K163</t>
  </si>
  <si>
    <t>RCV - CPI(H) + RPI wedge initial balance - nominal - BR</t>
  </si>
  <si>
    <t>PR19 Financial model, 'RCV balance summary' sheet cell K233</t>
  </si>
  <si>
    <t>RCV - CPI(H) + RPI wedge initial balance - nominal - DMMY</t>
  </si>
  <si>
    <t>PR19 Financial model, 'RCV balance summary' sheet cell K303</t>
  </si>
  <si>
    <t>2020 RCV RPI inflated - run-off rate</t>
  </si>
  <si>
    <t>Run-off rate - CPI(H) + RPI wedge - active - WR</t>
  </si>
  <si>
    <t>%</t>
  </si>
  <si>
    <t>PR19 Financial model, 'F_OutputsMaster' sheet row 953, PR19FM2090POST</t>
  </si>
  <si>
    <t>Run-off rate - CPI(H) + RPI wedge - active - WN</t>
  </si>
  <si>
    <t>PR19 Financial model, 'F_OutputsMaster' sheet row 956, PR19FM2093POST</t>
  </si>
  <si>
    <t>Run-off rate - CPI(H) + RPI wedge - active - WWN</t>
  </si>
  <si>
    <t>PR19 Financial model, 'F_OutputsMaster' sheet row 959, PR19FM2096POST</t>
  </si>
  <si>
    <t>Run-off rate - CPI(H) + RPI wedge - active - BR</t>
  </si>
  <si>
    <t>PR19 Financial model, 'F_OutputsMaster' sheet row 962, PR19FM2099POST</t>
  </si>
  <si>
    <t>Run-off rate - CPI(H) + RPI wedge - active - DMMY</t>
  </si>
  <si>
    <t>PR19 Financial model, 'F_OutputsMaster' sheet row 966, PR19FM2103POST</t>
  </si>
  <si>
    <t>Real RPI based wholesale WACC</t>
  </si>
  <si>
    <t>WACC on RCV - CPI(H) + RPI wedge bf and additions - WR</t>
  </si>
  <si>
    <t>PR19 Financial model, 'Water Resources' sheet row 980</t>
  </si>
  <si>
    <t>WACC on RCV - CPI(H) + RPI wedge bf and additions - WN</t>
  </si>
  <si>
    <t>PR19 Financial model, 'Water Network' sheet row 980</t>
  </si>
  <si>
    <t>WACC on RCV - CPI(H) + RPI wedge bf and additions - WWN</t>
  </si>
  <si>
    <t>PR19 Financial model, 'Wastewater Network' sheet row 980</t>
  </si>
  <si>
    <t>WACC on RCV - CPI(H) + RPI wedge bf and additions - BR</t>
  </si>
  <si>
    <t>PR19 Financial model, 'Bio Resources' sheet row 980</t>
  </si>
  <si>
    <t>WACC on RCV - CPI(H) + RPI wedge bf and additions - DMMY</t>
  </si>
  <si>
    <t>PR19 Financial model, 'Dummy Control' sheet row 980</t>
  </si>
  <si>
    <t>Real CPIH based wholesale WACC</t>
  </si>
  <si>
    <t>WACC real on RCV - CPI(H) bf and additions - WR</t>
  </si>
  <si>
    <t>PR19 Financial model, 'Water Resources' sheet row 860</t>
  </si>
  <si>
    <t>WACC real on RCV - CPI(H) bf and additions - WN</t>
  </si>
  <si>
    <t>PR19 Financial model, 'Water Network' sheet row 860</t>
  </si>
  <si>
    <t>WACC real on RCV - CPI(H) bf and additions - WWN</t>
  </si>
  <si>
    <t>PR19 Financial model, 'Wastewater Network' sheet row 860</t>
  </si>
  <si>
    <t>WACC real on RCV - CPI(H) bf and additions - BR</t>
  </si>
  <si>
    <t>PR19 Financial model, 'Bio Resources' sheet row 860</t>
  </si>
  <si>
    <t>WACC real on RCV - CPI(H) bf and additions - DMMY</t>
  </si>
  <si>
    <t>PR19 Financial model, 'Dummy Control' sheet row 860</t>
  </si>
  <si>
    <t>NON CHANGEABLE INPUTS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</si>
  <si>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</si>
  <si>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</si>
  <si>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</si>
  <si>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</si>
  <si>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</si>
  <si>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</si>
  <si>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</si>
  <si>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</si>
  <si>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</si>
  <si>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</si>
  <si>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</si>
  <si>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</si>
  <si>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</si>
  <si>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</si>
  <si>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</si>
  <si>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</si>
  <si>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</si>
  <si>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</si>
  <si>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</si>
  <si>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</si>
  <si>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</si>
  <si>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</si>
  <si>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</si>
  <si>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</si>
  <si>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</si>
  <si>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</si>
  <si>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</si>
  <si>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</si>
  <si>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</si>
  <si>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</si>
  <si>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</si>
  <si>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</si>
  <si>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</si>
  <si>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</si>
  <si>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</si>
  <si>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</si>
  <si>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</si>
  <si>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</si>
  <si>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</si>
  <si>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</si>
  <si>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</si>
  <si>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</si>
  <si>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</si>
  <si>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</si>
  <si>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</si>
  <si>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</si>
  <si>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</si>
  <si>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</si>
  <si>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</si>
  <si>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</si>
  <si>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</si>
  <si>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</si>
  <si>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</si>
  <si>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</si>
  <si>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</si>
  <si>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</si>
  <si>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</si>
  <si>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</si>
  <si>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</si>
  <si>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</si>
  <si>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</si>
  <si>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</si>
  <si>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</si>
  <si>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</si>
  <si>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</si>
  <si>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</si>
  <si>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</si>
  <si>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</si>
  <si>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</si>
  <si>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</si>
  <si>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</si>
  <si>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</si>
  <si>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</si>
  <si>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</si>
  <si>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</si>
  <si>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</si>
  <si>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</si>
  <si>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</si>
  <si>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</si>
  <si>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</si>
  <si>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</si>
  <si>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</si>
  <si>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</si>
  <si>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</si>
  <si>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</si>
  <si>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</si>
  <si>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</si>
  <si>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</si>
  <si>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</si>
  <si>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</si>
  <si>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</si>
  <si>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</si>
  <si>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</si>
  <si>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</si>
  <si>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</si>
  <si>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</si>
  <si>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</si>
  <si>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</si>
  <si>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</si>
  <si>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</si>
  <si>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</si>
  <si>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</si>
  <si>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</si>
  <si>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</si>
  <si>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</si>
  <si>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</si>
  <si>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</si>
  <si>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</si>
  <si>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</si>
  <si>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</si>
  <si>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</si>
  <si>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</si>
  <si>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</si>
  <si>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</si>
  <si>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</si>
  <si>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</si>
  <si>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</si>
  <si>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</si>
  <si>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</si>
  <si>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Difference RCV average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</si>
  <si>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</si>
  <si>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</si>
  <si>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</si>
  <si>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</si>
  <si>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</si>
  <si>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</si>
  <si>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</si>
  <si>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</si>
  <si>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</si>
  <si>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</si>
  <si>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</si>
  <si>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</si>
  <si>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RCV adjustment at end of period - real -WN</t>
  </si>
  <si>
    <t>Revenue adjustment for RCV run-off - real - WN</t>
  </si>
  <si>
    <t>Revenue adjustment for return - real - WN</t>
  </si>
  <si>
    <t>RCV adjustment at end of period - real - WWN</t>
  </si>
  <si>
    <t>Revenue adjustment for RCV run-off - real - WWN</t>
  </si>
  <si>
    <t>Revenue adjustment for return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</si>
  <si>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</si>
  <si>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</si>
  <si>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</si>
  <si>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</si>
  <si>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</si>
  <si>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</si>
  <si>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</si>
  <si>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</si>
  <si>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</si>
  <si>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</si>
  <si>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</si>
  <si>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</si>
  <si>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</si>
  <si>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</si>
  <si>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</si>
  <si>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</si>
  <si>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</si>
  <si>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Pre Fcst</t>
  </si>
  <si>
    <t>Forecast</t>
  </si>
  <si>
    <t>Post-Fcst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</si>
</sst>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4">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CCFF"/>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10" activePane="bottomLeft" state="frozen"/>
      <selection pane="bottomLeft" activeCell="C26" sqref="C26"/>
    </sheetView>
  </sheetViews>
  <sheetFormatPr defaultRowHeight="12.75" x14ac:dyDescent="0.2"/>
  <cols>
    <col min="1" max="1" width="30.42578125" bestFit="1" customWidth="1"/>
    <col min="2" max="2" width="108" customWidth="1"/>
    <col min="3" max="3" width="20.42578125" customWidth="1"/>
  </cols>
  <sheetData>
    <row r="1" spans="1:6" ht="30.75" thickBot="1" x14ac:dyDescent="0.45">
      <c r="A1" s="256" t="str">
        <f ca="1" xml:space="preserve"> RIGHT(CELL("filename", $A$1), LEN(CELL("filename", $A$1)) - SEARCH("]", CELL("filename", $A$1)))</f>
        <v>Cover</v>
      </c>
      <c r="B1" s="256"/>
      <c r="C1" s="256"/>
      <c r="D1" s="256"/>
      <c r="E1" s="256"/>
      <c r="F1" s="256"/>
    </row>
    <row r="2" spans="1:6" ht="3.95" customHeight="1" x14ac:dyDescent="0.3">
      <c r="A2" s="257"/>
      <c r="B2" s="257"/>
      <c r="C2" s="257"/>
      <c r="D2" s="257"/>
      <c r="E2" s="257"/>
      <c r="F2" s="257"/>
    </row>
    <row r="3" spans="1:6" ht="16.5" x14ac:dyDescent="0.3">
      <c r="A3" s="258" t="s">
        <v>0</v>
      </c>
      <c r="B3" s="258" t="s">
        <v>1</v>
      </c>
      <c r="C3" s="259"/>
      <c r="D3" s="259"/>
      <c r="E3" s="259"/>
      <c r="F3" s="259"/>
    </row>
    <row r="4" spans="1:6" ht="16.5" x14ac:dyDescent="0.3">
      <c r="A4" s="258" t="s">
        <v>2</v>
      </c>
      <c r="B4" s="289">
        <v>5</v>
      </c>
      <c r="C4" s="259"/>
      <c r="D4" s="259"/>
      <c r="E4" s="259"/>
      <c r="F4" s="259"/>
    </row>
    <row r="5" spans="1:6" ht="16.5" x14ac:dyDescent="0.3">
      <c r="A5" s="258" t="s">
        <v>3</v>
      </c>
      <c r="B5" s="289" t="s">
        <v>4</v>
      </c>
      <c r="C5" s="259"/>
      <c r="D5" s="259"/>
      <c r="E5" s="259"/>
      <c r="F5" s="259"/>
    </row>
    <row r="6" spans="1:6" ht="16.5" x14ac:dyDescent="0.3">
      <c r="A6" s="258" t="s">
        <v>5</v>
      </c>
      <c r="B6" s="293">
        <v>44167</v>
      </c>
      <c r="C6" s="259"/>
      <c r="D6" s="259"/>
      <c r="E6" s="259"/>
      <c r="F6" s="259"/>
    </row>
    <row r="7" spans="1:6" ht="16.5" x14ac:dyDescent="0.3">
      <c r="A7" s="258" t="s">
        <v>6</v>
      </c>
      <c r="B7" s="258" t="s">
        <v>7</v>
      </c>
      <c r="C7" s="259"/>
      <c r="D7" s="259"/>
      <c r="E7" s="259"/>
      <c r="F7" s="259"/>
    </row>
    <row r="8" spans="1:6" ht="16.5" x14ac:dyDescent="0.3">
      <c r="A8" s="258" t="s">
        <v>8</v>
      </c>
      <c r="B8" s="258" t="s">
        <v>9</v>
      </c>
      <c r="C8" s="259"/>
      <c r="D8" s="259"/>
      <c r="E8" s="259"/>
      <c r="F8" s="259"/>
    </row>
    <row r="9" spans="1:6" ht="3.95" customHeight="1" x14ac:dyDescent="0.3">
      <c r="A9" s="258"/>
      <c r="B9" s="258"/>
      <c r="C9" s="258"/>
      <c r="D9" s="258"/>
      <c r="E9" s="258"/>
      <c r="F9" s="258"/>
    </row>
    <row r="11" spans="1:6" ht="15.75" x14ac:dyDescent="0.2">
      <c r="A11" s="260" t="s">
        <v>10</v>
      </c>
      <c r="B11" s="261" t="s">
        <v>11</v>
      </c>
    </row>
    <row r="12" spans="1:6" ht="15.75" x14ac:dyDescent="0.2">
      <c r="A12" s="260"/>
      <c r="B12" s="261" t="s">
        <v>12</v>
      </c>
    </row>
    <row r="13" spans="1:6" ht="15.75" x14ac:dyDescent="0.2">
      <c r="A13" s="260"/>
      <c r="B13" s="261" t="s">
        <v>13</v>
      </c>
    </row>
    <row r="14" spans="1:6" x14ac:dyDescent="0.2">
      <c r="A14" s="261"/>
      <c r="B14" s="261"/>
    </row>
    <row r="15" spans="1:6" ht="15.75" x14ac:dyDescent="0.2">
      <c r="A15" s="260" t="s">
        <v>14</v>
      </c>
      <c r="B15" s="261"/>
    </row>
    <row r="16" spans="1:6" x14ac:dyDescent="0.2">
      <c r="A16" s="261"/>
      <c r="B16" s="261"/>
    </row>
    <row r="17" spans="1:2" ht="15.75" x14ac:dyDescent="0.2">
      <c r="A17" s="260" t="s">
        <v>15</v>
      </c>
      <c r="B17" s="261"/>
    </row>
    <row r="18" spans="1:2" x14ac:dyDescent="0.2">
      <c r="A18" s="261"/>
      <c r="B18" s="261"/>
    </row>
    <row r="19" spans="1:2" ht="15.75" x14ac:dyDescent="0.2">
      <c r="A19" s="260" t="s">
        <v>16</v>
      </c>
      <c r="B19" s="261"/>
    </row>
    <row r="20" spans="1:2" x14ac:dyDescent="0.2">
      <c r="A20" s="227" t="s">
        <v>17</v>
      </c>
      <c r="B20" s="261"/>
    </row>
    <row r="21" spans="1:2" x14ac:dyDescent="0.2">
      <c r="A21" s="290" t="s">
        <v>18</v>
      </c>
      <c r="B21" s="290" t="s">
        <v>19</v>
      </c>
    </row>
    <row r="22" spans="1:2" ht="38.25" x14ac:dyDescent="0.2">
      <c r="A22" s="290" t="s">
        <v>20</v>
      </c>
      <c r="B22" s="291" t="s">
        <v>21</v>
      </c>
    </row>
    <row r="23" spans="1:2" x14ac:dyDescent="0.2">
      <c r="B23" s="261"/>
    </row>
    <row r="24" spans="1:2" x14ac:dyDescent="0.2">
      <c r="A24" s="227" t="s">
        <v>22</v>
      </c>
      <c r="B24" s="261"/>
    </row>
    <row r="25" spans="1:2" x14ac:dyDescent="0.2">
      <c r="A25" t="s">
        <v>23</v>
      </c>
      <c r="B25" s="261" t="s">
        <v>24</v>
      </c>
    </row>
    <row r="26" spans="1:2" x14ac:dyDescent="0.2">
      <c r="A26" t="s">
        <v>25</v>
      </c>
      <c r="B26" s="261" t="s">
        <v>26</v>
      </c>
    </row>
    <row r="27" spans="1:2" x14ac:dyDescent="0.2">
      <c r="A27" t="s">
        <v>27</v>
      </c>
      <c r="B27" s="261" t="s">
        <v>28</v>
      </c>
    </row>
    <row r="28" spans="1:2" x14ac:dyDescent="0.2">
      <c r="A28" t="s">
        <v>29</v>
      </c>
      <c r="B28" s="261" t="s">
        <v>30</v>
      </c>
    </row>
    <row r="29" spans="1:2" x14ac:dyDescent="0.2">
      <c r="A29" t="s">
        <v>31</v>
      </c>
      <c r="B29" s="261" t="s">
        <v>32</v>
      </c>
    </row>
    <row r="30" spans="1:2" x14ac:dyDescent="0.2">
      <c r="B30" s="261"/>
    </row>
    <row r="31" spans="1:2" x14ac:dyDescent="0.2">
      <c r="A31" s="227" t="s">
        <v>33</v>
      </c>
      <c r="B31" s="261"/>
    </row>
    <row r="32" spans="1:2" x14ac:dyDescent="0.2">
      <c r="A32" t="s">
        <v>34</v>
      </c>
      <c r="B32" s="261" t="s">
        <v>35</v>
      </c>
    </row>
    <row r="33" spans="1:3" x14ac:dyDescent="0.2">
      <c r="A33" t="s">
        <v>36</v>
      </c>
      <c r="B33" s="261" t="s">
        <v>37</v>
      </c>
    </row>
    <row r="34" spans="1:3" x14ac:dyDescent="0.2">
      <c r="A34" t="s">
        <v>38</v>
      </c>
      <c r="B34" s="261" t="s">
        <v>39</v>
      </c>
    </row>
    <row r="35" spans="1:3" x14ac:dyDescent="0.2">
      <c r="A35" t="s">
        <v>40</v>
      </c>
      <c r="B35" s="261" t="s">
        <v>41</v>
      </c>
    </row>
    <row r="36" spans="1:3" x14ac:dyDescent="0.2">
      <c r="A36" t="s">
        <v>42</v>
      </c>
      <c r="B36" s="261" t="s">
        <v>43</v>
      </c>
    </row>
    <row r="37" spans="1:3" x14ac:dyDescent="0.2">
      <c r="B37" s="261"/>
    </row>
    <row r="38" spans="1:3" x14ac:dyDescent="0.2">
      <c r="A38" s="261"/>
      <c r="B38" s="261"/>
    </row>
    <row r="39" spans="1:3" ht="15.75" x14ac:dyDescent="0.2">
      <c r="A39" s="260" t="s">
        <v>44</v>
      </c>
      <c r="B39" s="261"/>
    </row>
    <row r="40" spans="1:3" ht="15.75" x14ac:dyDescent="0.2">
      <c r="A40" s="260"/>
      <c r="B40" s="261" t="s">
        <v>45</v>
      </c>
    </row>
    <row r="41" spans="1:3" ht="15.75" x14ac:dyDescent="0.2">
      <c r="A41" s="260"/>
      <c r="B41" s="261" t="s">
        <v>46</v>
      </c>
    </row>
    <row r="42" spans="1:3" ht="15.75" x14ac:dyDescent="0.2">
      <c r="A42" s="260"/>
      <c r="B42" s="261" t="s">
        <v>47</v>
      </c>
    </row>
    <row r="43" spans="1:3" ht="15.75" x14ac:dyDescent="0.2">
      <c r="A43" s="260"/>
      <c r="B43" s="261" t="s">
        <v>48</v>
      </c>
    </row>
    <row r="44" spans="1:3" ht="15.75" x14ac:dyDescent="0.2">
      <c r="A44" s="260"/>
      <c r="B44" s="261" t="s">
        <v>49</v>
      </c>
    </row>
    <row r="45" spans="1:3" ht="15.75" x14ac:dyDescent="0.2">
      <c r="A45" s="260"/>
      <c r="B45" s="261" t="s">
        <v>50</v>
      </c>
    </row>
    <row r="46" spans="1:3" ht="15.75" x14ac:dyDescent="0.2">
      <c r="A46" s="260"/>
      <c r="B46" s="261"/>
    </row>
    <row r="47" spans="1:3" ht="13.5" thickBot="1" x14ac:dyDescent="0.25">
      <c r="A47" s="261"/>
      <c r="B47" s="261"/>
    </row>
    <row r="48" spans="1:3" ht="16.5" thickBot="1" x14ac:dyDescent="0.25">
      <c r="A48" s="260" t="s">
        <v>51</v>
      </c>
      <c r="B48" s="261"/>
      <c r="C48" s="262" t="s">
        <v>52</v>
      </c>
    </row>
    <row r="49" spans="1:6" ht="15.75" x14ac:dyDescent="0.2">
      <c r="A49" s="260"/>
      <c r="B49" t="s">
        <v>53</v>
      </c>
      <c r="C49" s="29">
        <f xml:space="preserve"> Checks!$F$9</f>
        <v>0</v>
      </c>
    </row>
    <row r="51" spans="1:6" ht="13.5" x14ac:dyDescent="0.25">
      <c r="A51" s="263" t="s">
        <v>54</v>
      </c>
      <c r="B51" s="263"/>
      <c r="C51" s="263"/>
      <c r="D51" s="263"/>
      <c r="E51" s="263"/>
      <c r="F51" s="263"/>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&amp;T_x000D_&amp;1#&amp;"Calibri"&amp;10&amp;K000000 Classification: BUSINESS&amp;CPage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344</v>
      </c>
      <c r="B8" s="286"/>
      <c r="C8" s="287"/>
      <c r="D8" s="287"/>
      <c r="E8" s="287"/>
      <c r="F8" s="287"/>
      <c r="G8" s="287"/>
      <c r="H8" s="287"/>
      <c r="I8" s="287"/>
      <c r="J8" s="287"/>
      <c r="K8" s="287"/>
      <c r="L8" s="287"/>
      <c r="M8" s="287"/>
      <c r="N8" s="287"/>
      <c r="O8" s="287"/>
      <c r="P8" s="287"/>
      <c r="Q8" s="287"/>
      <c r="R8" s="287"/>
    </row>
    <row r="10" spans="1:26" x14ac:dyDescent="0.2">
      <c r="C10" s="110" t="s">
        <v>345</v>
      </c>
    </row>
    <row r="12" spans="1:26" x14ac:dyDescent="0.2">
      <c r="B12" s="61" t="s">
        <v>346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0</v>
      </c>
    </row>
    <row r="15" spans="1:26" s="172" customFormat="1" x14ac:dyDescent="0.2">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-1</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v>
      </c>
    </row>
    <row r="19" spans="1:16383" s="216" customFormat="1" x14ac:dyDescent="0.2">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0</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349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41.895108772290762</v>
      </c>
      <c r="N22" s="241">
        <f t="shared" si="3"/>
        <v>38.972137253447343</v>
      </c>
      <c r="O22" s="241">
        <f t="shared" si="3"/>
        <v>36.441734938630262</v>
      </c>
      <c r="P22" s="241">
        <f t="shared" si="3"/>
        <v>34.13904165985106</v>
      </c>
      <c r="Q22" s="241">
        <f t="shared" si="3"/>
        <v>31.997240119812005</v>
      </c>
      <c r="R22" s="241">
        <f t="shared" si="3"/>
        <v>29.989810068071282</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-1</v>
      </c>
      <c r="S23" s="177"/>
      <c r="T23" s="177"/>
      <c r="U23" s="177"/>
      <c r="V23" s="177"/>
      <c r="W23" s="177"/>
      <c r="X23" s="177"/>
      <c r="Y23" s="177"/>
      <c r="Z23" s="177"/>
    </row>
    <row r="24" spans="1:16383" s="91" customFormat="1" x14ac:dyDescent="0.2">
      <c r="A24" s="170"/>
      <c r="B24" s="165"/>
      <c r="C24" s="166"/>
      <c r="D24" s="171"/>
      <c r="E24" s="172" t="s">
        <v>350</v>
      </c>
      <c r="G24" s="91" t="s">
        <v>235</v>
      </c>
      <c r="J24" s="184">
        <f>J22*J23</f>
        <v>0</v>
      </c>
      <c r="K24" s="184">
        <f t="shared" ref="K24:R24" si="5">K22*K23</f>
        <v>0</v>
      </c>
      <c r="L24" s="184">
        <f t="shared" si="5"/>
        <v>0</v>
      </c>
      <c r="M24" s="184">
        <f>M22*M23</f>
        <v>1.0162953825730847</v>
      </c>
      <c r="N24" s="184">
        <f t="shared" si="5"/>
        <v>1.1530939055817997</v>
      </c>
      <c r="O24" s="184">
        <f t="shared" si="5"/>
        <v>1.1480488753435976</v>
      </c>
      <c r="P24" s="184">
        <f t="shared" si="5"/>
        <v>1.0924493331152576</v>
      </c>
      <c r="Q24" s="184">
        <f t="shared" si="5"/>
        <v>1.0239116838339779</v>
      </c>
      <c r="R24" s="184">
        <f t="shared" si="5"/>
        <v>-29.989810068071282</v>
      </c>
      <c r="S24" s="92"/>
      <c r="T24" s="92"/>
      <c r="U24" s="92"/>
      <c r="V24" s="92"/>
      <c r="W24" s="92"/>
      <c r="X24" s="92"/>
      <c r="Y24" s="92"/>
      <c r="Z24" s="92"/>
    </row>
    <row r="26" spans="1:16383" s="205" customFormat="1" x14ac:dyDescent="0.2">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f xml:space="preserve"> InpR!M$97</f>
        <v>9.180000000000002E-2</v>
      </c>
      <c r="N26" s="205">
        <f xml:space="preserve"> InpR!N$97</f>
        <v>9.180000000000002E-2</v>
      </c>
      <c r="O26" s="205">
        <f xml:space="preserve"> InpR!O$97</f>
        <v>9.180000000000002E-2</v>
      </c>
      <c r="P26" s="205">
        <f xml:space="preserve"> InpR!P$97</f>
        <v>9.180000000000002E-2</v>
      </c>
      <c r="Q26" s="205">
        <f xml:space="preserve"> InpR!Q$97</f>
        <v>9.180000000000002E-2</v>
      </c>
      <c r="R26" s="205">
        <f xml:space="preserve"> InpR!R$97</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41.895108772290762</v>
      </c>
      <c r="N27" s="241">
        <f t="shared" si="6"/>
        <v>38.972137253447343</v>
      </c>
      <c r="O27" s="241">
        <f t="shared" si="6"/>
        <v>36.441734938630262</v>
      </c>
      <c r="P27" s="241">
        <f t="shared" si="6"/>
        <v>34.13904165985106</v>
      </c>
      <c r="Q27" s="241">
        <f t="shared" si="6"/>
        <v>31.997240119812005</v>
      </c>
      <c r="R27" s="241">
        <f t="shared" si="6"/>
        <v>29.989810068071282</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1.0162953825730847</v>
      </c>
      <c r="N28" s="184">
        <f t="shared" si="7"/>
        <v>1.1530939055817997</v>
      </c>
      <c r="O28" s="184">
        <f t="shared" si="7"/>
        <v>1.1480488753435976</v>
      </c>
      <c r="P28" s="184">
        <f t="shared" si="7"/>
        <v>1.0924493331152576</v>
      </c>
      <c r="Q28" s="184">
        <f t="shared" si="7"/>
        <v>1.0239116838339779</v>
      </c>
      <c r="R28" s="184">
        <f t="shared" si="7"/>
        <v>-29.989810068071282</v>
      </c>
    </row>
    <row r="29" spans="1:16383" x14ac:dyDescent="0.2">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3.9392669014165018</v>
      </c>
      <c r="N29" s="184">
        <f t="shared" si="8"/>
        <v>3.6834962203988759</v>
      </c>
      <c r="O29" s="184">
        <f t="shared" si="8"/>
        <v>3.4507421541228012</v>
      </c>
      <c r="P29" s="184">
        <f t="shared" si="8"/>
        <v>3.2342508731543083</v>
      </c>
      <c r="Q29" s="184">
        <f t="shared" si="8"/>
        <v>3.0313417355747019</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InpR!$E$90</f>
        <v>RCV - CPI(H) + RPI wedge initial balance - nominal - BR</v>
      </c>
      <c r="F31" s="250">
        <f>InpR!$F$90</f>
        <v>41.895108772290762</v>
      </c>
      <c r="G31" s="249" t="str">
        <f>InpR!$G$90</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352</v>
      </c>
      <c r="G34" s="92" t="s">
        <v>235</v>
      </c>
      <c r="J34" s="242">
        <f t="shared" ref="J34:R34" si="9" xml:space="preserve"> I37</f>
        <v>0</v>
      </c>
      <c r="K34" s="242">
        <f t="shared" si="9"/>
        <v>0</v>
      </c>
      <c r="L34" s="242">
        <f t="shared" si="9"/>
        <v>0</v>
      </c>
      <c r="M34" s="242">
        <f t="shared" si="9"/>
        <v>41.895108772290762</v>
      </c>
      <c r="N34" s="242">
        <f t="shared" si="9"/>
        <v>38.972137253447343</v>
      </c>
      <c r="O34" s="242">
        <f t="shared" si="9"/>
        <v>36.441734938630262</v>
      </c>
      <c r="P34" s="242">
        <f t="shared" si="9"/>
        <v>34.13904165985106</v>
      </c>
      <c r="Q34" s="242">
        <f t="shared" si="9"/>
        <v>31.997240119812005</v>
      </c>
      <c r="R34" s="242">
        <f t="shared" si="9"/>
        <v>29.989810068071282</v>
      </c>
    </row>
    <row r="35" spans="1:26" x14ac:dyDescent="0.2">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1.0162953825730847</v>
      </c>
      <c r="N35" s="242">
        <f t="shared" si="10"/>
        <v>1.1530939055817997</v>
      </c>
      <c r="O35" s="242">
        <f t="shared" si="10"/>
        <v>1.1480488753435976</v>
      </c>
      <c r="P35" s="242">
        <f t="shared" si="10"/>
        <v>1.0924493331152576</v>
      </c>
      <c r="Q35" s="242">
        <f t="shared" si="10"/>
        <v>1.0239116838339779</v>
      </c>
      <c r="R35" s="242">
        <f t="shared" si="10"/>
        <v>-29.989810068071282</v>
      </c>
    </row>
    <row r="36" spans="1:26" x14ac:dyDescent="0.2">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3.9392669014165018</v>
      </c>
      <c r="N36" s="242">
        <f t="shared" si="11"/>
        <v>3.6834962203988759</v>
      </c>
      <c r="O36" s="242">
        <f t="shared" si="11"/>
        <v>3.4507421541228012</v>
      </c>
      <c r="P36" s="242">
        <f t="shared" si="11"/>
        <v>3.2342508731543083</v>
      </c>
      <c r="Q36" s="242">
        <f t="shared" si="11"/>
        <v>3.0313417355747019</v>
      </c>
      <c r="R36" s="242">
        <f t="shared" si="11"/>
        <v>0</v>
      </c>
    </row>
    <row r="37" spans="1:26" s="138" customFormat="1" x14ac:dyDescent="0.2">
      <c r="A37" s="134"/>
      <c r="B37" s="135"/>
      <c r="C37" s="136"/>
      <c r="D37" s="137"/>
      <c r="E37" s="138" t="s">
        <v>355</v>
      </c>
      <c r="G37" s="163" t="s">
        <v>235</v>
      </c>
      <c r="J37" s="243">
        <f t="shared" ref="J37:R37" si="12" xml:space="preserve"> IF( J32 = 1, $F31, J34 + J35 - J36)</f>
        <v>0</v>
      </c>
      <c r="K37" s="243">
        <f t="shared" si="12"/>
        <v>0</v>
      </c>
      <c r="L37" s="243">
        <f t="shared" si="12"/>
        <v>41.895108772290762</v>
      </c>
      <c r="M37" s="243">
        <f t="shared" si="12"/>
        <v>38.972137253447343</v>
      </c>
      <c r="N37" s="243">
        <f t="shared" si="12"/>
        <v>36.441734938630262</v>
      </c>
      <c r="O37" s="243">
        <f t="shared" si="12"/>
        <v>34.13904165985106</v>
      </c>
      <c r="P37" s="243">
        <f t="shared" si="12"/>
        <v>31.997240119812005</v>
      </c>
      <c r="Q37" s="243">
        <f t="shared" si="12"/>
        <v>29.989810068071282</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41.895108772290762</v>
      </c>
      <c r="N39" s="185">
        <f t="shared" si="13"/>
        <v>38.972137253447343</v>
      </c>
      <c r="O39" s="185">
        <f t="shared" si="13"/>
        <v>36.441734938630262</v>
      </c>
      <c r="P39" s="185">
        <f t="shared" si="13"/>
        <v>34.13904165985106</v>
      </c>
      <c r="Q39" s="185">
        <f t="shared" si="13"/>
        <v>31.997240119812005</v>
      </c>
      <c r="R39" s="185">
        <f t="shared" si="13"/>
        <v>29.989810068071282</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1.0162953825730847</v>
      </c>
      <c r="N40" s="242">
        <f t="shared" si="14"/>
        <v>1.1530939055817997</v>
      </c>
      <c r="O40" s="242">
        <f t="shared" si="14"/>
        <v>1.1480488753435976</v>
      </c>
      <c r="P40" s="242">
        <f t="shared" si="14"/>
        <v>1.0924493331152576</v>
      </c>
      <c r="Q40" s="242">
        <f t="shared" si="14"/>
        <v>1.0239116838339779</v>
      </c>
      <c r="R40" s="242">
        <f t="shared" si="14"/>
        <v>-29.989810068071282</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41.895108772290762</v>
      </c>
      <c r="M41" s="185">
        <f t="shared" si="15"/>
        <v>38.972137253447343</v>
      </c>
      <c r="N41" s="185">
        <f t="shared" si="15"/>
        <v>36.441734938630262</v>
      </c>
      <c r="O41" s="185">
        <f t="shared" si="15"/>
        <v>34.13904165985106</v>
      </c>
      <c r="P41" s="185">
        <f t="shared" si="15"/>
        <v>31.997240119812005</v>
      </c>
      <c r="Q41" s="185">
        <f t="shared" si="15"/>
        <v>29.989810068071282</v>
      </c>
      <c r="R41" s="185">
        <f t="shared" si="15"/>
        <v>0</v>
      </c>
    </row>
    <row r="42" spans="1:26" s="92" customFormat="1" x14ac:dyDescent="0.2">
      <c r="A42" s="164"/>
      <c r="B42" s="165"/>
      <c r="C42" s="166"/>
      <c r="D42" s="167"/>
      <c r="E42" s="92" t="s">
        <v>356</v>
      </c>
      <c r="G42" s="92" t="s">
        <v>235</v>
      </c>
      <c r="J42" s="185">
        <f t="shared" ref="J42:L42" si="16" xml:space="preserve"> ( (J39+J40) + J41) / 2</f>
        <v>0</v>
      </c>
      <c r="K42" s="185">
        <f t="shared" si="16"/>
        <v>0</v>
      </c>
      <c r="L42" s="185">
        <f t="shared" si="16"/>
        <v>20.947554386145381</v>
      </c>
      <c r="M42" s="185">
        <f xml:space="preserve"> ( (M39+M40) + M41) / 2</f>
        <v>40.941770704155594</v>
      </c>
      <c r="N42" s="185">
        <f t="shared" ref="N42:R42" si="17" xml:space="preserve"> ( (N39+N40) + N41) / 2</f>
        <v>38.283483048829702</v>
      </c>
      <c r="O42" s="185">
        <f t="shared" si="17"/>
        <v>35.864412736912456</v>
      </c>
      <c r="P42" s="185">
        <f t="shared" si="17"/>
        <v>33.61436555638916</v>
      </c>
      <c r="Q42" s="185">
        <f t="shared" si="17"/>
        <v>31.505480935858635</v>
      </c>
      <c r="R42" s="185">
        <f t="shared" si="17"/>
        <v>0</v>
      </c>
    </row>
    <row r="43" spans="1:26" s="92" customFormat="1" x14ac:dyDescent="0.2">
      <c r="A43" s="164"/>
      <c r="B43" s="165"/>
      <c r="C43" s="166"/>
      <c r="D43" s="167"/>
    </row>
    <row r="44" spans="1:26" x14ac:dyDescent="0.2">
      <c r="B44" s="61" t="s">
        <v>357</v>
      </c>
    </row>
    <row r="45" spans="1:26" s="205" customFormat="1" x14ac:dyDescent="0.2">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1.920357193840716E-2</v>
      </c>
      <c r="N45" s="205">
        <f xml:space="preserve"> InpR!N$104</f>
        <v>1.920357193840716E-2</v>
      </c>
      <c r="O45" s="205">
        <f xml:space="preserve"> InpR!O$104</f>
        <v>1.920357193840716E-2</v>
      </c>
      <c r="P45" s="205">
        <f xml:space="preserve"> InpR!P$104</f>
        <v>1.920357193840716E-2</v>
      </c>
      <c r="Q45" s="205">
        <f xml:space="preserve"> InpR!Q$104</f>
        <v>1.920357193840716E-2</v>
      </c>
      <c r="R45" s="205">
        <f xml:space="preserve"> InpR!R$104</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20.947554386145381</v>
      </c>
      <c r="M47" s="184">
        <f t="shared" si="18"/>
        <v>40.941770704155594</v>
      </c>
      <c r="N47" s="184">
        <f t="shared" si="18"/>
        <v>38.283483048829702</v>
      </c>
      <c r="O47" s="184">
        <f t="shared" si="18"/>
        <v>35.864412736912456</v>
      </c>
      <c r="P47" s="184">
        <f t="shared" si="18"/>
        <v>33.61436555638916</v>
      </c>
      <c r="Q47" s="184">
        <f t="shared" si="18"/>
        <v>31.505480935858635</v>
      </c>
      <c r="R47" s="184">
        <f t="shared" si="18"/>
        <v>0</v>
      </c>
      <c r="S47" s="92"/>
      <c r="T47" s="92"/>
      <c r="U47" s="92"/>
      <c r="V47" s="92"/>
      <c r="W47" s="92"/>
      <c r="X47" s="92"/>
      <c r="Y47" s="92"/>
      <c r="Z47" s="92"/>
    </row>
    <row r="48" spans="1:26" s="91" customFormat="1" x14ac:dyDescent="0.2">
      <c r="A48" s="170"/>
      <c r="B48" s="165"/>
      <c r="C48" s="166"/>
      <c r="D48" s="171"/>
      <c r="E48" s="172" t="s">
        <v>358</v>
      </c>
      <c r="G48" s="91" t="s">
        <v>235</v>
      </c>
      <c r="H48" s="184"/>
      <c r="I48" s="184"/>
      <c r="J48" s="184">
        <f t="shared" ref="J48:K48" si="19">J45*J47*J46</f>
        <v>0</v>
      </c>
      <c r="K48" s="184">
        <f t="shared" si="19"/>
        <v>0</v>
      </c>
      <c r="L48" s="184">
        <f>L45*L47*L46</f>
        <v>0</v>
      </c>
      <c r="M48" s="184">
        <f>M45*M47*M46</f>
        <v>0.78622823900302274</v>
      </c>
      <c r="N48" s="184">
        <f t="shared" ref="N48:R48" si="20">N45*N47*N46</f>
        <v>0.73517962078099219</v>
      </c>
      <c r="O48" s="184">
        <f t="shared" si="20"/>
        <v>0.68872483002202434</v>
      </c>
      <c r="P48" s="184">
        <f t="shared" si="20"/>
        <v>0.64551588712603503</v>
      </c>
      <c r="Q48" s="184">
        <f t="shared" si="20"/>
        <v>0.60501776960587661</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359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3.9392669014165018</v>
      </c>
      <c r="N51" s="184">
        <f t="shared" si="21"/>
        <v>3.6834962203988759</v>
      </c>
      <c r="O51" s="184">
        <f t="shared" si="21"/>
        <v>3.4507421541228012</v>
      </c>
      <c r="P51" s="184">
        <f t="shared" si="21"/>
        <v>3.2342508731543083</v>
      </c>
      <c r="Q51" s="184">
        <f t="shared" si="21"/>
        <v>3.0313417355747019</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0.78622823900302274</v>
      </c>
      <c r="N52" s="184">
        <f t="shared" si="22"/>
        <v>0.73517962078099219</v>
      </c>
      <c r="O52" s="184">
        <f t="shared" si="22"/>
        <v>0.68872483002202434</v>
      </c>
      <c r="P52" s="184">
        <f t="shared" si="22"/>
        <v>0.64551588712603503</v>
      </c>
      <c r="Q52" s="184">
        <f t="shared" si="22"/>
        <v>0.60501776960587661</v>
      </c>
      <c r="R52" s="184">
        <f t="shared" si="22"/>
        <v>0</v>
      </c>
      <c r="S52" s="92"/>
      <c r="T52" s="92"/>
      <c r="U52" s="92"/>
      <c r="V52" s="92"/>
      <c r="W52" s="92"/>
      <c r="X52" s="92"/>
      <c r="Y52" s="92"/>
      <c r="Z52" s="92"/>
    </row>
    <row r="53" spans="1:26" s="91" customFormat="1" x14ac:dyDescent="0.2">
      <c r="A53" s="170"/>
      <c r="B53" s="165"/>
      <c r="C53" s="166"/>
      <c r="D53" s="171"/>
      <c r="E53" s="172" t="s">
        <v>360</v>
      </c>
      <c r="G53" s="91" t="str">
        <f xml:space="preserve"> G$48</f>
        <v>£m</v>
      </c>
      <c r="H53" s="184">
        <f>SUM(J53:R53)</f>
        <v>20.799764231205142</v>
      </c>
      <c r="I53" s="184"/>
      <c r="J53" s="184">
        <f t="shared" ref="J53:R53" si="23">SUM(J51:J52)</f>
        <v>0</v>
      </c>
      <c r="K53" s="184">
        <f t="shared" si="23"/>
        <v>0</v>
      </c>
      <c r="L53" s="184">
        <f>SUM(L51:L52)</f>
        <v>0</v>
      </c>
      <c r="M53" s="185">
        <f t="shared" si="23"/>
        <v>4.7254951404195245</v>
      </c>
      <c r="N53" s="185">
        <f t="shared" si="23"/>
        <v>4.4186758411798683</v>
      </c>
      <c r="O53" s="184">
        <f t="shared" si="23"/>
        <v>4.1394669841448257</v>
      </c>
      <c r="P53" s="184">
        <f t="shared" si="23"/>
        <v>3.8797667602803432</v>
      </c>
      <c r="Q53" s="184">
        <f t="shared" si="23"/>
        <v>3.6363595051805784</v>
      </c>
      <c r="R53" s="184">
        <f t="shared" si="23"/>
        <v>0</v>
      </c>
      <c r="S53" s="92"/>
      <c r="T53" s="92"/>
      <c r="U53" s="92"/>
      <c r="V53" s="92"/>
      <c r="W53" s="92"/>
      <c r="X53" s="92"/>
      <c r="Y53" s="92"/>
      <c r="Z53" s="92"/>
    </row>
    <row r="55" spans="1:26" x14ac:dyDescent="0.2">
      <c r="A55" s="285" t="s">
        <v>361</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362</v>
      </c>
      <c r="M57" s="177"/>
      <c r="N57" s="177"/>
      <c r="O57" s="177"/>
      <c r="P57" s="177"/>
      <c r="Q57" s="177"/>
    </row>
    <row r="58" spans="1:26" x14ac:dyDescent="0.2">
      <c r="C58" s="110" t="s">
        <v>363</v>
      </c>
      <c r="M58" s="177"/>
      <c r="N58" s="177"/>
      <c r="O58" s="177"/>
      <c r="P58" s="177"/>
      <c r="Q58" s="177"/>
    </row>
    <row r="59" spans="1:26" x14ac:dyDescent="0.2">
      <c r="C59" s="110" t="s">
        <v>364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365</v>
      </c>
      <c r="G61" s="91" t="s">
        <v>235</v>
      </c>
      <c r="J61" s="184">
        <f t="shared" ref="J61:R61" si="24" xml:space="preserve"> J53</f>
        <v>0</v>
      </c>
      <c r="K61" s="184">
        <f t="shared" si="24"/>
        <v>0</v>
      </c>
      <c r="L61" s="184">
        <f t="shared" si="24"/>
        <v>0</v>
      </c>
      <c r="M61" s="184">
        <f t="shared" si="24"/>
        <v>4.7254951404195245</v>
      </c>
      <c r="N61" s="184">
        <f t="shared" si="24"/>
        <v>4.4186758411798683</v>
      </c>
      <c r="O61" s="184">
        <f t="shared" si="24"/>
        <v>4.1394669841448257</v>
      </c>
      <c r="P61" s="184">
        <f t="shared" si="24"/>
        <v>3.8797667602803432</v>
      </c>
      <c r="Q61" s="184">
        <f t="shared" si="24"/>
        <v>3.6363595051805784</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366</v>
      </c>
      <c r="B63" s="286"/>
      <c r="C63" s="287"/>
      <c r="D63" s="287"/>
      <c r="E63" s="287"/>
      <c r="F63" s="287"/>
      <c r="G63" s="287"/>
      <c r="H63" s="287"/>
      <c r="I63" s="287"/>
      <c r="J63" s="287"/>
      <c r="K63" s="287"/>
      <c r="L63" s="287"/>
      <c r="M63" s="287"/>
      <c r="N63" s="287"/>
      <c r="O63" s="287"/>
      <c r="P63" s="287"/>
      <c r="Q63" s="287"/>
      <c r="R63" s="287"/>
    </row>
    <row r="65" spans="1:16383" x14ac:dyDescent="0.2">
      <c r="C65" s="110" t="s">
        <v>367</v>
      </c>
    </row>
    <row r="67" spans="1:16383" x14ac:dyDescent="0.2">
      <c r="B67" s="61" t="s">
        <v>368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5.4342363003727634E-3</v>
      </c>
      <c r="R69" s="205">
        <f>Index!R$135</f>
        <v>0</v>
      </c>
    </row>
    <row r="70" spans="1:16383" s="172" customFormat="1" x14ac:dyDescent="0.2">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2.6434236300374003E-2</v>
      </c>
      <c r="R70" s="172">
        <f t="shared" si="26"/>
        <v>-1</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370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41.895108772290762</v>
      </c>
      <c r="N73" s="241">
        <f t="shared" si="27"/>
        <v>38.82950198512539</v>
      </c>
      <c r="O73" s="241">
        <f t="shared" si="27"/>
        <v>36.713173736405864</v>
      </c>
      <c r="P73" s="241">
        <f t="shared" si="27"/>
        <v>35.401807703688576</v>
      </c>
      <c r="Q73" s="241">
        <f t="shared" si="27"/>
        <v>33.448243141942157</v>
      </c>
      <c r="R73" s="241">
        <f t="shared" si="27"/>
        <v>31.180705574110664</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2.6434236300374003E-2</v>
      </c>
      <c r="R74" s="172">
        <f t="shared" si="28"/>
        <v>-1</v>
      </c>
      <c r="S74" s="177"/>
      <c r="T74" s="177"/>
      <c r="U74" s="177"/>
      <c r="V74" s="177"/>
      <c r="W74" s="177"/>
      <c r="X74" s="177"/>
      <c r="Y74" s="177"/>
      <c r="Z74" s="177"/>
    </row>
    <row r="75" spans="1:16383" x14ac:dyDescent="0.2">
      <c r="E75" s="7" t="s">
        <v>371</v>
      </c>
      <c r="G75" s="162" t="s">
        <v>235</v>
      </c>
      <c r="J75" s="184">
        <f t="shared" ref="J75:L75" si="29">J73*J74</f>
        <v>0</v>
      </c>
      <c r="K75" s="184">
        <f t="shared" si="29"/>
        <v>0</v>
      </c>
      <c r="L75" s="184">
        <f t="shared" si="29"/>
        <v>0</v>
      </c>
      <c r="M75" s="184">
        <f>M73*M74</f>
        <v>0.85924267576626656</v>
      </c>
      <c r="N75" s="184">
        <f t="shared" ref="N75:R75" si="30">N73*N74</f>
        <v>1.5946047495210165</v>
      </c>
      <c r="O75" s="184">
        <f t="shared" si="30"/>
        <v>2.2670153229297165</v>
      </c>
      <c r="P75" s="184">
        <f t="shared" si="30"/>
        <v>1.4273523292801045</v>
      </c>
      <c r="Q75" s="184">
        <f t="shared" si="30"/>
        <v>0.88417876304646315</v>
      </c>
      <c r="R75" s="184">
        <f t="shared" si="30"/>
        <v>-31.180705574110664</v>
      </c>
    </row>
    <row r="77" spans="1:16383" s="205" customFormat="1" x14ac:dyDescent="0.2">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f xml:space="preserve"> InpR!M$97</f>
        <v>9.180000000000002E-2</v>
      </c>
      <c r="N77" s="205">
        <f xml:space="preserve"> InpR!N$97</f>
        <v>9.180000000000002E-2</v>
      </c>
      <c r="O77" s="205">
        <f xml:space="preserve"> InpR!O$97</f>
        <v>9.180000000000002E-2</v>
      </c>
      <c r="P77" s="205">
        <f xml:space="preserve"> InpR!P$97</f>
        <v>9.180000000000002E-2</v>
      </c>
      <c r="Q77" s="205">
        <f xml:space="preserve"> InpR!Q$97</f>
        <v>9.180000000000002E-2</v>
      </c>
      <c r="R77" s="205">
        <f xml:space="preserve"> InpR!R$97</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41.895108772290762</v>
      </c>
      <c r="N78" s="241">
        <f t="shared" si="31"/>
        <v>38.82950198512539</v>
      </c>
      <c r="O78" s="241">
        <f t="shared" si="31"/>
        <v>36.713173736405864</v>
      </c>
      <c r="P78" s="241">
        <f t="shared" si="31"/>
        <v>35.401807703688576</v>
      </c>
      <c r="Q78" s="241">
        <f t="shared" si="31"/>
        <v>33.448243141942157</v>
      </c>
      <c r="R78" s="241">
        <f t="shared" si="31"/>
        <v>31.180705574110664</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0.85924267576626656</v>
      </c>
      <c r="N79" s="184">
        <f t="shared" si="32"/>
        <v>1.5946047495210165</v>
      </c>
      <c r="O79" s="184">
        <f t="shared" si="32"/>
        <v>2.2670153229297165</v>
      </c>
      <c r="P79" s="184">
        <f t="shared" si="32"/>
        <v>1.4273523292801045</v>
      </c>
      <c r="Q79" s="184">
        <f t="shared" si="32"/>
        <v>0.88417876304646315</v>
      </c>
      <c r="R79" s="184">
        <f t="shared" si="32"/>
        <v>-31.180705574110664</v>
      </c>
    </row>
    <row r="80" spans="1:16383" x14ac:dyDescent="0.2">
      <c r="E80" s="7" t="s">
        <v>372</v>
      </c>
      <c r="F80" s="244"/>
      <c r="G80" s="244" t="s">
        <v>235</v>
      </c>
      <c r="H80" s="244"/>
      <c r="I80" s="244"/>
      <c r="J80" s="184">
        <f t="shared" ref="J80:R80" si="33" xml:space="preserve"> (J78+J79) * J77</f>
        <v>0</v>
      </c>
      <c r="K80" s="184">
        <f t="shared" si="33"/>
        <v>0</v>
      </c>
      <c r="L80" s="184">
        <f t="shared" si="33"/>
        <v>0</v>
      </c>
      <c r="M80" s="184">
        <f t="shared" si="33"/>
        <v>3.9248494629316362</v>
      </c>
      <c r="N80" s="184">
        <f xml:space="preserve"> (N78+N79) * N77</f>
        <v>3.710932998240541</v>
      </c>
      <c r="O80" s="184">
        <f t="shared" si="33"/>
        <v>3.5783813556470068</v>
      </c>
      <c r="P80" s="184">
        <f t="shared" si="33"/>
        <v>3.3809168910265255</v>
      </c>
      <c r="Q80" s="184">
        <f t="shared" si="33"/>
        <v>3.1517163308779561</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InpR!$E$90</f>
        <v>RCV - CPI(H) + RPI wedge initial balance - nominal - BR</v>
      </c>
      <c r="F82" s="250">
        <f>InpR!$F$90</f>
        <v>41.895108772290762</v>
      </c>
      <c r="G82" s="249" t="str">
        <f>InpR!$G$90</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373</v>
      </c>
      <c r="G85" s="162" t="s">
        <v>235</v>
      </c>
      <c r="J85" s="242">
        <f t="shared" ref="J85:R85" si="34" xml:space="preserve"> I88</f>
        <v>0</v>
      </c>
      <c r="K85" s="242">
        <f t="shared" si="34"/>
        <v>0</v>
      </c>
      <c r="L85" s="242">
        <f t="shared" si="34"/>
        <v>0</v>
      </c>
      <c r="M85" s="242">
        <f t="shared" si="34"/>
        <v>41.895108772290762</v>
      </c>
      <c r="N85" s="242">
        <f t="shared" si="34"/>
        <v>38.82950198512539</v>
      </c>
      <c r="O85" s="242">
        <f t="shared" si="34"/>
        <v>36.713173736405864</v>
      </c>
      <c r="P85" s="242">
        <f t="shared" si="34"/>
        <v>35.401807703688576</v>
      </c>
      <c r="Q85" s="242">
        <f t="shared" si="34"/>
        <v>33.448243141942157</v>
      </c>
      <c r="R85" s="242">
        <f t="shared" si="34"/>
        <v>31.180705574110664</v>
      </c>
    </row>
    <row r="86" spans="1:18" x14ac:dyDescent="0.2">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0.85924267576626656</v>
      </c>
      <c r="N86" s="242">
        <f t="shared" si="35"/>
        <v>1.5946047495210165</v>
      </c>
      <c r="O86" s="242">
        <f t="shared" si="35"/>
        <v>2.2670153229297165</v>
      </c>
      <c r="P86" s="242">
        <f t="shared" si="35"/>
        <v>1.4273523292801045</v>
      </c>
      <c r="Q86" s="242">
        <f t="shared" si="35"/>
        <v>0.88417876304646315</v>
      </c>
      <c r="R86" s="242">
        <f t="shared" si="35"/>
        <v>-31.180705574110664</v>
      </c>
    </row>
    <row r="87" spans="1:18" x14ac:dyDescent="0.2">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3.9248494629316362</v>
      </c>
      <c r="N87" s="242">
        <f t="shared" si="36"/>
        <v>3.710932998240541</v>
      </c>
      <c r="O87" s="242">
        <f t="shared" si="36"/>
        <v>3.5783813556470068</v>
      </c>
      <c r="P87" s="242">
        <f t="shared" si="36"/>
        <v>3.3809168910265255</v>
      </c>
      <c r="Q87" s="242">
        <f t="shared" si="36"/>
        <v>3.1517163308779561</v>
      </c>
      <c r="R87" s="242">
        <f t="shared" si="36"/>
        <v>0</v>
      </c>
    </row>
    <row r="88" spans="1:18" s="138" customFormat="1" x14ac:dyDescent="0.2">
      <c r="A88" s="134"/>
      <c r="B88" s="135"/>
      <c r="C88" s="136"/>
      <c r="D88" s="137"/>
      <c r="E88" s="138" t="s">
        <v>374</v>
      </c>
      <c r="G88" s="163" t="s">
        <v>235</v>
      </c>
      <c r="J88" s="243">
        <f t="shared" ref="J88:R88" si="37" xml:space="preserve"> IF( J83 = 1, $F82, J85 + J86 - J87)</f>
        <v>0</v>
      </c>
      <c r="K88" s="243">
        <f t="shared" si="37"/>
        <v>0</v>
      </c>
      <c r="L88" s="243">
        <f t="shared" si="37"/>
        <v>41.895108772290762</v>
      </c>
      <c r="M88" s="243">
        <f t="shared" si="37"/>
        <v>38.82950198512539</v>
      </c>
      <c r="N88" s="243">
        <f t="shared" si="37"/>
        <v>36.713173736405864</v>
      </c>
      <c r="O88" s="243">
        <f t="shared" si="37"/>
        <v>35.401807703688576</v>
      </c>
      <c r="P88" s="243">
        <f t="shared" si="37"/>
        <v>33.448243141942157</v>
      </c>
      <c r="Q88" s="243">
        <f t="shared" si="37"/>
        <v>31.180705574110664</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41.895108772290762</v>
      </c>
      <c r="N90" s="185">
        <f t="shared" si="38"/>
        <v>38.82950198512539</v>
      </c>
      <c r="O90" s="185">
        <f t="shared" si="38"/>
        <v>36.713173736405864</v>
      </c>
      <c r="P90" s="185">
        <f t="shared" si="38"/>
        <v>35.401807703688576</v>
      </c>
      <c r="Q90" s="185">
        <f t="shared" si="38"/>
        <v>33.448243141942157</v>
      </c>
      <c r="R90" s="185">
        <f t="shared" si="38"/>
        <v>31.180705574110664</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0.85924267576626656</v>
      </c>
      <c r="N91" s="242">
        <f t="shared" si="39"/>
        <v>1.5946047495210165</v>
      </c>
      <c r="O91" s="242">
        <f t="shared" si="39"/>
        <v>2.2670153229297165</v>
      </c>
      <c r="P91" s="242">
        <f t="shared" si="39"/>
        <v>1.4273523292801045</v>
      </c>
      <c r="Q91" s="242">
        <f t="shared" si="39"/>
        <v>0.88417876304646315</v>
      </c>
      <c r="R91" s="242">
        <f t="shared" si="39"/>
        <v>-31.180705574110664</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41.895108772290762</v>
      </c>
      <c r="M92" s="185">
        <f t="shared" si="40"/>
        <v>38.82950198512539</v>
      </c>
      <c r="N92" s="185">
        <f t="shared" si="40"/>
        <v>36.713173736405864</v>
      </c>
      <c r="O92" s="185">
        <f t="shared" si="40"/>
        <v>35.401807703688576</v>
      </c>
      <c r="P92" s="185">
        <f t="shared" si="40"/>
        <v>33.448243141942157</v>
      </c>
      <c r="Q92" s="185">
        <f t="shared" si="40"/>
        <v>31.180705574110664</v>
      </c>
      <c r="R92" s="185">
        <f t="shared" si="40"/>
        <v>0</v>
      </c>
    </row>
    <row r="93" spans="1:18" x14ac:dyDescent="0.2">
      <c r="A93" s="49"/>
      <c r="D93" s="57"/>
      <c r="E93" s="7" t="s">
        <v>375</v>
      </c>
      <c r="G93" s="92" t="s">
        <v>235</v>
      </c>
      <c r="H93" s="244"/>
      <c r="I93" s="244"/>
      <c r="J93" s="185">
        <f t="shared" ref="J93:K93" si="41" xml:space="preserve"> ( (J90+J91) + J92) / 2</f>
        <v>0</v>
      </c>
      <c r="K93" s="185">
        <f t="shared" si="41"/>
        <v>0</v>
      </c>
      <c r="L93" s="185">
        <f xml:space="preserve"> ( (L90+L91) + L92) / 2</f>
        <v>20.947554386145381</v>
      </c>
      <c r="M93" s="185">
        <f xml:space="preserve"> ( (M90+M91) + M92) / 2</f>
        <v>40.791926716591206</v>
      </c>
      <c r="N93" s="185">
        <f t="shared" ref="N93:P93" si="42" xml:space="preserve"> ( (N90+N91) + N92) / 2</f>
        <v>38.568640235526132</v>
      </c>
      <c r="O93" s="185">
        <f t="shared" si="42"/>
        <v>37.190998381512074</v>
      </c>
      <c r="P93" s="185">
        <f t="shared" si="42"/>
        <v>35.138701587455415</v>
      </c>
      <c r="Q93" s="185">
        <f xml:space="preserve"> ( (Q90+Q91) + Q92) / 2</f>
        <v>32.756563739549641</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376</v>
      </c>
    </row>
    <row r="96" spans="1:18" s="205" customFormat="1" x14ac:dyDescent="0.2">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1.920357193840716E-2</v>
      </c>
      <c r="N96" s="205">
        <f xml:space="preserve"> InpR!N$104</f>
        <v>1.920357193840716E-2</v>
      </c>
      <c r="O96" s="205">
        <f xml:space="preserve"> InpR!O$104</f>
        <v>1.920357193840716E-2</v>
      </c>
      <c r="P96" s="205">
        <f xml:space="preserve"> InpR!P$104</f>
        <v>1.920357193840716E-2</v>
      </c>
      <c r="Q96" s="205">
        <f xml:space="preserve"> InpR!Q$104</f>
        <v>1.920357193840716E-2</v>
      </c>
      <c r="R96" s="205">
        <f xml:space="preserve"> InpR!R$104</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20.947554386145381</v>
      </c>
      <c r="M98" s="184">
        <f t="shared" si="44"/>
        <v>40.791926716591206</v>
      </c>
      <c r="N98" s="184">
        <f t="shared" si="44"/>
        <v>38.568640235526132</v>
      </c>
      <c r="O98" s="184">
        <f t="shared" si="44"/>
        <v>37.190998381512074</v>
      </c>
      <c r="P98" s="184">
        <f t="shared" si="44"/>
        <v>35.138701587455415</v>
      </c>
      <c r="Q98" s="184">
        <f t="shared" si="44"/>
        <v>32.756563739549641</v>
      </c>
      <c r="R98" s="184">
        <f t="shared" si="44"/>
        <v>0</v>
      </c>
    </row>
    <row r="99" spans="1:26" x14ac:dyDescent="0.2">
      <c r="E99" s="7" t="s">
        <v>377</v>
      </c>
      <c r="F99" s="244"/>
      <c r="G99" s="184" t="s">
        <v>235</v>
      </c>
      <c r="H99" s="244"/>
      <c r="I99" s="244"/>
      <c r="J99" s="244">
        <f t="shared" ref="J99:K99" si="45">J96*J97*J98</f>
        <v>0</v>
      </c>
      <c r="K99" s="244">
        <f t="shared" si="45"/>
        <v>0</v>
      </c>
      <c r="L99" s="244">
        <f>L96*L97*L98</f>
        <v>0</v>
      </c>
      <c r="M99" s="244">
        <f>M96*M97*M98</f>
        <v>0.78335069920829226</v>
      </c>
      <c r="N99" s="244">
        <f t="shared" ref="N99:R99" si="46">N96*N97*N98</f>
        <v>0.74065565732947092</v>
      </c>
      <c r="O99" s="244">
        <f t="shared" si="46"/>
        <v>0.71420001288055135</v>
      </c>
      <c r="P99" s="244">
        <f t="shared" si="46"/>
        <v>0.67478858375692197</v>
      </c>
      <c r="Q99" s="244">
        <f t="shared" si="46"/>
        <v>0.62904302822746094</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41.895108772290762</v>
      </c>
      <c r="M102" s="185">
        <f t="shared" si="47"/>
        <v>38.82950198512539</v>
      </c>
      <c r="N102" s="185">
        <f t="shared" si="47"/>
        <v>36.713173736405864</v>
      </c>
      <c r="O102" s="185">
        <f t="shared" si="47"/>
        <v>35.401807703688576</v>
      </c>
      <c r="P102" s="185">
        <f t="shared" si="47"/>
        <v>33.448243141942157</v>
      </c>
      <c r="Q102" s="185">
        <f t="shared" si="47"/>
        <v>31.180705574110664</v>
      </c>
      <c r="R102" s="185">
        <f t="shared" si="47"/>
        <v>0</v>
      </c>
    </row>
    <row r="103" spans="1:26" x14ac:dyDescent="0.2">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31.180705574110664</v>
      </c>
      <c r="R103" s="184">
        <f t="shared" si="48"/>
        <v>0</v>
      </c>
    </row>
    <row r="104" spans="1:26" x14ac:dyDescent="0.2">
      <c r="J104" s="91"/>
      <c r="K104" s="91"/>
      <c r="L104" s="91"/>
      <c r="M104" s="91"/>
      <c r="N104" s="91"/>
      <c r="O104" s="91"/>
      <c r="P104" s="91"/>
      <c r="Q104" s="91"/>
      <c r="R104" s="91"/>
    </row>
    <row r="105" spans="1:26" x14ac:dyDescent="0.2">
      <c r="B105" s="61" t="s">
        <v>379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3.9248494629316362</v>
      </c>
      <c r="N106" s="184">
        <f t="shared" si="49"/>
        <v>3.710932998240541</v>
      </c>
      <c r="O106" s="184">
        <f t="shared" si="49"/>
        <v>3.5783813556470068</v>
      </c>
      <c r="P106" s="184">
        <f t="shared" si="49"/>
        <v>3.3809168910265255</v>
      </c>
      <c r="Q106" s="184">
        <f t="shared" si="49"/>
        <v>3.1517163308779561</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0.78335069920829226</v>
      </c>
      <c r="N107" s="184">
        <f t="shared" si="50"/>
        <v>0.74065565732947092</v>
      </c>
      <c r="O107" s="184">
        <f t="shared" si="50"/>
        <v>0.71420001288055135</v>
      </c>
      <c r="P107" s="184">
        <f t="shared" si="50"/>
        <v>0.67478858375692197</v>
      </c>
      <c r="Q107" s="184">
        <f t="shared" si="50"/>
        <v>0.62904302822746094</v>
      </c>
      <c r="R107" s="184">
        <f t="shared" si="50"/>
        <v>0</v>
      </c>
      <c r="S107" s="92"/>
      <c r="T107" s="92"/>
      <c r="U107" s="92"/>
      <c r="V107" s="92"/>
      <c r="W107" s="92"/>
      <c r="X107" s="92"/>
      <c r="Y107" s="92"/>
      <c r="Z107" s="92"/>
    </row>
    <row r="108" spans="1:26" x14ac:dyDescent="0.2">
      <c r="E108" s="7" t="s">
        <v>380</v>
      </c>
      <c r="F108" s="244"/>
      <c r="G108" s="184" t="str">
        <f t="shared" si="50"/>
        <v>£m</v>
      </c>
      <c r="H108" s="244">
        <f>SUM(J108:R108)</f>
        <v>21.288835020126363</v>
      </c>
      <c r="I108" s="244"/>
      <c r="J108" s="244">
        <f t="shared" ref="J108:R108" si="51">SUM(J106:J107)</f>
        <v>0</v>
      </c>
      <c r="K108" s="244">
        <f t="shared" si="51"/>
        <v>0</v>
      </c>
      <c r="L108" s="244">
        <f t="shared" si="51"/>
        <v>0</v>
      </c>
      <c r="M108" s="244">
        <f t="shared" si="51"/>
        <v>4.7082001621399288</v>
      </c>
      <c r="N108" s="244">
        <f t="shared" si="51"/>
        <v>4.4515886555700117</v>
      </c>
      <c r="O108" s="244">
        <f t="shared" si="51"/>
        <v>4.292581368527558</v>
      </c>
      <c r="P108" s="244">
        <f t="shared" si="51"/>
        <v>4.0557054747834478</v>
      </c>
      <c r="Q108" s="244">
        <f t="shared" si="51"/>
        <v>3.7807593591054172</v>
      </c>
      <c r="R108" s="244">
        <f t="shared" si="51"/>
        <v>0</v>
      </c>
    </row>
    <row r="110" spans="1:26" x14ac:dyDescent="0.2">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382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4.7254951404195245</v>
      </c>
      <c r="N114" s="184">
        <f t="shared" si="52"/>
        <v>4.4186758411798683</v>
      </c>
      <c r="O114" s="184">
        <f t="shared" si="52"/>
        <v>4.1394669841448257</v>
      </c>
      <c r="P114" s="184">
        <f t="shared" si="52"/>
        <v>3.8797667602803432</v>
      </c>
      <c r="Q114" s="184">
        <f t="shared" si="52"/>
        <v>3.6363595051805784</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21.288835020126363</v>
      </c>
      <c r="I115" s="184">
        <f t="shared" si="53"/>
        <v>0</v>
      </c>
      <c r="J115" s="184">
        <f t="shared" si="53"/>
        <v>0</v>
      </c>
      <c r="K115" s="184">
        <f t="shared" si="53"/>
        <v>0</v>
      </c>
      <c r="L115" s="184">
        <f t="shared" si="53"/>
        <v>0</v>
      </c>
      <c r="M115" s="184">
        <f t="shared" si="53"/>
        <v>4.7082001621399288</v>
      </c>
      <c r="N115" s="184">
        <f t="shared" si="53"/>
        <v>4.4515886555700117</v>
      </c>
      <c r="O115" s="184">
        <f t="shared" si="53"/>
        <v>4.292581368527558</v>
      </c>
      <c r="P115" s="184">
        <f t="shared" si="53"/>
        <v>4.0557054747834478</v>
      </c>
      <c r="Q115" s="184">
        <f t="shared" si="53"/>
        <v>3.7807593591054172</v>
      </c>
      <c r="R115" s="184">
        <f t="shared" si="53"/>
        <v>0</v>
      </c>
    </row>
    <row r="116" spans="1:26" s="184" customFormat="1" x14ac:dyDescent="0.2">
      <c r="A116" s="180"/>
      <c r="B116" s="181"/>
      <c r="C116" s="182"/>
      <c r="D116" s="183"/>
      <c r="E116" s="7" t="s">
        <v>383</v>
      </c>
      <c r="G116" s="184" t="str">
        <f t="shared" ref="G116" si="54" xml:space="preserve"> G$99</f>
        <v>£m</v>
      </c>
      <c r="H116" s="244">
        <f>SUM(J116:R116)</f>
        <v>0.48907078892122335</v>
      </c>
      <c r="M116" s="184">
        <f>M115-M114</f>
        <v>-1.7294978279595696E-2</v>
      </c>
      <c r="N116" s="184">
        <f t="shared" ref="N116:Q116" si="55">N115-N114</f>
        <v>3.2912814390143375E-2</v>
      </c>
      <c r="O116" s="184">
        <f t="shared" si="55"/>
        <v>0.15311438438273228</v>
      </c>
      <c r="P116" s="184">
        <f t="shared" si="55"/>
        <v>0.17593871450310461</v>
      </c>
      <c r="Q116" s="184">
        <f t="shared" si="55"/>
        <v>0.14439985392483878</v>
      </c>
      <c r="S116" s="185"/>
      <c r="T116" s="185"/>
      <c r="U116" s="185"/>
      <c r="V116" s="185"/>
      <c r="W116" s="185"/>
      <c r="X116" s="185"/>
      <c r="Y116" s="185"/>
      <c r="Z116" s="185"/>
    </row>
    <row r="118" spans="1:26" x14ac:dyDescent="0.2">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385</v>
      </c>
    </row>
    <row r="121" spans="1:26" x14ac:dyDescent="0.2">
      <c r="C121" s="110" t="s">
        <v>386</v>
      </c>
    </row>
    <row r="122" spans="1:26" x14ac:dyDescent="0.2">
      <c r="C122" s="110" t="s">
        <v>387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0</v>
      </c>
    </row>
    <row r="126" spans="1:26" s="172" customFormat="1" x14ac:dyDescent="0.2">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-1</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41.895108772290762</v>
      </c>
      <c r="N128" s="245">
        <f t="shared" si="58"/>
        <v>38.972137253447343</v>
      </c>
      <c r="O128" s="245">
        <f t="shared" si="58"/>
        <v>36.441734938630262</v>
      </c>
      <c r="P128" s="245">
        <f t="shared" si="58"/>
        <v>34.13904165985106</v>
      </c>
      <c r="Q128" s="245">
        <f t="shared" si="58"/>
        <v>31.997240119812005</v>
      </c>
      <c r="R128" s="245">
        <f t="shared" si="58"/>
        <v>29.989810068071282</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-1</v>
      </c>
    </row>
    <row r="130" spans="1:16383" x14ac:dyDescent="0.2">
      <c r="C130" s="278"/>
      <c r="E130" s="7" t="s">
        <v>389</v>
      </c>
      <c r="G130" s="91" t="s">
        <v>235</v>
      </c>
      <c r="J130" s="246">
        <f>J128*J129</f>
        <v>0</v>
      </c>
      <c r="K130" s="246">
        <f t="shared" ref="K130:L130" si="60">K128*K129</f>
        <v>0</v>
      </c>
      <c r="L130" s="246">
        <f t="shared" si="60"/>
        <v>0</v>
      </c>
      <c r="M130" s="246">
        <f>M128*M129</f>
        <v>1.0162953825730847</v>
      </c>
      <c r="N130" s="246">
        <f t="shared" ref="N130:R130" si="61">N128*N129</f>
        <v>1.1530939055817997</v>
      </c>
      <c r="O130" s="246">
        <f t="shared" si="61"/>
        <v>1.1480488753435976</v>
      </c>
      <c r="P130" s="246">
        <f t="shared" si="61"/>
        <v>1.0924493331152576</v>
      </c>
      <c r="Q130" s="246">
        <f t="shared" si="61"/>
        <v>1.0239116838339779</v>
      </c>
      <c r="R130" s="246">
        <f t="shared" si="61"/>
        <v>-29.989810068071282</v>
      </c>
    </row>
    <row r="132" spans="1:16383" s="205" customFormat="1" x14ac:dyDescent="0.2">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f xml:space="preserve"> InpR!M$97</f>
        <v>9.180000000000002E-2</v>
      </c>
      <c r="N132" s="205">
        <f xml:space="preserve"> InpR!N$97</f>
        <v>9.180000000000002E-2</v>
      </c>
      <c r="O132" s="205">
        <f xml:space="preserve"> InpR!O$97</f>
        <v>9.180000000000002E-2</v>
      </c>
      <c r="P132" s="205">
        <f xml:space="preserve"> InpR!P$97</f>
        <v>9.180000000000002E-2</v>
      </c>
      <c r="Q132" s="205">
        <f xml:space="preserve"> InpR!Q$97</f>
        <v>9.180000000000002E-2</v>
      </c>
      <c r="R132" s="205">
        <f xml:space="preserve"> InpR!R$97</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41.895108772290762</v>
      </c>
      <c r="N133" s="245">
        <f t="shared" si="62"/>
        <v>38.972137253447343</v>
      </c>
      <c r="O133" s="245">
        <f t="shared" si="62"/>
        <v>36.441734938630262</v>
      </c>
      <c r="P133" s="245">
        <f t="shared" si="62"/>
        <v>34.13904165985106</v>
      </c>
      <c r="Q133" s="245">
        <f t="shared" si="62"/>
        <v>31.997240119812005</v>
      </c>
      <c r="R133" s="245">
        <f t="shared" si="62"/>
        <v>29.989810068071282</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1.0162953825730847</v>
      </c>
      <c r="N134" s="246">
        <f t="shared" si="63"/>
        <v>1.1530939055817997</v>
      </c>
      <c r="O134" s="246">
        <f t="shared" si="63"/>
        <v>1.1480488753435976</v>
      </c>
      <c r="P134" s="246">
        <f t="shared" si="63"/>
        <v>1.0924493331152576</v>
      </c>
      <c r="Q134" s="246">
        <f t="shared" si="63"/>
        <v>1.0239116838339779</v>
      </c>
      <c r="R134" s="246">
        <f t="shared" si="63"/>
        <v>-29.989810068071282</v>
      </c>
      <c r="S134" s="92"/>
      <c r="T134" s="92"/>
      <c r="U134" s="92"/>
      <c r="V134" s="92"/>
      <c r="W134" s="92"/>
      <c r="X134" s="92"/>
      <c r="Y134" s="92"/>
      <c r="Z134" s="92"/>
    </row>
    <row r="135" spans="1:16383" x14ac:dyDescent="0.2">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3.9392669014165018</v>
      </c>
      <c r="N135" s="246">
        <f t="shared" si="64"/>
        <v>3.6834962203988759</v>
      </c>
      <c r="O135" s="246">
        <f t="shared" si="64"/>
        <v>3.4507421541228012</v>
      </c>
      <c r="P135" s="246">
        <f t="shared" si="64"/>
        <v>3.2342508731543083</v>
      </c>
      <c r="Q135" s="246">
        <f t="shared" si="64"/>
        <v>3.0313417355747019</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InpR!$E$90</f>
        <v>RCV - CPI(H) + RPI wedge initial balance - nominal - BR</v>
      </c>
      <c r="F137" s="250">
        <f>InpR!$F$90</f>
        <v>41.895108772290762</v>
      </c>
      <c r="G137" s="249" t="str">
        <f>InpR!$G$90</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391</v>
      </c>
      <c r="G140" s="162" t="s">
        <v>235</v>
      </c>
      <c r="J140" s="242">
        <f t="shared" ref="J140:R140" si="65" xml:space="preserve"> I143</f>
        <v>0</v>
      </c>
      <c r="K140" s="242">
        <f t="shared" si="65"/>
        <v>0</v>
      </c>
      <c r="L140" s="242">
        <f t="shared" si="65"/>
        <v>0</v>
      </c>
      <c r="M140" s="242">
        <f t="shared" si="65"/>
        <v>41.895108772290762</v>
      </c>
      <c r="N140" s="242">
        <f t="shared" si="65"/>
        <v>38.972137253447343</v>
      </c>
      <c r="O140" s="242">
        <f t="shared" si="65"/>
        <v>36.441734938630262</v>
      </c>
      <c r="P140" s="242">
        <f t="shared" si="65"/>
        <v>34.13904165985106</v>
      </c>
      <c r="Q140" s="242">
        <f t="shared" si="65"/>
        <v>31.997240119812005</v>
      </c>
      <c r="R140" s="242">
        <f t="shared" si="65"/>
        <v>29.989810068071282</v>
      </c>
    </row>
    <row r="141" spans="1:16383" x14ac:dyDescent="0.2">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1.0162953825730847</v>
      </c>
      <c r="N141" s="242">
        <f t="shared" si="66"/>
        <v>1.1530939055817997</v>
      </c>
      <c r="O141" s="242">
        <f t="shared" si="66"/>
        <v>1.1480488753435976</v>
      </c>
      <c r="P141" s="242">
        <f t="shared" si="66"/>
        <v>1.0924493331152576</v>
      </c>
      <c r="Q141" s="242">
        <f t="shared" si="66"/>
        <v>1.0239116838339779</v>
      </c>
      <c r="R141" s="242">
        <f t="shared" si="66"/>
        <v>-29.989810068071282</v>
      </c>
    </row>
    <row r="142" spans="1:16383" x14ac:dyDescent="0.2">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3.9392669014165018</v>
      </c>
      <c r="N142" s="242">
        <f t="shared" si="67"/>
        <v>3.6834962203988759</v>
      </c>
      <c r="O142" s="242">
        <f t="shared" si="67"/>
        <v>3.4507421541228012</v>
      </c>
      <c r="P142" s="242">
        <f t="shared" si="67"/>
        <v>3.2342508731543083</v>
      </c>
      <c r="Q142" s="242">
        <f t="shared" si="67"/>
        <v>3.0313417355747019</v>
      </c>
      <c r="R142" s="242">
        <f t="shared" si="67"/>
        <v>0</v>
      </c>
    </row>
    <row r="143" spans="1:16383" s="138" customFormat="1" x14ac:dyDescent="0.2">
      <c r="A143" s="134"/>
      <c r="B143" s="135"/>
      <c r="C143" s="279"/>
      <c r="D143" s="137"/>
      <c r="E143" s="138" t="s">
        <v>392</v>
      </c>
      <c r="G143" s="163" t="s">
        <v>235</v>
      </c>
      <c r="J143" s="243">
        <f t="shared" ref="J143:R143" si="68" xml:space="preserve"> IF( J138 = 1, $F137, J140 + J141 - J142)</f>
        <v>0</v>
      </c>
      <c r="K143" s="243">
        <f t="shared" si="68"/>
        <v>0</v>
      </c>
      <c r="L143" s="243">
        <f t="shared" si="68"/>
        <v>41.895108772290762</v>
      </c>
      <c r="M143" s="243">
        <f t="shared" si="68"/>
        <v>38.972137253447343</v>
      </c>
      <c r="N143" s="243">
        <f t="shared" si="68"/>
        <v>36.441734938630262</v>
      </c>
      <c r="O143" s="243">
        <f t="shared" si="68"/>
        <v>34.13904165985106</v>
      </c>
      <c r="P143" s="243">
        <f t="shared" si="68"/>
        <v>31.997240119812005</v>
      </c>
      <c r="Q143" s="243">
        <f t="shared" si="68"/>
        <v>29.989810068071282</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41.895108772290762</v>
      </c>
      <c r="N145" s="185">
        <f t="shared" si="69"/>
        <v>38.972137253447343</v>
      </c>
      <c r="O145" s="185">
        <f t="shared" si="69"/>
        <v>36.441734938630262</v>
      </c>
      <c r="P145" s="185">
        <f t="shared" si="69"/>
        <v>34.13904165985106</v>
      </c>
      <c r="Q145" s="185">
        <f t="shared" si="69"/>
        <v>31.997240119812005</v>
      </c>
      <c r="R145" s="185">
        <f t="shared" si="69"/>
        <v>29.989810068071282</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1.0162953825730847</v>
      </c>
      <c r="N146" s="184">
        <f t="shared" si="70"/>
        <v>1.1530939055817997</v>
      </c>
      <c r="O146" s="184">
        <f t="shared" si="70"/>
        <v>1.1480488753435976</v>
      </c>
      <c r="P146" s="184">
        <f t="shared" si="70"/>
        <v>1.0924493331152576</v>
      </c>
      <c r="Q146" s="184">
        <f t="shared" si="70"/>
        <v>1.0239116838339779</v>
      </c>
      <c r="R146" s="184">
        <f t="shared" si="70"/>
        <v>-29.989810068071282</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41.895108772290762</v>
      </c>
      <c r="M147" s="185">
        <f t="shared" si="71"/>
        <v>38.972137253447343</v>
      </c>
      <c r="N147" s="185">
        <f t="shared" si="71"/>
        <v>36.441734938630262</v>
      </c>
      <c r="O147" s="185">
        <f t="shared" si="71"/>
        <v>34.13904165985106</v>
      </c>
      <c r="P147" s="185">
        <f t="shared" si="71"/>
        <v>31.997240119812005</v>
      </c>
      <c r="Q147" s="185">
        <f t="shared" si="71"/>
        <v>29.989810068071282</v>
      </c>
      <c r="R147" s="185">
        <f t="shared" si="71"/>
        <v>0</v>
      </c>
    </row>
    <row r="148" spans="1:26" x14ac:dyDescent="0.2">
      <c r="A148" s="49"/>
      <c r="C148" s="278"/>
      <c r="D148" s="57"/>
      <c r="E148" s="7" t="s">
        <v>393</v>
      </c>
      <c r="F148" s="244"/>
      <c r="G148" s="185" t="s">
        <v>235</v>
      </c>
      <c r="H148" s="244"/>
      <c r="I148" s="244"/>
      <c r="J148" s="185">
        <f t="shared" ref="J148:L148" si="72" xml:space="preserve"> ( (J145+J146) + J147) / 2</f>
        <v>0</v>
      </c>
      <c r="K148" s="185">
        <f t="shared" si="72"/>
        <v>0</v>
      </c>
      <c r="L148" s="185">
        <f t="shared" si="72"/>
        <v>20.947554386145381</v>
      </c>
      <c r="M148" s="185">
        <f xml:space="preserve"> ( (M145+M146) + M147) / 2</f>
        <v>40.941770704155594</v>
      </c>
      <c r="N148" s="185">
        <f t="shared" ref="N148:R148" si="73" xml:space="preserve"> ( (N145+N146) + N147) / 2</f>
        <v>38.283483048829702</v>
      </c>
      <c r="O148" s="185">
        <f t="shared" si="73"/>
        <v>35.864412736912456</v>
      </c>
      <c r="P148" s="185">
        <f t="shared" si="73"/>
        <v>33.61436555638916</v>
      </c>
      <c r="Q148" s="185">
        <f t="shared" si="73"/>
        <v>31.505480935858635</v>
      </c>
      <c r="R148" s="185">
        <f t="shared" si="73"/>
        <v>0</v>
      </c>
    </row>
    <row r="150" spans="1:26" s="205" customFormat="1" x14ac:dyDescent="0.2">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1.920357193840716E-2</v>
      </c>
      <c r="N150" s="205">
        <f xml:space="preserve"> InpR!N$104</f>
        <v>1.920357193840716E-2</v>
      </c>
      <c r="O150" s="205">
        <f xml:space="preserve"> InpR!O$104</f>
        <v>1.920357193840716E-2</v>
      </c>
      <c r="P150" s="205">
        <f xml:space="preserve"> InpR!P$104</f>
        <v>1.920357193840716E-2</v>
      </c>
      <c r="Q150" s="205">
        <f xml:space="preserve"> InpR!Q$104</f>
        <v>1.920357193840716E-2</v>
      </c>
      <c r="R150" s="205">
        <f xml:space="preserve"> InpR!R$104</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20.947554386145381</v>
      </c>
      <c r="M152" s="246">
        <f t="shared" si="74"/>
        <v>40.941770704155594</v>
      </c>
      <c r="N152" s="246">
        <f t="shared" si="74"/>
        <v>38.283483048829702</v>
      </c>
      <c r="O152" s="246">
        <f t="shared" si="74"/>
        <v>35.864412736912456</v>
      </c>
      <c r="P152" s="246">
        <f t="shared" si="74"/>
        <v>33.61436555638916</v>
      </c>
      <c r="Q152" s="246">
        <f t="shared" si="74"/>
        <v>31.505480935858635</v>
      </c>
      <c r="R152" s="246">
        <f t="shared" si="74"/>
        <v>0</v>
      </c>
    </row>
    <row r="153" spans="1:26" x14ac:dyDescent="0.2">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0.78622823900302274</v>
      </c>
      <c r="N153" s="246">
        <f t="shared" si="76"/>
        <v>0.73517962078099219</v>
      </c>
      <c r="O153" s="246">
        <f t="shared" si="76"/>
        <v>0.68872483002202434</v>
      </c>
      <c r="P153" s="246">
        <f t="shared" si="76"/>
        <v>0.64551588712603503</v>
      </c>
      <c r="Q153" s="246">
        <f t="shared" si="76"/>
        <v>0.60501776960587661</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3.9392669014165018</v>
      </c>
      <c r="N155" s="184">
        <f t="shared" si="77"/>
        <v>3.6834962203988759</v>
      </c>
      <c r="O155" s="184">
        <f t="shared" si="77"/>
        <v>3.4507421541228012</v>
      </c>
      <c r="P155" s="184">
        <f t="shared" si="77"/>
        <v>3.2342508731543083</v>
      </c>
      <c r="Q155" s="184">
        <f t="shared" si="77"/>
        <v>3.0313417355747019</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0.78622823900302274</v>
      </c>
      <c r="N156" s="184">
        <f t="shared" si="78"/>
        <v>0.73517962078099219</v>
      </c>
      <c r="O156" s="184">
        <f t="shared" si="78"/>
        <v>0.68872483002202434</v>
      </c>
      <c r="P156" s="184">
        <f t="shared" si="78"/>
        <v>0.64551588712603503</v>
      </c>
      <c r="Q156" s="184">
        <f t="shared" si="78"/>
        <v>0.60501776960587661</v>
      </c>
      <c r="R156" s="184">
        <f t="shared" si="78"/>
        <v>0</v>
      </c>
    </row>
    <row r="157" spans="1:26" x14ac:dyDescent="0.2">
      <c r="C157" s="278"/>
      <c r="E157" s="7" t="s">
        <v>395</v>
      </c>
      <c r="F157" s="244"/>
      <c r="G157" s="184" t="str">
        <f t="shared" ref="G157" si="79">G$155</f>
        <v>£m</v>
      </c>
      <c r="H157" s="244">
        <f>SUM(J157:R157)</f>
        <v>20.799764231205142</v>
      </c>
      <c r="I157" s="244"/>
      <c r="J157" s="244">
        <f t="shared" ref="J157:R157" si="80">SUM(J155:J156)</f>
        <v>0</v>
      </c>
      <c r="K157" s="244">
        <f t="shared" si="80"/>
        <v>0</v>
      </c>
      <c r="L157" s="244">
        <f>SUM(L155:L156)</f>
        <v>0</v>
      </c>
      <c r="M157" s="244">
        <f t="shared" si="80"/>
        <v>4.7254951404195245</v>
      </c>
      <c r="N157" s="244">
        <f t="shared" si="80"/>
        <v>4.4186758411798683</v>
      </c>
      <c r="O157" s="244">
        <f t="shared" si="80"/>
        <v>4.1394669841448257</v>
      </c>
      <c r="P157" s="244">
        <f t="shared" si="80"/>
        <v>3.8797667602803432</v>
      </c>
      <c r="Q157" s="244">
        <f t="shared" si="80"/>
        <v>3.6363595051805784</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20.799764231205142</v>
      </c>
      <c r="I159" s="184">
        <f t="shared" si="81"/>
        <v>0</v>
      </c>
      <c r="J159" s="184">
        <f t="shared" si="81"/>
        <v>0</v>
      </c>
      <c r="K159" s="184">
        <f t="shared" si="81"/>
        <v>0</v>
      </c>
      <c r="L159" s="184">
        <f t="shared" si="81"/>
        <v>0</v>
      </c>
      <c r="M159" s="184">
        <f t="shared" si="81"/>
        <v>4.7254951404195245</v>
      </c>
      <c r="N159" s="184">
        <f t="shared" si="81"/>
        <v>4.4186758411798683</v>
      </c>
      <c r="O159" s="184">
        <f t="shared" si="81"/>
        <v>4.1394669841448257</v>
      </c>
      <c r="P159" s="184">
        <f t="shared" si="81"/>
        <v>3.8797667602803432</v>
      </c>
      <c r="Q159" s="184">
        <f t="shared" si="81"/>
        <v>3.6363595051805784</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21.288835020126363</v>
      </c>
      <c r="I160" s="184">
        <f t="shared" si="82"/>
        <v>0</v>
      </c>
      <c r="J160" s="184">
        <f t="shared" si="82"/>
        <v>0</v>
      </c>
      <c r="K160" s="184">
        <f t="shared" si="82"/>
        <v>0</v>
      </c>
      <c r="L160" s="184">
        <f t="shared" si="82"/>
        <v>0</v>
      </c>
      <c r="M160" s="184">
        <f t="shared" si="82"/>
        <v>4.7082001621399288</v>
      </c>
      <c r="N160" s="184">
        <f t="shared" si="82"/>
        <v>4.4515886555700117</v>
      </c>
      <c r="O160" s="184">
        <f t="shared" si="82"/>
        <v>4.292581368527558</v>
      </c>
      <c r="P160" s="184">
        <f t="shared" si="82"/>
        <v>4.0557054747834478</v>
      </c>
      <c r="Q160" s="184">
        <f t="shared" si="82"/>
        <v>3.7807593591054172</v>
      </c>
      <c r="R160" s="184">
        <f t="shared" si="82"/>
        <v>0</v>
      </c>
    </row>
    <row r="161" spans="1:16383" s="185" customFormat="1" x14ac:dyDescent="0.2">
      <c r="A161" s="252"/>
      <c r="B161" s="181"/>
      <c r="C161" s="182"/>
      <c r="D161" s="253"/>
      <c r="E161" s="7" t="s">
        <v>396</v>
      </c>
      <c r="G161" s="185" t="str">
        <f t="shared" ref="G161" si="83" xml:space="preserve"> G$153</f>
        <v>£m</v>
      </c>
      <c r="H161" s="185">
        <f xml:space="preserve"> SUM(J161:R161)</f>
        <v>0.48907078892122335</v>
      </c>
      <c r="J161" s="185">
        <f t="shared" ref="J161:K161" si="84">J160-J159</f>
        <v>0</v>
      </c>
      <c r="K161" s="185">
        <f t="shared" si="84"/>
        <v>0</v>
      </c>
      <c r="L161" s="185">
        <f>L160-L159</f>
        <v>0</v>
      </c>
      <c r="M161" s="185">
        <f>M160-M159</f>
        <v>-1.7294978279595696E-2</v>
      </c>
      <c r="N161" s="185">
        <f t="shared" ref="N161:R161" si="85">N160-N159</f>
        <v>3.2912814390143375E-2</v>
      </c>
      <c r="O161" s="185">
        <f t="shared" si="85"/>
        <v>0.15311438438273228</v>
      </c>
      <c r="P161" s="185">
        <f t="shared" si="85"/>
        <v>0.17593871450310461</v>
      </c>
      <c r="Q161" s="185">
        <f t="shared" si="85"/>
        <v>0.14439985392483878</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0.48907078892122335</v>
      </c>
      <c r="I163" s="248">
        <f t="shared" si="86"/>
        <v>0</v>
      </c>
      <c r="J163" s="248">
        <f t="shared" si="86"/>
        <v>0</v>
      </c>
      <c r="K163" s="248">
        <f t="shared" si="86"/>
        <v>0</v>
      </c>
      <c r="L163" s="248">
        <f t="shared" si="86"/>
        <v>0</v>
      </c>
      <c r="M163" s="248">
        <f t="shared" si="86"/>
        <v>-1.7294978279595696E-2</v>
      </c>
      <c r="N163" s="248">
        <f t="shared" si="86"/>
        <v>3.2912814390143375E-2</v>
      </c>
      <c r="O163" s="248">
        <f t="shared" si="86"/>
        <v>0.15311438438273228</v>
      </c>
      <c r="P163" s="248">
        <f t="shared" si="86"/>
        <v>0.17593871450310461</v>
      </c>
      <c r="Q163" s="248">
        <f t="shared" si="86"/>
        <v>0.14439985392483878</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0.48907078892122335</v>
      </c>
      <c r="I164" s="248">
        <f t="shared" si="87"/>
        <v>0</v>
      </c>
      <c r="J164" s="248">
        <f t="shared" si="87"/>
        <v>0</v>
      </c>
      <c r="K164" s="248">
        <f t="shared" si="87"/>
        <v>0</v>
      </c>
      <c r="L164" s="248">
        <f t="shared" si="87"/>
        <v>0</v>
      </c>
      <c r="M164" s="248">
        <f t="shared" si="87"/>
        <v>-1.7294978279595696E-2</v>
      </c>
      <c r="N164" s="248">
        <f t="shared" si="87"/>
        <v>3.2912814390143375E-2</v>
      </c>
      <c r="O164" s="248">
        <f t="shared" si="87"/>
        <v>0.15311438438273228</v>
      </c>
      <c r="P164" s="248">
        <f t="shared" si="87"/>
        <v>0.17593871450310461</v>
      </c>
      <c r="Q164" s="248">
        <f t="shared" si="87"/>
        <v>0.14439985392483878</v>
      </c>
      <c r="R164" s="248">
        <f t="shared" si="87"/>
        <v>0</v>
      </c>
      <c r="S164" s="92"/>
      <c r="T164" s="92"/>
      <c r="U164" s="92"/>
      <c r="V164" s="92"/>
      <c r="W164" s="92"/>
      <c r="X164" s="92"/>
      <c r="Y164" s="92"/>
      <c r="Z164" s="92"/>
    </row>
    <row r="165" spans="1:16383" s="211" customFormat="1" x14ac:dyDescent="0.2">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398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20.947554386145381</v>
      </c>
      <c r="M169" s="185">
        <f t="shared" si="90"/>
        <v>40.941770704155594</v>
      </c>
      <c r="N169" s="184">
        <f t="shared" si="90"/>
        <v>38.283483048829702</v>
      </c>
      <c r="O169" s="184">
        <f t="shared" si="90"/>
        <v>35.864412736912456</v>
      </c>
      <c r="P169" s="184">
        <f t="shared" si="90"/>
        <v>33.61436555638916</v>
      </c>
      <c r="Q169" s="184">
        <f t="shared" si="90"/>
        <v>31.505480935858635</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20.947554386145381</v>
      </c>
      <c r="M170" s="185">
        <f t="shared" si="91"/>
        <v>40.791926716591206</v>
      </c>
      <c r="N170" s="184">
        <f t="shared" si="91"/>
        <v>38.568640235526132</v>
      </c>
      <c r="O170" s="184">
        <f t="shared" si="91"/>
        <v>37.190998381512074</v>
      </c>
      <c r="P170" s="184">
        <f t="shared" si="91"/>
        <v>35.138701587455415</v>
      </c>
      <c r="Q170" s="184">
        <f t="shared" si="91"/>
        <v>32.756563739549641</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0</v>
      </c>
    </row>
    <row r="172" spans="1:16383" s="91" customFormat="1" x14ac:dyDescent="0.2">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20.110882929462473</v>
      </c>
      <c r="M172" s="184">
        <f t="shared" si="92"/>
        <v>38.542075628100058</v>
      </c>
      <c r="N172" s="184">
        <f t="shared" si="92"/>
        <v>35.331483571508087</v>
      </c>
      <c r="O172" s="184">
        <f t="shared" si="92"/>
        <v>32.426063841069563</v>
      </c>
      <c r="P172" s="184">
        <f t="shared" si="92"/>
        <v>29.766631163794404</v>
      </c>
      <c r="Q172" s="184">
        <f t="shared" si="92"/>
        <v>27.3253125998949</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20.110882929462473</v>
      </c>
      <c r="M173" s="184">
        <f t="shared" si="92"/>
        <v>38.40101435493591</v>
      </c>
      <c r="N173" s="184">
        <f t="shared" si="92"/>
        <v>35.594652584740558</v>
      </c>
      <c r="O173" s="184">
        <f t="shared" si="92"/>
        <v>33.625468697297997</v>
      </c>
      <c r="P173" s="184">
        <f t="shared" si="92"/>
        <v>31.116481076335948</v>
      </c>
      <c r="Q173" s="184">
        <f t="shared" si="92"/>
        <v>28.410400898302683</v>
      </c>
      <c r="R173" s="184">
        <f t="shared" si="92"/>
        <v>0</v>
      </c>
      <c r="S173" s="92"/>
      <c r="T173" s="92"/>
      <c r="U173" s="92"/>
      <c r="V173" s="92"/>
      <c r="W173" s="92"/>
      <c r="X173" s="92"/>
      <c r="Y173" s="92"/>
      <c r="Z173" s="92"/>
    </row>
    <row r="174" spans="1:16383" s="91" customFormat="1" x14ac:dyDescent="0.2">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-0.14106127316414785</v>
      </c>
      <c r="N174" s="185">
        <f t="shared" si="93"/>
        <v>0.26316901323247066</v>
      </c>
      <c r="O174" s="185">
        <f t="shared" si="93"/>
        <v>1.1994048562284334</v>
      </c>
      <c r="P174" s="185">
        <f t="shared" si="93"/>
        <v>1.3498499125415435</v>
      </c>
      <c r="Q174" s="185">
        <f t="shared" si="93"/>
        <v>1.0850882984077828</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-0.14106127316414785</v>
      </c>
      <c r="N176" s="185">
        <f t="shared" si="94"/>
        <v>0.26316901323247066</v>
      </c>
      <c r="O176" s="185">
        <f t="shared" si="94"/>
        <v>1.1994048562284334</v>
      </c>
      <c r="P176" s="185">
        <f t="shared" si="94"/>
        <v>1.3498499125415435</v>
      </c>
      <c r="Q176" s="185">
        <f t="shared" si="94"/>
        <v>1.0850882984077828</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418</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1.0850882984077828</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401</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3.9392669014165018</v>
      </c>
      <c r="N182" s="184">
        <f t="shared" si="96"/>
        <v>3.6834962203988759</v>
      </c>
      <c r="O182" s="184">
        <f t="shared" si="96"/>
        <v>3.4507421541228012</v>
      </c>
      <c r="P182" s="184">
        <f t="shared" si="96"/>
        <v>3.2342508731543083</v>
      </c>
      <c r="Q182" s="184">
        <f t="shared" si="96"/>
        <v>3.0313417355747019</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0.78622823900302274</v>
      </c>
      <c r="N183" s="184">
        <f t="shared" si="97"/>
        <v>0.73517962078099219</v>
      </c>
      <c r="O183" s="184">
        <f t="shared" si="97"/>
        <v>0.68872483002202434</v>
      </c>
      <c r="P183" s="184">
        <f t="shared" si="97"/>
        <v>0.64551588712603503</v>
      </c>
      <c r="Q183" s="184">
        <f t="shared" si="97"/>
        <v>0.60501776960587661</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20.799764231205142</v>
      </c>
      <c r="I184" s="184">
        <f t="shared" si="98"/>
        <v>0</v>
      </c>
      <c r="J184" s="184">
        <f t="shared" si="98"/>
        <v>0</v>
      </c>
      <c r="K184" s="184">
        <f t="shared" si="98"/>
        <v>0</v>
      </c>
      <c r="L184" s="184">
        <f t="shared" si="98"/>
        <v>0</v>
      </c>
      <c r="M184" s="184">
        <f t="shared" si="98"/>
        <v>4.7254951404195245</v>
      </c>
      <c r="N184" s="184">
        <f t="shared" si="98"/>
        <v>4.4186758411798683</v>
      </c>
      <c r="O184" s="184">
        <f t="shared" si="98"/>
        <v>4.1394669841448257</v>
      </c>
      <c r="P184" s="184">
        <f t="shared" si="98"/>
        <v>3.8797667602803432</v>
      </c>
      <c r="Q184" s="184">
        <f t="shared" si="98"/>
        <v>3.6363595051805784</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3.9248494629316362</v>
      </c>
      <c r="N185" s="184">
        <f t="shared" si="99"/>
        <v>3.710932998240541</v>
      </c>
      <c r="O185" s="184">
        <f t="shared" si="99"/>
        <v>3.5783813556470068</v>
      </c>
      <c r="P185" s="184">
        <f t="shared" si="99"/>
        <v>3.3809168910265255</v>
      </c>
      <c r="Q185" s="184">
        <f t="shared" si="99"/>
        <v>3.1517163308779561</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0.78335069920829226</v>
      </c>
      <c r="N186" s="184">
        <f t="shared" si="100"/>
        <v>0.74065565732947092</v>
      </c>
      <c r="O186" s="184">
        <f t="shared" si="100"/>
        <v>0.71420001288055135</v>
      </c>
      <c r="P186" s="184">
        <f t="shared" si="100"/>
        <v>0.67478858375692197</v>
      </c>
      <c r="Q186" s="184">
        <f t="shared" si="100"/>
        <v>0.62904302822746094</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21.288835020126363</v>
      </c>
      <c r="I187" s="184">
        <f t="shared" si="101"/>
        <v>0</v>
      </c>
      <c r="J187" s="184">
        <f t="shared" si="101"/>
        <v>0</v>
      </c>
      <c r="K187" s="184">
        <f t="shared" si="101"/>
        <v>0</v>
      </c>
      <c r="L187" s="184">
        <f t="shared" si="101"/>
        <v>0</v>
      </c>
      <c r="M187" s="184">
        <f t="shared" si="101"/>
        <v>4.7082001621399288</v>
      </c>
      <c r="N187" s="184">
        <f t="shared" si="101"/>
        <v>4.4515886555700117</v>
      </c>
      <c r="O187" s="184">
        <f t="shared" si="101"/>
        <v>4.292581368527558</v>
      </c>
      <c r="P187" s="184">
        <f t="shared" si="101"/>
        <v>4.0557054747834478</v>
      </c>
      <c r="Q187" s="184">
        <f t="shared" si="101"/>
        <v>3.7807593591054172</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0</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15.720936833288853</v>
      </c>
      <c r="I189" s="184"/>
      <c r="J189" s="184">
        <f t="shared" ref="J189:R194" si="105" xml:space="preserve"> IF(J$188 = 0, 0, J182 / J$188)</f>
        <v>0</v>
      </c>
      <c r="K189" s="184">
        <f t="shared" si="105"/>
        <v>0</v>
      </c>
      <c r="L189" s="184">
        <f t="shared" si="105"/>
        <v>0</v>
      </c>
      <c r="M189" s="185">
        <f t="shared" si="105"/>
        <v>3.7083770492187251</v>
      </c>
      <c r="N189" s="184">
        <f t="shared" si="105"/>
        <v>3.399465665930661</v>
      </c>
      <c r="O189" s="184">
        <f t="shared" si="105"/>
        <v>3.1199168437377498</v>
      </c>
      <c r="P189" s="184">
        <f t="shared" si="105"/>
        <v>2.8640359929109387</v>
      </c>
      <c r="Q189" s="184">
        <f t="shared" si="105"/>
        <v>2.6291412814907789</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3.137701707256721</v>
      </c>
      <c r="I190" s="184"/>
      <c r="J190" s="184">
        <f t="shared" si="105"/>
        <v>0</v>
      </c>
      <c r="K190" s="184">
        <f t="shared" si="105"/>
        <v>0</v>
      </c>
      <c r="L190" s="184">
        <f t="shared" si="105"/>
        <v>0</v>
      </c>
      <c r="M190" s="185">
        <f t="shared" si="105"/>
        <v>0.7401455219797487</v>
      </c>
      <c r="N190" s="184">
        <f xml:space="preserve"> IF(N$188 = 0, 0, N183 / N$188)</f>
        <v>0.67849068645610633</v>
      </c>
      <c r="O190" s="184">
        <f t="shared" si="105"/>
        <v>0.62269624965136261</v>
      </c>
      <c r="P190" s="184">
        <f t="shared" si="105"/>
        <v>0.57162564291795825</v>
      </c>
      <c r="Q190" s="184">
        <f t="shared" si="105"/>
        <v>0.52474360625154526</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18.858638540545574</v>
      </c>
      <c r="I191" s="184"/>
      <c r="J191" s="184">
        <f t="shared" si="105"/>
        <v>0</v>
      </c>
      <c r="K191" s="184">
        <f t="shared" si="105"/>
        <v>0</v>
      </c>
      <c r="L191" s="184">
        <f t="shared" si="105"/>
        <v>0</v>
      </c>
      <c r="M191" s="185">
        <f t="shared" si="105"/>
        <v>4.4485225711984739</v>
      </c>
      <c r="N191" s="184">
        <f t="shared" si="105"/>
        <v>4.0779563523867672</v>
      </c>
      <c r="O191" s="184">
        <f t="shared" si="105"/>
        <v>3.7426130933891124</v>
      </c>
      <c r="P191" s="184">
        <f t="shared" si="105"/>
        <v>3.4356616358288972</v>
      </c>
      <c r="Q191" s="184">
        <f t="shared" si="105"/>
        <v>3.1538848877423242</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16.082368742004075</v>
      </c>
      <c r="I192" s="184"/>
      <c r="J192" s="184">
        <f t="shared" si="105"/>
        <v>0</v>
      </c>
      <c r="K192" s="184">
        <f t="shared" si="105"/>
        <v>0</v>
      </c>
      <c r="L192" s="184">
        <f t="shared" si="105"/>
        <v>0</v>
      </c>
      <c r="M192" s="185">
        <f t="shared" si="105"/>
        <v>3.6948046512767192</v>
      </c>
      <c r="N192" s="184">
        <f t="shared" si="105"/>
        <v>3.4247868224286599</v>
      </c>
      <c r="O192" s="184">
        <f t="shared" si="105"/>
        <v>3.2353191766187579</v>
      </c>
      <c r="P192" s="184">
        <f t="shared" si="105"/>
        <v>2.9939135969056081</v>
      </c>
      <c r="Q192" s="184">
        <f t="shared" si="105"/>
        <v>2.7335444947743288</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3.2098389805667589</v>
      </c>
      <c r="I193" s="184"/>
      <c r="J193" s="184">
        <f t="shared" si="105"/>
        <v>0</v>
      </c>
      <c r="K193" s="184">
        <f t="shared" si="105"/>
        <v>0</v>
      </c>
      <c r="L193" s="184">
        <f t="shared" si="105"/>
        <v>0</v>
      </c>
      <c r="M193" s="185">
        <f t="shared" si="105"/>
        <v>0.73743664167281775</v>
      </c>
      <c r="N193" s="184">
        <f t="shared" si="105"/>
        <v>0.68354447153367559</v>
      </c>
      <c r="O193" s="184">
        <f t="shared" si="105"/>
        <v>0.64572910709122011</v>
      </c>
      <c r="P193" s="184">
        <f t="shared" si="105"/>
        <v>0.59754758281950249</v>
      </c>
      <c r="Q193" s="184">
        <f t="shared" si="105"/>
        <v>0.54558117744954293</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19.292207722570829</v>
      </c>
      <c r="I194" s="184"/>
      <c r="J194" s="184">
        <f t="shared" si="105"/>
        <v>0</v>
      </c>
      <c r="K194" s="184">
        <f t="shared" si="105"/>
        <v>0</v>
      </c>
      <c r="L194" s="184">
        <f t="shared" si="105"/>
        <v>0</v>
      </c>
      <c r="M194" s="185">
        <f t="shared" si="105"/>
        <v>4.4322412929495369</v>
      </c>
      <c r="N194" s="184">
        <f t="shared" si="105"/>
        <v>4.1083312939623351</v>
      </c>
      <c r="O194" s="184">
        <f t="shared" si="105"/>
        <v>3.881048283709978</v>
      </c>
      <c r="P194" s="184">
        <f t="shared" si="105"/>
        <v>3.591461179725111</v>
      </c>
      <c r="Q194" s="184">
        <f t="shared" si="105"/>
        <v>3.2791256722238717</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15.720936833288853</v>
      </c>
      <c r="I196" s="247">
        <f t="shared" si="106"/>
        <v>0</v>
      </c>
      <c r="J196" s="184">
        <f t="shared" si="106"/>
        <v>0</v>
      </c>
      <c r="K196" s="184">
        <f t="shared" si="106"/>
        <v>0</v>
      </c>
      <c r="L196" s="184">
        <f t="shared" si="106"/>
        <v>0</v>
      </c>
      <c r="M196" s="185">
        <f t="shared" si="106"/>
        <v>3.7083770492187251</v>
      </c>
      <c r="N196" s="184">
        <f t="shared" si="106"/>
        <v>3.399465665930661</v>
      </c>
      <c r="O196" s="184">
        <f t="shared" si="106"/>
        <v>3.1199168437377498</v>
      </c>
      <c r="P196" s="184">
        <f t="shared" si="106"/>
        <v>2.8640359929109387</v>
      </c>
      <c r="Q196" s="184">
        <f t="shared" si="106"/>
        <v>2.6291412814907789</v>
      </c>
      <c r="R196" s="184">
        <f t="shared" si="106"/>
        <v>0</v>
      </c>
    </row>
    <row r="197" spans="1:26" x14ac:dyDescent="0.2">
      <c r="E197" s="7" t="str">
        <f>E$192</f>
        <v>RCV run-off company should have received- real</v>
      </c>
      <c r="F197" s="184">
        <f t="shared" ref="F197:R197" si="107">F$192</f>
        <v>0</v>
      </c>
      <c r="G197" s="7" t="str">
        <f t="shared" si="107"/>
        <v>£m</v>
      </c>
      <c r="H197" s="247">
        <f t="shared" si="107"/>
        <v>16.082368742004075</v>
      </c>
      <c r="I197" s="247">
        <f t="shared" si="107"/>
        <v>0</v>
      </c>
      <c r="J197" s="184">
        <f t="shared" si="107"/>
        <v>0</v>
      </c>
      <c r="K197" s="184">
        <f t="shared" si="107"/>
        <v>0</v>
      </c>
      <c r="L197" s="184">
        <f t="shared" si="107"/>
        <v>0</v>
      </c>
      <c r="M197" s="185">
        <f t="shared" si="107"/>
        <v>3.6948046512767192</v>
      </c>
      <c r="N197" s="184">
        <f t="shared" si="107"/>
        <v>3.4247868224286599</v>
      </c>
      <c r="O197" s="184">
        <f t="shared" si="107"/>
        <v>3.2353191766187579</v>
      </c>
      <c r="P197" s="184">
        <f t="shared" si="107"/>
        <v>2.9939135969056081</v>
      </c>
      <c r="Q197" s="184">
        <f t="shared" si="107"/>
        <v>2.7335444947743288</v>
      </c>
      <c r="R197" s="184">
        <f t="shared" si="107"/>
        <v>0</v>
      </c>
    </row>
    <row r="198" spans="1:26" x14ac:dyDescent="0.2">
      <c r="C198" s="278"/>
      <c r="E198" s="7" t="s">
        <v>402</v>
      </c>
      <c r="G198" s="7" t="s">
        <v>235</v>
      </c>
      <c r="H198" s="185">
        <f xml:space="preserve"> SUM(J198:R198)</f>
        <v>0.36143190871522046</v>
      </c>
      <c r="I198" s="185"/>
      <c r="J198" s="184">
        <f t="shared" ref="J198:K198" si="108">J197-J196</f>
        <v>0</v>
      </c>
      <c r="K198" s="184">
        <f t="shared" si="108"/>
        <v>0</v>
      </c>
      <c r="L198" s="184">
        <f>L197-L196</f>
        <v>0</v>
      </c>
      <c r="M198" s="185">
        <f>M197-M196</f>
        <v>-1.3572397942005932E-2</v>
      </c>
      <c r="N198" s="184">
        <f t="shared" ref="N198:R198" si="109">N197-N196</f>
        <v>2.5321156497998931E-2</v>
      </c>
      <c r="O198" s="184">
        <f t="shared" si="109"/>
        <v>0.1154023328810081</v>
      </c>
      <c r="P198" s="184">
        <f t="shared" si="109"/>
        <v>0.12987760399466941</v>
      </c>
      <c r="Q198" s="184">
        <f t="shared" si="109"/>
        <v>0.10440321328354996</v>
      </c>
      <c r="R198" s="184">
        <f t="shared" si="109"/>
        <v>0</v>
      </c>
    </row>
    <row r="200" spans="1:26" x14ac:dyDescent="0.2">
      <c r="E200" s="7" t="str">
        <f>E$190</f>
        <v>True up Nominal return- real</v>
      </c>
      <c r="F200" s="184">
        <f t="shared" ref="F200:R200" si="110">F$190</f>
        <v>0</v>
      </c>
      <c r="G200" s="7" t="str">
        <f t="shared" si="110"/>
        <v>£m</v>
      </c>
      <c r="H200" s="247">
        <f t="shared" si="110"/>
        <v>3.137701707256721</v>
      </c>
      <c r="I200" s="247">
        <f t="shared" si="110"/>
        <v>0</v>
      </c>
      <c r="J200" s="184">
        <f t="shared" si="110"/>
        <v>0</v>
      </c>
      <c r="K200" s="184">
        <f t="shared" si="110"/>
        <v>0</v>
      </c>
      <c r="L200" s="184">
        <f t="shared" si="110"/>
        <v>0</v>
      </c>
      <c r="M200" s="185">
        <f t="shared" si="110"/>
        <v>0.7401455219797487</v>
      </c>
      <c r="N200" s="184">
        <f t="shared" si="110"/>
        <v>0.67849068645610633</v>
      </c>
      <c r="O200" s="184">
        <f t="shared" si="110"/>
        <v>0.62269624965136261</v>
      </c>
      <c r="P200" s="184">
        <f t="shared" si="110"/>
        <v>0.57162564291795825</v>
      </c>
      <c r="Q200" s="184">
        <f t="shared" si="110"/>
        <v>0.52474360625154526</v>
      </c>
      <c r="R200" s="184">
        <f t="shared" si="110"/>
        <v>0</v>
      </c>
    </row>
    <row r="201" spans="1:26" x14ac:dyDescent="0.2">
      <c r="E201" s="7" t="str">
        <f>E$193</f>
        <v>Nominal return company should have received- real</v>
      </c>
      <c r="F201" s="184">
        <f t="shared" ref="F201:R201" si="111">F$193</f>
        <v>0</v>
      </c>
      <c r="G201" s="7" t="str">
        <f t="shared" si="111"/>
        <v>£m</v>
      </c>
      <c r="H201" s="247">
        <f t="shared" si="111"/>
        <v>3.2098389805667589</v>
      </c>
      <c r="I201" s="247">
        <f t="shared" si="111"/>
        <v>0</v>
      </c>
      <c r="J201" s="184">
        <f t="shared" si="111"/>
        <v>0</v>
      </c>
      <c r="K201" s="184">
        <f t="shared" si="111"/>
        <v>0</v>
      </c>
      <c r="L201" s="184">
        <f t="shared" si="111"/>
        <v>0</v>
      </c>
      <c r="M201" s="185">
        <f t="shared" si="111"/>
        <v>0.73743664167281775</v>
      </c>
      <c r="N201" s="184">
        <f t="shared" si="111"/>
        <v>0.68354447153367559</v>
      </c>
      <c r="O201" s="184">
        <f t="shared" si="111"/>
        <v>0.64572910709122011</v>
      </c>
      <c r="P201" s="184">
        <f t="shared" si="111"/>
        <v>0.59754758281950249</v>
      </c>
      <c r="Q201" s="184">
        <f t="shared" si="111"/>
        <v>0.54558117744954293</v>
      </c>
      <c r="R201" s="184">
        <f t="shared" si="111"/>
        <v>0</v>
      </c>
    </row>
    <row r="202" spans="1:26" x14ac:dyDescent="0.2">
      <c r="C202" s="278"/>
      <c r="E202" s="7" t="s">
        <v>403</v>
      </c>
      <c r="G202" s="7" t="s">
        <v>235</v>
      </c>
      <c r="H202" s="185">
        <f xml:space="preserve"> SUM(J202:R202)</f>
        <v>7.2137273310037719E-2</v>
      </c>
      <c r="I202" s="185"/>
      <c r="J202" s="184">
        <f t="shared" ref="J202:K202" si="112">J201-J200</f>
        <v>0</v>
      </c>
      <c r="K202" s="184">
        <f t="shared" si="112"/>
        <v>0</v>
      </c>
      <c r="L202" s="184">
        <f>L201-L200</f>
        <v>0</v>
      </c>
      <c r="M202" s="185">
        <f>M201-M200</f>
        <v>-2.7088803069309497E-3</v>
      </c>
      <c r="N202" s="184">
        <f t="shared" ref="N202:R202" si="113">N201-N200</f>
        <v>5.0537850775692617E-3</v>
      </c>
      <c r="O202" s="184">
        <f>O201-O200</f>
        <v>2.3032857439857501E-2</v>
      </c>
      <c r="P202" s="184">
        <f t="shared" si="113"/>
        <v>2.5921939901544233E-2</v>
      </c>
      <c r="Q202" s="184">
        <f t="shared" si="113"/>
        <v>2.0837571197997673E-2</v>
      </c>
      <c r="R202" s="184">
        <f t="shared" si="113"/>
        <v>0</v>
      </c>
    </row>
    <row r="204" spans="1:26" x14ac:dyDescent="0.2">
      <c r="E204" s="7" t="str">
        <f>E$191</f>
        <v>Total True up Nominal revenue to company- real</v>
      </c>
      <c r="F204" s="184">
        <f t="shared" ref="F204:R204" si="114">F$191</f>
        <v>0</v>
      </c>
      <c r="G204" s="7" t="str">
        <f t="shared" si="114"/>
        <v>£m</v>
      </c>
      <c r="H204" s="247">
        <f t="shared" si="114"/>
        <v>18.858638540545574</v>
      </c>
      <c r="I204" s="247"/>
      <c r="J204" s="184">
        <f t="shared" si="114"/>
        <v>0</v>
      </c>
      <c r="K204" s="184">
        <f t="shared" si="114"/>
        <v>0</v>
      </c>
      <c r="L204" s="184">
        <f t="shared" si="114"/>
        <v>0</v>
      </c>
      <c r="M204" s="185">
        <f t="shared" si="114"/>
        <v>4.4485225711984739</v>
      </c>
      <c r="N204" s="184">
        <f t="shared" si="114"/>
        <v>4.0779563523867672</v>
      </c>
      <c r="O204" s="184">
        <f t="shared" si="114"/>
        <v>3.7426130933891124</v>
      </c>
      <c r="P204" s="184">
        <f t="shared" si="114"/>
        <v>3.4356616358288972</v>
      </c>
      <c r="Q204" s="184">
        <f t="shared" si="114"/>
        <v>3.1538848877423242</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19.292207722570829</v>
      </c>
      <c r="I205" s="247"/>
      <c r="J205" s="184">
        <f t="shared" si="115"/>
        <v>0</v>
      </c>
      <c r="K205" s="184">
        <f t="shared" si="115"/>
        <v>0</v>
      </c>
      <c r="L205" s="184">
        <f t="shared" si="115"/>
        <v>0</v>
      </c>
      <c r="M205" s="185">
        <f t="shared" si="115"/>
        <v>4.4322412929495369</v>
      </c>
      <c r="N205" s="184">
        <f t="shared" si="115"/>
        <v>4.1083312939623351</v>
      </c>
      <c r="O205" s="184">
        <f t="shared" si="115"/>
        <v>3.881048283709978</v>
      </c>
      <c r="P205" s="184">
        <f t="shared" si="115"/>
        <v>3.591461179725111</v>
      </c>
      <c r="Q205" s="184">
        <f t="shared" si="115"/>
        <v>3.2791256722238717</v>
      </c>
      <c r="R205" s="184">
        <f t="shared" si="115"/>
        <v>0</v>
      </c>
    </row>
    <row r="206" spans="1:26" x14ac:dyDescent="0.2">
      <c r="C206" s="278"/>
      <c r="E206" s="7" t="s">
        <v>404</v>
      </c>
      <c r="G206" s="7" t="s">
        <v>235</v>
      </c>
      <c r="H206" s="185">
        <f xml:space="preserve"> SUM(J206:R206)</f>
        <v>0.43356918202525785</v>
      </c>
      <c r="I206" s="185"/>
      <c r="J206" s="184">
        <f t="shared" ref="J206:K206" si="116">J205-J204</f>
        <v>0</v>
      </c>
      <c r="K206" s="184">
        <f t="shared" si="116"/>
        <v>0</v>
      </c>
      <c r="L206" s="184">
        <f>L205-L204</f>
        <v>0</v>
      </c>
      <c r="M206" s="185">
        <f>M205-M204</f>
        <v>-1.6281278248936992E-2</v>
      </c>
      <c r="N206" s="184">
        <f t="shared" ref="N206:R206" si="117">N205-N204</f>
        <v>3.037494157556786E-2</v>
      </c>
      <c r="O206" s="184">
        <f t="shared" si="117"/>
        <v>0.1384351903208656</v>
      </c>
      <c r="P206" s="184">
        <f t="shared" si="117"/>
        <v>0.15579954389621387</v>
      </c>
      <c r="Q206" s="184">
        <f t="shared" si="117"/>
        <v>0.12524078448154752</v>
      </c>
      <c r="R206" s="184">
        <f t="shared" si="117"/>
        <v>0</v>
      </c>
    </row>
    <row r="208" spans="1:26" x14ac:dyDescent="0.2">
      <c r="B208" s="61" t="s">
        <v>405</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2.9195763820156317E-2</v>
      </c>
      <c r="N210" s="205">
        <f>InpR!N$111</f>
        <v>2.9195763820156317E-2</v>
      </c>
      <c r="O210" s="205">
        <f>InpR!O$111</f>
        <v>2.9195763820156317E-2</v>
      </c>
      <c r="P210" s="205">
        <f>InpR!P$111</f>
        <v>2.9195763820156317E-2</v>
      </c>
      <c r="Q210" s="205">
        <f>InpR!Q$111</f>
        <v>2.9195763820156317E-2</v>
      </c>
      <c r="R210" s="205">
        <f>InpR!R$111</f>
        <v>0</v>
      </c>
    </row>
    <row r="211" spans="1:18" x14ac:dyDescent="0.2">
      <c r="E211" s="7" t="s">
        <v>406</v>
      </c>
      <c r="G211" s="7" t="s">
        <v>407</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
      <c r="B213" s="61" t="s">
        <v>408</v>
      </c>
    </row>
    <row r="214" spans="1:18" x14ac:dyDescent="0.2">
      <c r="E214" s="7" t="str">
        <f>E$198</f>
        <v>Value of True up run-off - real</v>
      </c>
      <c r="F214" s="184">
        <f t="shared" ref="F214:R214" si="119">F$198</f>
        <v>0</v>
      </c>
      <c r="G214" s="7" t="str">
        <f t="shared" si="119"/>
        <v>£m</v>
      </c>
      <c r="H214" s="247">
        <f t="shared" si="119"/>
        <v>0.36143190871522046</v>
      </c>
      <c r="I214" s="247">
        <f t="shared" si="119"/>
        <v>0</v>
      </c>
      <c r="J214" s="184">
        <f t="shared" si="119"/>
        <v>0</v>
      </c>
      <c r="K214" s="184">
        <f t="shared" si="119"/>
        <v>0</v>
      </c>
      <c r="L214" s="184">
        <f t="shared" si="119"/>
        <v>0</v>
      </c>
      <c r="M214" s="185">
        <f t="shared" si="119"/>
        <v>-1.3572397942005932E-2</v>
      </c>
      <c r="N214" s="184">
        <f t="shared" si="119"/>
        <v>2.5321156497998931E-2</v>
      </c>
      <c r="O214" s="184">
        <f t="shared" si="119"/>
        <v>0.1154023328810081</v>
      </c>
      <c r="P214" s="184">
        <f t="shared" si="119"/>
        <v>0.12987760399466941</v>
      </c>
      <c r="Q214" s="184">
        <f t="shared" si="119"/>
        <v>0.10440321328354996</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
      <c r="A216" s="265"/>
      <c r="B216" s="266"/>
      <c r="C216" s="267"/>
      <c r="D216" s="268"/>
      <c r="E216" s="34" t="s">
        <v>419</v>
      </c>
      <c r="G216" s="34" t="s">
        <v>235</v>
      </c>
      <c r="H216" s="271">
        <f xml:space="preserve"> SUM(J216:R216)</f>
        <v>0.37268806244230768</v>
      </c>
      <c r="J216" s="271">
        <f xml:space="preserve"> J214 * J215</f>
        <v>0</v>
      </c>
      <c r="K216" s="271">
        <f t="shared" ref="K216:R216" si="121" xml:space="preserve"> K214 * K215</f>
        <v>0</v>
      </c>
      <c r="L216" s="271">
        <f t="shared" si="121"/>
        <v>0</v>
      </c>
      <c r="M216" s="277">
        <f t="shared" si="121"/>
        <v>-1.5228199038515135E-2</v>
      </c>
      <c r="N216" s="271">
        <f t="shared" si="121"/>
        <v>2.7604348862200801E-2</v>
      </c>
      <c r="O216" s="271">
        <f t="shared" si="121"/>
        <v>0.12223921948864649</v>
      </c>
      <c r="P216" s="271">
        <f t="shared" si="121"/>
        <v>0.13366947984642558</v>
      </c>
      <c r="Q216" s="271">
        <f t="shared" si="121"/>
        <v>0.10440321328354996</v>
      </c>
      <c r="R216" s="271">
        <f t="shared" si="121"/>
        <v>0</v>
      </c>
    </row>
    <row r="218" spans="1:18" x14ac:dyDescent="0.2">
      <c r="B218" s="61" t="s">
        <v>410</v>
      </c>
    </row>
    <row r="219" spans="1:18" x14ac:dyDescent="0.2">
      <c r="E219" s="7" t="str">
        <f>E202</f>
        <v>Value of True up return - real</v>
      </c>
      <c r="F219" s="184">
        <f t="shared" ref="F219:R219" si="122">F202</f>
        <v>0</v>
      </c>
      <c r="G219" s="7" t="str">
        <f t="shared" si="122"/>
        <v>£m</v>
      </c>
      <c r="H219" s="247">
        <f t="shared" si="122"/>
        <v>7.2137273310037719E-2</v>
      </c>
      <c r="I219" s="247">
        <f t="shared" si="122"/>
        <v>0</v>
      </c>
      <c r="J219" s="184">
        <f t="shared" si="122"/>
        <v>0</v>
      </c>
      <c r="K219" s="184">
        <f t="shared" si="122"/>
        <v>0</v>
      </c>
      <c r="L219" s="184">
        <f t="shared" si="122"/>
        <v>0</v>
      </c>
      <c r="M219" s="185">
        <f t="shared" si="122"/>
        <v>-2.7088803069309497E-3</v>
      </c>
      <c r="N219" s="184">
        <f t="shared" si="122"/>
        <v>5.0537850775692617E-3</v>
      </c>
      <c r="O219" s="184">
        <f t="shared" si="122"/>
        <v>2.3032857439857501E-2</v>
      </c>
      <c r="P219" s="184">
        <f t="shared" si="122"/>
        <v>2.5921939901544233E-2</v>
      </c>
      <c r="Q219" s="184">
        <f t="shared" si="122"/>
        <v>2.0837571197997673E-2</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
      <c r="A221" s="265"/>
      <c r="B221" s="266"/>
      <c r="C221" s="267"/>
      <c r="D221" s="268"/>
      <c r="E221" s="34" t="s">
        <v>420</v>
      </c>
      <c r="G221" s="34" t="s">
        <v>235</v>
      </c>
      <c r="H221" s="271">
        <f xml:space="preserve"> SUM(J221:R221)</f>
        <v>7.4383860338607097E-2</v>
      </c>
      <c r="J221" s="271">
        <f xml:space="preserve"> J219 * J220</f>
        <v>0</v>
      </c>
      <c r="K221" s="271">
        <f t="shared" ref="K221:M221" si="124" xml:space="preserve"> K219 * K220</f>
        <v>0</v>
      </c>
      <c r="L221" s="271">
        <f t="shared" si="124"/>
        <v>0</v>
      </c>
      <c r="M221" s="277">
        <f t="shared" si="124"/>
        <v>-3.0393574268690895E-3</v>
      </c>
      <c r="N221" s="271">
        <f xml:space="preserve"> N219 * N220</f>
        <v>5.5094816213008E-3</v>
      </c>
      <c r="O221" s="271">
        <f t="shared" ref="O221:R221" si="125" xml:space="preserve"> O219 * O220</f>
        <v>2.4397414209507706E-2</v>
      </c>
      <c r="P221" s="271">
        <f t="shared" si="125"/>
        <v>2.6678750736670004E-2</v>
      </c>
      <c r="Q221" s="271">
        <f t="shared" si="125"/>
        <v>2.0837571197997673E-2</v>
      </c>
      <c r="R221" s="271">
        <f t="shared" si="125"/>
        <v>0</v>
      </c>
    </row>
    <row r="223" spans="1:18" x14ac:dyDescent="0.2">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344</v>
      </c>
      <c r="B8" s="286"/>
      <c r="C8" s="287"/>
      <c r="D8" s="287"/>
      <c r="E8" s="287"/>
      <c r="F8" s="287"/>
      <c r="G8" s="287"/>
      <c r="H8" s="287"/>
      <c r="I8" s="287"/>
      <c r="J8" s="287"/>
      <c r="K8" s="287"/>
      <c r="L8" s="287"/>
      <c r="M8" s="287"/>
      <c r="N8" s="287"/>
      <c r="O8" s="287"/>
      <c r="P8" s="287"/>
      <c r="Q8" s="287"/>
      <c r="R8" s="287"/>
    </row>
    <row r="10" spans="1:26" x14ac:dyDescent="0.2">
      <c r="C10" s="110" t="s">
        <v>345</v>
      </c>
    </row>
    <row r="12" spans="1:26" x14ac:dyDescent="0.2">
      <c r="B12" s="61" t="s">
        <v>346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0</v>
      </c>
    </row>
    <row r="15" spans="1:26" s="172" customFormat="1" x14ac:dyDescent="0.2">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-1</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v>
      </c>
    </row>
    <row r="19" spans="1:16383" s="216" customFormat="1" x14ac:dyDescent="0.2">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0</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349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-1</v>
      </c>
      <c r="S23" s="177"/>
      <c r="T23" s="177"/>
      <c r="U23" s="177"/>
      <c r="V23" s="177"/>
      <c r="W23" s="177"/>
      <c r="X23" s="177"/>
      <c r="Y23" s="177"/>
      <c r="Z23" s="177"/>
    </row>
    <row r="24" spans="1:16383" s="91" customFormat="1" x14ac:dyDescent="0.2">
      <c r="A24" s="170"/>
      <c r="B24" s="165"/>
      <c r="C24" s="166"/>
      <c r="D24" s="171"/>
      <c r="E24" s="172" t="s">
        <v>350</v>
      </c>
      <c r="G24" s="91" t="s">
        <v>235</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f xml:space="preserve"> InpR!M$98</f>
        <v>0</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InpR!$E$91</f>
        <v>RCV - CPI(H) + RPI wedge initial balance - nominal - DMMY</v>
      </c>
      <c r="F31" s="250">
        <f>InpR!$F$91</f>
        <v>0</v>
      </c>
      <c r="G31" s="249" t="str">
        <f>InpR!$G$91</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352</v>
      </c>
      <c r="G34" s="92" t="s">
        <v>235</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355</v>
      </c>
      <c r="G37" s="163" t="s">
        <v>235</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356</v>
      </c>
      <c r="G42" s="92" t="s">
        <v>235</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357</v>
      </c>
    </row>
    <row r="45" spans="1:26" s="205" customFormat="1" x14ac:dyDescent="0.2">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358</v>
      </c>
      <c r="G48" s="91" t="s">
        <v>235</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359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360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5" t="s">
        <v>361</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362</v>
      </c>
      <c r="M57" s="177"/>
      <c r="N57" s="177"/>
      <c r="O57" s="177"/>
      <c r="P57" s="177"/>
      <c r="Q57" s="177"/>
    </row>
    <row r="58" spans="1:26" x14ac:dyDescent="0.2">
      <c r="C58" s="110" t="s">
        <v>363</v>
      </c>
      <c r="M58" s="177"/>
      <c r="N58" s="177"/>
      <c r="O58" s="177"/>
      <c r="P58" s="177"/>
      <c r="Q58" s="177"/>
    </row>
    <row r="59" spans="1:26" x14ac:dyDescent="0.2">
      <c r="C59" s="110" t="s">
        <v>364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365</v>
      </c>
      <c r="G61" s="91" t="s">
        <v>235</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366</v>
      </c>
      <c r="B63" s="286"/>
      <c r="C63" s="287"/>
      <c r="D63" s="287"/>
      <c r="E63" s="287"/>
      <c r="F63" s="287"/>
      <c r="G63" s="287"/>
      <c r="H63" s="287"/>
      <c r="I63" s="287"/>
      <c r="J63" s="287"/>
      <c r="K63" s="287"/>
      <c r="L63" s="287"/>
      <c r="M63" s="287"/>
      <c r="N63" s="287"/>
      <c r="O63" s="287"/>
      <c r="P63" s="287"/>
      <c r="Q63" s="287"/>
      <c r="R63" s="287"/>
    </row>
    <row r="65" spans="1:16383" x14ac:dyDescent="0.2">
      <c r="C65" s="110" t="s">
        <v>367</v>
      </c>
    </row>
    <row r="67" spans="1:16383" x14ac:dyDescent="0.2">
      <c r="B67" s="61" t="s">
        <v>368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5.4342363003727634E-3</v>
      </c>
      <c r="R69" s="205">
        <f>Index!R$135</f>
        <v>0</v>
      </c>
    </row>
    <row r="70" spans="1:16383" s="172" customFormat="1" x14ac:dyDescent="0.2">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2.6434236300374003E-2</v>
      </c>
      <c r="R70" s="172">
        <f t="shared" si="26"/>
        <v>-1</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370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2.6434236300374003E-2</v>
      </c>
      <c r="R74" s="172">
        <f t="shared" si="28"/>
        <v>-1</v>
      </c>
      <c r="S74" s="177"/>
      <c r="T74" s="177"/>
      <c r="U74" s="177"/>
      <c r="V74" s="177"/>
      <c r="W74" s="177"/>
      <c r="X74" s="177"/>
      <c r="Y74" s="177"/>
      <c r="Z74" s="177"/>
    </row>
    <row r="75" spans="1:16383" x14ac:dyDescent="0.2">
      <c r="E75" s="7" t="s">
        <v>371</v>
      </c>
      <c r="G75" s="162" t="s">
        <v>235</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f xml:space="preserve"> InpR!M$98</f>
        <v>0</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
      <c r="E80" s="7" t="s">
        <v>372</v>
      </c>
      <c r="F80" s="244"/>
      <c r="G80" s="244" t="s">
        <v>235</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InpR!$E$91</f>
        <v>RCV - CPI(H) + RPI wedge initial balance - nominal - DMMY</v>
      </c>
      <c r="F82" s="250">
        <f>InpR!$F$91</f>
        <v>0</v>
      </c>
      <c r="G82" s="249" t="str">
        <f>InpR!$G$91</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373</v>
      </c>
      <c r="G85" s="162" t="s">
        <v>235</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
      <c r="A88" s="134"/>
      <c r="B88" s="135"/>
      <c r="C88" s="136"/>
      <c r="D88" s="137"/>
      <c r="E88" s="138" t="s">
        <v>374</v>
      </c>
      <c r="G88" s="163" t="s">
        <v>235</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
      <c r="A93" s="49"/>
      <c r="D93" s="57"/>
      <c r="E93" s="7" t="s">
        <v>375</v>
      </c>
      <c r="G93" s="92" t="s">
        <v>235</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376</v>
      </c>
    </row>
    <row r="96" spans="1:18" s="205" customFormat="1" x14ac:dyDescent="0.2">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
      <c r="E99" s="7" t="s">
        <v>377</v>
      </c>
      <c r="F99" s="244"/>
      <c r="G99" s="184" t="s">
        <v>235</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
      <c r="J104" s="91"/>
      <c r="K104" s="91"/>
      <c r="L104" s="91"/>
      <c r="M104" s="91"/>
      <c r="N104" s="91"/>
      <c r="O104" s="91"/>
      <c r="P104" s="91"/>
      <c r="Q104" s="91"/>
      <c r="R104" s="91"/>
    </row>
    <row r="105" spans="1:26" x14ac:dyDescent="0.2">
      <c r="B105" s="61" t="s">
        <v>379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
      <c r="E108" s="7" t="s">
        <v>380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382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
      <c r="A116" s="180"/>
      <c r="B116" s="181"/>
      <c r="C116" s="182"/>
      <c r="D116" s="183"/>
      <c r="E116" s="7" t="s">
        <v>383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385</v>
      </c>
    </row>
    <row r="121" spans="1:26" x14ac:dyDescent="0.2">
      <c r="C121" s="110" t="s">
        <v>386</v>
      </c>
    </row>
    <row r="122" spans="1:26" x14ac:dyDescent="0.2">
      <c r="C122" s="110" t="s">
        <v>387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0</v>
      </c>
    </row>
    <row r="126" spans="1:26" s="172" customFormat="1" x14ac:dyDescent="0.2">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-1</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-1</v>
      </c>
    </row>
    <row r="130" spans="1:16383" x14ac:dyDescent="0.2">
      <c r="C130" s="278"/>
      <c r="E130" s="7" t="s">
        <v>389</v>
      </c>
      <c r="G130" s="91" t="s">
        <v>235</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f xml:space="preserve"> InpR!M$98</f>
        <v>0</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InpR!$E$91</f>
        <v>RCV - CPI(H) + RPI wedge initial balance - nominal - DMMY</v>
      </c>
      <c r="F137" s="250">
        <f>InpR!$F$91</f>
        <v>0</v>
      </c>
      <c r="G137" s="249" t="str">
        <f>InpR!$G$91</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391</v>
      </c>
      <c r="G140" s="162" t="s">
        <v>235</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
      <c r="A143" s="134"/>
      <c r="B143" s="135"/>
      <c r="C143" s="279"/>
      <c r="D143" s="137"/>
      <c r="E143" s="138" t="s">
        <v>392</v>
      </c>
      <c r="G143" s="163" t="s">
        <v>235</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
      <c r="A148" s="49"/>
      <c r="C148" s="278"/>
      <c r="D148" s="57"/>
      <c r="E148" s="7" t="s">
        <v>393</v>
      </c>
      <c r="F148" s="244"/>
      <c r="G148" s="185" t="s">
        <v>235</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
      <c r="C157" s="278"/>
      <c r="E157" s="7" t="s">
        <v>395</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
      <c r="A161" s="252"/>
      <c r="B161" s="181"/>
      <c r="C161" s="182"/>
      <c r="D161" s="253"/>
      <c r="E161" s="7" t="s">
        <v>396</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398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0</v>
      </c>
    </row>
    <row r="172" spans="1:16383" s="91" customFormat="1" x14ac:dyDescent="0.2">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421</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401</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0</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
      <c r="C198" s="278"/>
      <c r="E198" s="7" t="s">
        <v>402</v>
      </c>
      <c r="G198" s="7" t="s">
        <v>235</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
      <c r="C202" s="278"/>
      <c r="E202" s="7" t="s">
        <v>403</v>
      </c>
      <c r="G202" s="7" t="s">
        <v>235</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
      <c r="C206" s="278"/>
      <c r="E206" s="7" t="s">
        <v>404</v>
      </c>
      <c r="G206" s="7" t="s">
        <v>235</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
      <c r="B208" s="61" t="s">
        <v>405</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
      <c r="E211" s="7" t="s">
        <v>406</v>
      </c>
      <c r="G211" s="7" t="s">
        <v>407</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
      <c r="B213" s="61" t="s">
        <v>408</v>
      </c>
    </row>
    <row r="214" spans="1:18" x14ac:dyDescent="0.2">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
      <c r="A216" s="265"/>
      <c r="B216" s="266"/>
      <c r="C216" s="267"/>
      <c r="D216" s="268"/>
      <c r="E216" s="34" t="s">
        <v>422</v>
      </c>
      <c r="G216" s="34" t="s">
        <v>235</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
      <c r="B218" s="61" t="s">
        <v>410</v>
      </c>
    </row>
    <row r="219" spans="1:18" x14ac:dyDescent="0.2">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
      <c r="A221" s="265"/>
      <c r="B221" s="266"/>
      <c r="C221" s="267"/>
      <c r="D221" s="268"/>
      <c r="E221" s="34" t="s">
        <v>423</v>
      </c>
      <c r="G221" s="34" t="s">
        <v>235</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zoomScaleNormal="100" workbookViewId="0">
      <selection activeCell="P23" sqref="P23"/>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
      <c r="B7" s="61" t="s">
        <v>424</v>
      </c>
    </row>
    <row r="8" spans="1:26" s="92" customFormat="1" x14ac:dyDescent="0.2">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2.4687837261215861</v>
      </c>
      <c r="R8" s="281">
        <f>'Calcs-WR'!R$178</f>
        <v>0</v>
      </c>
    </row>
    <row r="9" spans="1:26" s="92" customFormat="1" x14ac:dyDescent="0.2">
      <c r="A9" s="164"/>
      <c r="B9" s="165"/>
      <c r="C9" s="166"/>
      <c r="D9" s="167"/>
      <c r="E9" s="30" t="str">
        <f>'Calcs-WR'!E$216</f>
        <v>Revenue adjustment for RCV run-off - real - WR</v>
      </c>
      <c r="F9" s="249"/>
      <c r="G9" s="249" t="str">
        <f>'Calcs-WR'!G$216</f>
        <v>£m</v>
      </c>
      <c r="H9" s="281">
        <f>'Calcs-WR'!H$216</f>
        <v>0.20874853602830365</v>
      </c>
      <c r="I9" s="281"/>
      <c r="J9" s="281">
        <f>'Calcs-WR'!J$216</f>
        <v>0</v>
      </c>
      <c r="K9" s="281">
        <f>'Calcs-WR'!K$216</f>
        <v>0</v>
      </c>
      <c r="L9" s="281">
        <f>'Calcs-WR'!L$216</f>
        <v>0</v>
      </c>
      <c r="M9" s="281">
        <f>'Calcs-WR'!M$216</f>
        <v>-6.9245100700090836E-3</v>
      </c>
      <c r="N9" s="281">
        <f>'Calcs-WR'!N$216</f>
        <v>1.3472619267237395E-2</v>
      </c>
      <c r="O9" s="281">
        <f>'Calcs-WR'!O$216</f>
        <v>6.4035251669682283E-2</v>
      </c>
      <c r="P9" s="281">
        <f>'Calcs-WR'!P$216</f>
        <v>7.5157934024808096E-2</v>
      </c>
      <c r="Q9" s="281">
        <f>'Calcs-WR'!Q$216</f>
        <v>6.3007241136584957E-2</v>
      </c>
      <c r="R9" s="281">
        <f>'Calcs-WR'!R$216</f>
        <v>0</v>
      </c>
    </row>
    <row r="10" spans="1:26" s="92" customFormat="1" x14ac:dyDescent="0.2">
      <c r="A10" s="164"/>
      <c r="B10" s="165"/>
      <c r="C10" s="166"/>
      <c r="D10" s="167"/>
      <c r="E10" s="30" t="str">
        <f>'Calcs-WR'!E$221</f>
        <v>Revenue adjustment for return - real -WR</v>
      </c>
      <c r="F10" s="249"/>
      <c r="G10" s="249" t="str">
        <f>'Calcs-WR'!G$221</f>
        <v>£m</v>
      </c>
      <c r="H10" s="281">
        <f>'Calcs-WR'!H$221</f>
        <v>0.15707173364268354</v>
      </c>
      <c r="I10" s="281"/>
      <c r="J10" s="281">
        <f>'Calcs-WR'!J$221</f>
        <v>0</v>
      </c>
      <c r="K10" s="281">
        <f>'Calcs-WR'!K$221</f>
        <v>0</v>
      </c>
      <c r="L10" s="281">
        <f>'Calcs-WR'!L$221</f>
        <v>0</v>
      </c>
      <c r="M10" s="281">
        <f>'Calcs-WR'!M$221</f>
        <v>-5.2103110374629238E-3</v>
      </c>
      <c r="N10" s="281">
        <f>'Calcs-WR'!N$221</f>
        <v>1.0137401225778395E-2</v>
      </c>
      <c r="O10" s="281">
        <f>'Calcs-WR'!O$221</f>
        <v>4.8182986982187981E-2</v>
      </c>
      <c r="P10" s="281">
        <f>'Calcs-WR'!P$221</f>
        <v>5.6552190587235436E-2</v>
      </c>
      <c r="Q10" s="281">
        <f>'Calcs-WR'!Q$221</f>
        <v>4.7409465884944657E-2</v>
      </c>
      <c r="R10" s="281">
        <f>'Calcs-WR'!R$221</f>
        <v>0</v>
      </c>
    </row>
    <row r="11" spans="1:26" s="92" customFormat="1" x14ac:dyDescent="0.2">
      <c r="A11" s="164"/>
      <c r="B11" s="165"/>
      <c r="C11" s="166"/>
      <c r="D11" s="167"/>
      <c r="E11" s="30"/>
      <c r="F11" s="249"/>
      <c r="G11" s="249"/>
      <c r="H11" s="281"/>
      <c r="I11" s="281"/>
      <c r="J11" s="281"/>
      <c r="K11" s="281"/>
      <c r="L11" s="281"/>
      <c r="M11" s="281"/>
      <c r="N11" s="281"/>
      <c r="O11" s="281"/>
      <c r="P11" s="281"/>
      <c r="Q11" s="281"/>
      <c r="R11" s="281"/>
    </row>
    <row r="12" spans="1:26" x14ac:dyDescent="0.2">
      <c r="B12" s="61" t="s">
        <v>425</v>
      </c>
    </row>
    <row r="13" spans="1:26" s="92" customFormat="1" x14ac:dyDescent="0.2">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22.935079157733526</v>
      </c>
      <c r="R13" s="281">
        <f>'Calcs-WN'!R$178</f>
        <v>0</v>
      </c>
    </row>
    <row r="14" spans="1:26" s="92" customFormat="1" x14ac:dyDescent="0.2">
      <c r="A14" s="164"/>
      <c r="B14" s="165"/>
      <c r="C14" s="166"/>
      <c r="D14" s="167"/>
      <c r="E14" s="30" t="str">
        <f>'Calcs-WN'!E$216</f>
        <v>Revenue adjustment for RCV run-off - real - WN</v>
      </c>
      <c r="F14" s="249"/>
      <c r="G14" s="249" t="str">
        <f>'Calcs-WN'!G$216</f>
        <v>£m</v>
      </c>
      <c r="H14" s="281">
        <f>'Calcs-WN'!H$216</f>
        <v>3.7444052233792009</v>
      </c>
      <c r="I14" s="281"/>
      <c r="J14" s="281">
        <f>'Calcs-WN'!J$216</f>
        <v>0</v>
      </c>
      <c r="K14" s="281">
        <f>'Calcs-WN'!K$216</f>
        <v>0</v>
      </c>
      <c r="L14" s="281">
        <f>'Calcs-WN'!L$216</f>
        <v>0</v>
      </c>
      <c r="M14" s="281">
        <f>'Calcs-WN'!M$216</f>
        <v>-0.13280515117992486</v>
      </c>
      <c r="N14" s="281">
        <f>'Calcs-WN'!N$216</f>
        <v>0.25261276146076556</v>
      </c>
      <c r="O14" s="281">
        <f>'Calcs-WN'!O$216</f>
        <v>1.17381525771483</v>
      </c>
      <c r="P14" s="281">
        <f>'Calcs-WN'!P$216</f>
        <v>1.3468922167112567</v>
      </c>
      <c r="Q14" s="281">
        <f>'Calcs-WN'!Q$216</f>
        <v>1.1038901386722735</v>
      </c>
      <c r="R14" s="281">
        <f>'Calcs-WN'!R$216</f>
        <v>0</v>
      </c>
    </row>
    <row r="15" spans="1:26" s="92" customFormat="1" x14ac:dyDescent="0.2">
      <c r="A15" s="164"/>
      <c r="B15" s="165"/>
      <c r="C15" s="166"/>
      <c r="D15" s="167"/>
      <c r="E15" s="30" t="str">
        <f>'Calcs-WN'!E$221</f>
        <v>Revenue adjustment for return - real - WN</v>
      </c>
      <c r="F15" s="249"/>
      <c r="G15" s="249" t="str">
        <f>'Calcs-WN'!G$221</f>
        <v>£m</v>
      </c>
      <c r="H15" s="281">
        <f>'Calcs-WN'!H$221</f>
        <v>1.4939609602016586</v>
      </c>
      <c r="I15" s="281"/>
      <c r="J15" s="281">
        <f>'Calcs-WN'!J$221</f>
        <v>0</v>
      </c>
      <c r="K15" s="281">
        <f>'Calcs-WN'!K$221</f>
        <v>0</v>
      </c>
      <c r="L15" s="281">
        <f>'Calcs-WN'!L$221</f>
        <v>0</v>
      </c>
      <c r="M15" s="281">
        <f>'Calcs-WN'!M$221</f>
        <v>-5.2987243457971005E-2</v>
      </c>
      <c r="N15" s="281">
        <f>'Calcs-WN'!N$221</f>
        <v>0.10078866499671553</v>
      </c>
      <c r="O15" s="281">
        <f>'Calcs-WN'!O$221</f>
        <v>0.46833450572222396</v>
      </c>
      <c r="P15" s="281">
        <f>'Calcs-WN'!P$221</f>
        <v>0.53738959042209156</v>
      </c>
      <c r="Q15" s="281">
        <f>'Calcs-WN'!Q$221</f>
        <v>0.44043544251859856</v>
      </c>
      <c r="R15" s="281">
        <f>'Calcs-WN'!R$221</f>
        <v>0</v>
      </c>
    </row>
    <row r="16" spans="1:26" s="92" customFormat="1" x14ac:dyDescent="0.2">
      <c r="A16" s="164"/>
      <c r="B16" s="165"/>
      <c r="C16" s="166"/>
      <c r="D16" s="167"/>
      <c r="E16" s="30"/>
      <c r="F16" s="249"/>
      <c r="G16" s="249"/>
      <c r="H16" s="281"/>
      <c r="I16" s="281"/>
      <c r="J16" s="281"/>
      <c r="K16" s="281"/>
      <c r="L16" s="281"/>
      <c r="M16" s="281"/>
      <c r="N16" s="281"/>
      <c r="O16" s="281"/>
      <c r="P16" s="281"/>
      <c r="Q16" s="281"/>
      <c r="R16" s="281"/>
    </row>
    <row r="17" spans="1:18" x14ac:dyDescent="0.2">
      <c r="B17" s="61" t="s">
        <v>426</v>
      </c>
    </row>
    <row r="18" spans="1:18" s="92" customFormat="1" x14ac:dyDescent="0.2">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f>'Calcs-WWN'!L$178</f>
        <v>0</v>
      </c>
      <c r="M18" s="281">
        <f>'Calcs-WWN'!M$178</f>
        <v>0</v>
      </c>
      <c r="N18" s="281">
        <f>'Calcs-WWN'!N$178</f>
        <v>0</v>
      </c>
      <c r="O18" s="281">
        <f>'Calcs-WWN'!O$178</f>
        <v>0</v>
      </c>
      <c r="P18" s="281">
        <f>'Calcs-WWN'!P$178</f>
        <v>0</v>
      </c>
      <c r="Q18" s="281">
        <f>'Calcs-WWN'!Q$178</f>
        <v>26.916395637933761</v>
      </c>
      <c r="R18" s="281">
        <f>'Calcs-WWN'!R$178</f>
        <v>0</v>
      </c>
    </row>
    <row r="19" spans="1:18" s="92" customFormat="1" x14ac:dyDescent="0.2">
      <c r="A19" s="164"/>
      <c r="B19" s="165"/>
      <c r="C19" s="166"/>
      <c r="D19" s="167"/>
      <c r="E19" s="30" t="str">
        <f>'Calcs-WWN'!E$216</f>
        <v>Revenue adjustment for RCV run-off - real - WWN</v>
      </c>
      <c r="F19" s="249"/>
      <c r="G19" s="249" t="str">
        <f>'Calcs-WWN'!G$216</f>
        <v>£m</v>
      </c>
      <c r="H19" s="281">
        <f>'Calcs-WWN'!H$216</f>
        <v>4.9013307805942556</v>
      </c>
      <c r="I19" s="281"/>
      <c r="J19" s="281">
        <f>'Calcs-WWN'!J$216</f>
        <v>0</v>
      </c>
      <c r="K19" s="281">
        <f>'Calcs-WWN'!K$216</f>
        <v>0</v>
      </c>
      <c r="L19" s="281">
        <f>'Calcs-WWN'!L$216</f>
        <v>0</v>
      </c>
      <c r="M19" s="281">
        <f>'Calcs-WWN'!M$216</f>
        <v>-0.1765584916996773</v>
      </c>
      <c r="N19" s="281">
        <f>'Calcs-WWN'!N$216</f>
        <v>0.33407533504871545</v>
      </c>
      <c r="O19" s="281">
        <f>'Calcs-WWN'!O$216</f>
        <v>1.5442027206367115</v>
      </c>
      <c r="P19" s="281">
        <f>'Calcs-WWN'!P$216</f>
        <v>1.7625962544190195</v>
      </c>
      <c r="Q19" s="281">
        <f>'Calcs-WWN'!Q$216</f>
        <v>1.4370149621894868</v>
      </c>
      <c r="R19" s="281">
        <f>'Calcs-WWN'!R$216</f>
        <v>0</v>
      </c>
    </row>
    <row r="20" spans="1:18" s="92" customFormat="1" x14ac:dyDescent="0.2">
      <c r="A20" s="164"/>
      <c r="B20" s="165"/>
      <c r="C20" s="166"/>
      <c r="D20" s="167"/>
      <c r="E20" s="30" t="str">
        <f>'Calcs-WWN'!E$221</f>
        <v>Revenue adjustment for return - real - WWN</v>
      </c>
      <c r="F20" s="249"/>
      <c r="G20" s="249" t="str">
        <f>'Calcs-WWN'!G$221</f>
        <v>£m</v>
      </c>
      <c r="H20" s="281">
        <f>'Calcs-WWN'!H$221</f>
        <v>1.7629972831702991</v>
      </c>
      <c r="I20" s="281"/>
      <c r="J20" s="281">
        <f>'Calcs-WWN'!J$221</f>
        <v>0</v>
      </c>
      <c r="K20" s="281">
        <f>'Calcs-WWN'!K$221</f>
        <v>0</v>
      </c>
      <c r="L20" s="281">
        <f>'Calcs-WWN'!L$221</f>
        <v>0</v>
      </c>
      <c r="M20" s="281">
        <f>'Calcs-WWN'!M$221</f>
        <v>-6.3507678857257194E-2</v>
      </c>
      <c r="N20" s="281">
        <f>'Calcs-WWN'!N$221</f>
        <v>0.12016612108634343</v>
      </c>
      <c r="O20" s="281">
        <f>'Calcs-WWN'!O$221</f>
        <v>0.55544612739167432</v>
      </c>
      <c r="P20" s="281">
        <f>'Calcs-WWN'!P$221</f>
        <v>0.63400177359384846</v>
      </c>
      <c r="Q20" s="281">
        <f>'Calcs-WWN'!Q$221</f>
        <v>0.51689093995569024</v>
      </c>
      <c r="R20" s="281">
        <f>'Calcs-WWN'!R$221</f>
        <v>0</v>
      </c>
    </row>
    <row r="21" spans="1:18" s="92" customFormat="1" x14ac:dyDescent="0.2">
      <c r="A21" s="164"/>
      <c r="B21" s="165"/>
      <c r="C21" s="166"/>
      <c r="D21" s="167"/>
      <c r="E21" s="30"/>
      <c r="F21" s="249"/>
      <c r="G21" s="249"/>
      <c r="H21" s="281"/>
      <c r="I21" s="281"/>
      <c r="J21" s="281"/>
      <c r="K21" s="281"/>
      <c r="L21" s="281"/>
      <c r="M21" s="281"/>
      <c r="N21" s="281"/>
      <c r="O21" s="281"/>
      <c r="P21" s="281"/>
      <c r="Q21" s="281"/>
      <c r="R21" s="281"/>
    </row>
    <row r="22" spans="1:18" x14ac:dyDescent="0.2">
      <c r="B22" s="61" t="s">
        <v>427</v>
      </c>
    </row>
    <row r="23" spans="1:18" s="92" customFormat="1" x14ac:dyDescent="0.2">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f>'Calcs-BR'!L$178</f>
        <v>0</v>
      </c>
      <c r="M23" s="281">
        <f>'Calcs-BR'!M$178</f>
        <v>0</v>
      </c>
      <c r="N23" s="281">
        <f>'Calcs-BR'!N$178</f>
        <v>0</v>
      </c>
      <c r="O23" s="281">
        <f>'Calcs-BR'!O$178</f>
        <v>0</v>
      </c>
      <c r="P23" s="281">
        <f>'Calcs-BR'!P$178</f>
        <v>0</v>
      </c>
      <c r="Q23" s="281">
        <f>'Calcs-BR'!Q$178</f>
        <v>1.0850882984077828</v>
      </c>
      <c r="R23" s="281">
        <f>'Calcs-BR'!R$178</f>
        <v>0</v>
      </c>
    </row>
    <row r="24" spans="1:18" s="92" customFormat="1" x14ac:dyDescent="0.2">
      <c r="A24" s="164"/>
      <c r="B24" s="165"/>
      <c r="C24" s="166"/>
      <c r="D24" s="167"/>
      <c r="E24" s="30" t="str">
        <f>'Calcs-BR'!E$216</f>
        <v>Revenue adjustment for RCV run-off - real - BR</v>
      </c>
      <c r="F24" s="249"/>
      <c r="G24" s="249" t="str">
        <f>'Calcs-BR'!G$216</f>
        <v>£m</v>
      </c>
      <c r="H24" s="281">
        <f>'Calcs-BR'!H$216</f>
        <v>0.37268806244230768</v>
      </c>
      <c r="I24" s="281"/>
      <c r="J24" s="281">
        <f>'Calcs-BR'!J$216</f>
        <v>0</v>
      </c>
      <c r="K24" s="281">
        <f>'Calcs-BR'!K$216</f>
        <v>0</v>
      </c>
      <c r="L24" s="281">
        <f>'Calcs-BR'!L$216</f>
        <v>0</v>
      </c>
      <c r="M24" s="281">
        <f>'Calcs-BR'!M$216</f>
        <v>-1.5228199038515135E-2</v>
      </c>
      <c r="N24" s="281">
        <f>'Calcs-BR'!N$216</f>
        <v>2.7604348862200801E-2</v>
      </c>
      <c r="O24" s="281">
        <f>'Calcs-BR'!O$216</f>
        <v>0.12223921948864649</v>
      </c>
      <c r="P24" s="281">
        <f>'Calcs-BR'!P$216</f>
        <v>0.13366947984642558</v>
      </c>
      <c r="Q24" s="281">
        <f>'Calcs-BR'!Q$216</f>
        <v>0.10440321328354996</v>
      </c>
      <c r="R24" s="281">
        <f>'Calcs-BR'!R$216</f>
        <v>0</v>
      </c>
    </row>
    <row r="25" spans="1:18" s="92" customFormat="1" x14ac:dyDescent="0.2">
      <c r="A25" s="164"/>
      <c r="B25" s="165"/>
      <c r="C25" s="166"/>
      <c r="D25" s="167"/>
      <c r="E25" s="30" t="str">
        <f>'Calcs-BR'!E$221</f>
        <v>Revenue adjustment for return - real - BR</v>
      </c>
      <c r="F25" s="249"/>
      <c r="G25" s="249" t="str">
        <f>'Calcs-BR'!G$221</f>
        <v>£m</v>
      </c>
      <c r="H25" s="281">
        <f>'Calcs-BR'!H$221</f>
        <v>7.4383860338607097E-2</v>
      </c>
      <c r="I25" s="281"/>
      <c r="J25" s="281">
        <f>'Calcs-BR'!J$221</f>
        <v>0</v>
      </c>
      <c r="K25" s="281">
        <f>'Calcs-BR'!K$221</f>
        <v>0</v>
      </c>
      <c r="L25" s="281">
        <f>'Calcs-BR'!L$221</f>
        <v>0</v>
      </c>
      <c r="M25" s="281">
        <f>'Calcs-BR'!M$221</f>
        <v>-3.0393574268690895E-3</v>
      </c>
      <c r="N25" s="281">
        <f>'Calcs-BR'!N$221</f>
        <v>5.5094816213008E-3</v>
      </c>
      <c r="O25" s="281">
        <f>'Calcs-BR'!O$221</f>
        <v>2.4397414209507706E-2</v>
      </c>
      <c r="P25" s="281">
        <f>'Calcs-BR'!P$221</f>
        <v>2.6678750736670004E-2</v>
      </c>
      <c r="Q25" s="281">
        <f>'Calcs-BR'!Q$221</f>
        <v>2.0837571197997673E-2</v>
      </c>
      <c r="R25" s="281">
        <f>'Calcs-BR'!R$221</f>
        <v>0</v>
      </c>
    </row>
    <row r="26" spans="1:18" s="92" customFormat="1" x14ac:dyDescent="0.2">
      <c r="A26" s="164"/>
      <c r="B26" s="165"/>
      <c r="C26" s="166"/>
      <c r="D26" s="167"/>
      <c r="E26" s="30"/>
      <c r="F26" s="249"/>
      <c r="G26" s="249"/>
      <c r="H26" s="281"/>
      <c r="I26" s="281"/>
      <c r="J26" s="281"/>
      <c r="K26" s="281"/>
      <c r="L26" s="281"/>
      <c r="M26" s="281"/>
      <c r="N26" s="281"/>
      <c r="O26" s="281"/>
      <c r="P26" s="281"/>
      <c r="Q26" s="281"/>
      <c r="R26" s="281"/>
    </row>
    <row r="27" spans="1:18" x14ac:dyDescent="0.2">
      <c r="B27" s="61" t="s">
        <v>428</v>
      </c>
    </row>
    <row r="28" spans="1:18" s="92" customFormat="1" x14ac:dyDescent="0.2">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f>'Calcs-DMMY'!L$178</f>
        <v>0</v>
      </c>
      <c r="M28" s="281">
        <f>'Calcs-DMMY'!M$178</f>
        <v>0</v>
      </c>
      <c r="N28" s="281">
        <f>'Calcs-DMMY'!N$178</f>
        <v>0</v>
      </c>
      <c r="O28" s="281">
        <f>'Calcs-DMMY'!O$178</f>
        <v>0</v>
      </c>
      <c r="P28" s="281">
        <f>'Calcs-DMMY'!P$178</f>
        <v>0</v>
      </c>
      <c r="Q28" s="281">
        <f>'Calcs-DMMY'!Q$178</f>
        <v>0</v>
      </c>
      <c r="R28" s="281">
        <f>'Calcs-DMMY'!R$178</f>
        <v>0</v>
      </c>
    </row>
    <row r="29" spans="1:18" s="92" customFormat="1" x14ac:dyDescent="0.2">
      <c r="A29" s="164"/>
      <c r="B29" s="165"/>
      <c r="C29" s="166"/>
      <c r="D29" s="167"/>
      <c r="E29" s="30" t="str">
        <f>'Calcs-DMMY'!E$216</f>
        <v>Revenue adjustment for RCV run-off - real - DMMY</v>
      </c>
      <c r="F29" s="249"/>
      <c r="G29" s="249" t="str">
        <f>'Calcs-DMMY'!G$216</f>
        <v>£m</v>
      </c>
      <c r="H29" s="281">
        <f>'Calcs-DMMY'!H$216</f>
        <v>0</v>
      </c>
      <c r="I29" s="281"/>
      <c r="J29" s="281">
        <f>'Calcs-DMMY'!J$216</f>
        <v>0</v>
      </c>
      <c r="K29" s="281">
        <f>'Calcs-DMMY'!K$216</f>
        <v>0</v>
      </c>
      <c r="L29" s="281">
        <f>'Calcs-DMMY'!L$216</f>
        <v>0</v>
      </c>
      <c r="M29" s="281">
        <f>'Calcs-DMMY'!M$216</f>
        <v>0</v>
      </c>
      <c r="N29" s="281">
        <f>'Calcs-DMMY'!N$216</f>
        <v>0</v>
      </c>
      <c r="O29" s="281">
        <f>'Calcs-DMMY'!O$216</f>
        <v>0</v>
      </c>
      <c r="P29" s="281">
        <f>'Calcs-DMMY'!P$216</f>
        <v>0</v>
      </c>
      <c r="Q29" s="281">
        <f>'Calcs-DMMY'!Q$216</f>
        <v>0</v>
      </c>
      <c r="R29" s="281">
        <f>'Calcs-DMMY'!R$216</f>
        <v>0</v>
      </c>
    </row>
    <row r="30" spans="1:18" s="92" customFormat="1" x14ac:dyDescent="0.2">
      <c r="A30" s="164"/>
      <c r="B30" s="165"/>
      <c r="C30" s="166"/>
      <c r="D30" s="167"/>
      <c r="E30" s="30" t="str">
        <f>'Calcs-DMMY'!E$221</f>
        <v>Revenue adjustment for return - real - DMMY</v>
      </c>
      <c r="F30" s="249"/>
      <c r="G30" s="249" t="str">
        <f>'Calcs-DMMY'!G$221</f>
        <v>£m</v>
      </c>
      <c r="H30" s="281">
        <f>'Calcs-DMMY'!H$221</f>
        <v>0</v>
      </c>
      <c r="I30" s="281"/>
      <c r="J30" s="281">
        <f>'Calcs-DMMY'!J$221</f>
        <v>0</v>
      </c>
      <c r="K30" s="281">
        <f>'Calcs-DMMY'!K$221</f>
        <v>0</v>
      </c>
      <c r="L30" s="281">
        <f>'Calcs-DMMY'!L$221</f>
        <v>0</v>
      </c>
      <c r="M30" s="281">
        <f>'Calcs-DMMY'!M$221</f>
        <v>0</v>
      </c>
      <c r="N30" s="281">
        <f>'Calcs-DMMY'!N$221</f>
        <v>0</v>
      </c>
      <c r="O30" s="281">
        <f>'Calcs-DMMY'!O$221</f>
        <v>0</v>
      </c>
      <c r="P30" s="281">
        <f>'Calcs-DMMY'!P$221</f>
        <v>0</v>
      </c>
      <c r="Q30" s="281">
        <f>'Calcs-DMMY'!Q$221</f>
        <v>0</v>
      </c>
      <c r="R30" s="281">
        <f>'Calcs-DMMY'!R$221</f>
        <v>0</v>
      </c>
    </row>
    <row r="31" spans="1:18" s="92" customFormat="1" x14ac:dyDescent="0.2">
      <c r="A31" s="164"/>
      <c r="B31" s="165"/>
      <c r="C31" s="166"/>
      <c r="D31" s="167"/>
      <c r="E31" s="30"/>
      <c r="F31" s="249"/>
      <c r="G31" s="249"/>
      <c r="H31" s="281"/>
      <c r="I31" s="281"/>
      <c r="J31" s="281"/>
      <c r="K31" s="281"/>
      <c r="L31" s="281"/>
      <c r="M31" s="281"/>
      <c r="N31" s="281"/>
      <c r="O31" s="281"/>
      <c r="P31" s="281"/>
      <c r="Q31" s="281"/>
      <c r="R31" s="281"/>
    </row>
    <row r="32" spans="1:18" x14ac:dyDescent="0.2">
      <c r="A32" s="10" t="s">
        <v>114</v>
      </c>
      <c r="B32" s="1"/>
      <c r="C32" s="1"/>
      <c r="D32" s="1"/>
      <c r="E32" s="1"/>
      <c r="F32" s="1"/>
      <c r="G32" s="1"/>
      <c r="H32" s="1"/>
      <c r="I32" s="1"/>
      <c r="J32" s="1"/>
      <c r="K32" s="1"/>
      <c r="L32" s="1"/>
      <c r="M32" s="1"/>
      <c r="N32" s="1"/>
      <c r="O32" s="1"/>
      <c r="P32" s="1"/>
      <c r="Q32" s="1"/>
      <c r="R32" s="1"/>
    </row>
    <row r="34" spans="10:18" x14ac:dyDescent="0.2">
      <c r="J34" s="281"/>
      <c r="K34" s="281"/>
      <c r="L34" s="281"/>
      <c r="M34" s="281"/>
      <c r="N34" s="281"/>
      <c r="O34" s="281"/>
      <c r="P34" s="281"/>
      <c r="Q34" s="281"/>
      <c r="R34" s="281"/>
    </row>
    <row r="35" spans="10:18" x14ac:dyDescent="0.2">
      <c r="J35" s="281"/>
      <c r="K35" s="281"/>
      <c r="L35" s="281"/>
      <c r="M35" s="281"/>
      <c r="N35" s="281"/>
      <c r="O35" s="281"/>
      <c r="P35" s="281"/>
      <c r="Q35" s="281"/>
      <c r="R35" s="281"/>
    </row>
    <row r="36" spans="10:18" x14ac:dyDescent="0.2">
      <c r="J36" s="281"/>
      <c r="K36" s="281"/>
      <c r="L36" s="281"/>
      <c r="M36" s="281"/>
      <c r="N36" s="281"/>
      <c r="O36" s="281"/>
      <c r="P36" s="281"/>
      <c r="Q36" s="281"/>
      <c r="R36" s="281"/>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2.75" x14ac:dyDescent="0.2"/>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6.25" x14ac:dyDescent="0.3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t="str">
        <f>Time!E$11</f>
        <v>Model column counter</v>
      </c>
      <c r="F5" s="5" t="s">
        <v>132</v>
      </c>
      <c r="G5" s="5" t="s">
        <v>133</v>
      </c>
      <c r="H5" s="5" t="s">
        <v>134</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
      <c r="A7" s="5" t="s">
        <v>429</v>
      </c>
    </row>
    <row r="9" spans="1:26" x14ac:dyDescent="0.2">
      <c r="E9" s="7" t="s">
        <v>430</v>
      </c>
      <c r="F9" s="29">
        <f>SUM(F11:F20)</f>
        <v>0</v>
      </c>
      <c r="G9" s="7" t="s">
        <v>431</v>
      </c>
    </row>
    <row r="11" spans="1:26" s="12" customFormat="1" x14ac:dyDescent="0.2">
      <c r="A11" s="15"/>
      <c r="B11" s="14"/>
      <c r="C11" s="14"/>
      <c r="D11" s="13"/>
      <c r="E11" s="12" t="s">
        <v>432</v>
      </c>
      <c r="F11" s="12" t="s">
        <v>433</v>
      </c>
    </row>
    <row r="13" spans="1:26" x14ac:dyDescent="0.2">
      <c r="E13" s="7" t="str">
        <f xml:space="preserve"> Time!E$78</f>
        <v>Modelling Period Check</v>
      </c>
      <c r="F13" s="33">
        <f xml:space="preserve"> Time!F$78</f>
        <v>0</v>
      </c>
      <c r="G13" s="7" t="str">
        <f xml:space="preserve"> Time!G$78</f>
        <v>check</v>
      </c>
    </row>
    <row r="14" spans="1:26" x14ac:dyDescent="0.2">
      <c r="E14" s="7" t="str">
        <f>'Calcs-WR'!E$165 &amp; "-WR"</f>
        <v>True-up correctly calculates revenue adjustment-WR</v>
      </c>
      <c r="F14" s="33">
        <f>'Calcs-WR'!F$165</f>
        <v>0</v>
      </c>
      <c r="G14" s="7" t="str">
        <f>'Calcs-WR'!G$165</f>
        <v>check</v>
      </c>
    </row>
    <row r="15" spans="1:26" x14ac:dyDescent="0.2">
      <c r="E15" s="7" t="str">
        <f>'Calcs-WN'!E$165 &amp; "-WN"</f>
        <v>True-up correctly calculates revenue adjustment-WN</v>
      </c>
      <c r="F15" s="33">
        <f>'Calcs-WN'!F$165</f>
        <v>0</v>
      </c>
      <c r="G15" s="7" t="str">
        <f>'Calcs-WN'!G$165</f>
        <v>check</v>
      </c>
    </row>
    <row r="16" spans="1:26" x14ac:dyDescent="0.2">
      <c r="E16" s="7" t="str">
        <f>'Calcs-WWN'!E$165 &amp; "-WWN"</f>
        <v>True-up correctly calculates revenue adjustment-WWN</v>
      </c>
      <c r="F16" s="33">
        <f>'Calcs-WWN'!F$165</f>
        <v>0</v>
      </c>
      <c r="G16" s="7" t="str">
        <f>'Calcs-WWN'!G$165</f>
        <v>check</v>
      </c>
    </row>
    <row r="17" spans="1:7" x14ac:dyDescent="0.2">
      <c r="E17" s="7" t="str">
        <f>'Calcs-BR'!E$165 &amp; "-BR"</f>
        <v>True-up correctly calculates revenue adjustment-BR</v>
      </c>
      <c r="F17" s="33">
        <f>'Calcs-BR'!F$165</f>
        <v>0</v>
      </c>
      <c r="G17" s="7" t="str">
        <f>'Calcs-BR'!G$165</f>
        <v>check</v>
      </c>
    </row>
    <row r="18" spans="1:7" x14ac:dyDescent="0.2">
      <c r="E18" s="7" t="str">
        <f>'Calcs-DMMY'!E$165 &amp; "-DMMY"</f>
        <v>True-up correctly calculates revenue adjustment-DMMY</v>
      </c>
      <c r="F18" s="33">
        <f>'Calcs-DMMY'!F$165</f>
        <v>0</v>
      </c>
      <c r="G18" s="7" t="str">
        <f>'Calcs-DMMY'!G$165</f>
        <v>check</v>
      </c>
    </row>
    <row r="20" spans="1:7" s="12" customFormat="1" x14ac:dyDescent="0.2">
      <c r="A20" s="15"/>
      <c r="B20" s="14"/>
      <c r="C20" s="14"/>
      <c r="D20" s="13"/>
      <c r="E20" s="12" t="s">
        <v>432</v>
      </c>
      <c r="F20" s="12" t="s">
        <v>434</v>
      </c>
    </row>
    <row r="22" spans="1:7" s="1" customFormat="1" x14ac:dyDescent="0.2">
      <c r="A22" s="10" t="s">
        <v>114</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75" zeroHeight="1" x14ac:dyDescent="0.2"/>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6.25" x14ac:dyDescent="0.35">
      <c r="A1" s="118" t="str">
        <f ca="1" xml:space="preserve"> RIGHT(CELL("filename", $A$1), LEN(CELL("filename", $A$1)) - SEARCH("]", CELL("filename", $A$1)))</f>
        <v>Style Guide</v>
      </c>
    </row>
    <row r="2" spans="1:9" x14ac:dyDescent="0.2"/>
    <row r="3" spans="1:9" x14ac:dyDescent="0.2"/>
    <row r="4" spans="1:9" x14ac:dyDescent="0.2">
      <c r="A4" s="139" t="s">
        <v>55</v>
      </c>
      <c r="B4" s="139"/>
      <c r="C4" s="140"/>
      <c r="D4" s="141"/>
      <c r="E4" s="139"/>
      <c r="F4" s="139"/>
      <c r="G4" s="139"/>
      <c r="H4" s="139"/>
      <c r="I4" s="139"/>
    </row>
    <row r="5" spans="1:9" x14ac:dyDescent="0.2">
      <c r="A5" s="5"/>
      <c r="B5" s="5"/>
      <c r="C5" s="9"/>
      <c r="D5" s="6"/>
      <c r="E5" s="7"/>
      <c r="F5" s="7"/>
      <c r="G5" s="7"/>
      <c r="H5" s="7"/>
      <c r="I5" s="7"/>
    </row>
    <row r="6" spans="1:9" x14ac:dyDescent="0.2">
      <c r="A6" s="5"/>
      <c r="B6" s="5"/>
      <c r="C6" s="9"/>
      <c r="D6" s="6"/>
      <c r="E6" s="142" t="s">
        <v>56</v>
      </c>
      <c r="F6" s="7"/>
      <c r="G6" s="7" t="s">
        <v>57</v>
      </c>
      <c r="H6" s="7"/>
      <c r="I6" s="7"/>
    </row>
    <row r="7" spans="1:9" x14ac:dyDescent="0.2">
      <c r="A7" s="5"/>
      <c r="B7" s="5"/>
      <c r="C7" s="9"/>
      <c r="D7" s="6"/>
      <c r="E7" s="143"/>
      <c r="F7" s="7"/>
      <c r="G7" s="7"/>
      <c r="H7" s="7"/>
      <c r="I7" s="7"/>
    </row>
    <row r="8" spans="1:9" x14ac:dyDescent="0.2">
      <c r="A8" s="5"/>
      <c r="B8" s="5"/>
      <c r="C8" s="9"/>
      <c r="D8" s="6"/>
      <c r="E8" s="144" t="s">
        <v>58</v>
      </c>
      <c r="F8" s="7"/>
      <c r="G8" s="7" t="s">
        <v>59</v>
      </c>
      <c r="H8" s="7"/>
      <c r="I8" s="7"/>
    </row>
    <row r="9" spans="1:9" x14ac:dyDescent="0.2">
      <c r="A9" s="5"/>
      <c r="B9" s="5"/>
      <c r="C9" s="9"/>
      <c r="D9" s="6"/>
      <c r="E9" s="143"/>
      <c r="F9" s="7"/>
      <c r="G9" s="7"/>
      <c r="H9" s="7"/>
      <c r="I9" s="7"/>
    </row>
    <row r="10" spans="1:9" x14ac:dyDescent="0.2">
      <c r="A10" s="5"/>
      <c r="B10" s="5"/>
      <c r="C10" s="9"/>
      <c r="D10" s="6"/>
      <c r="E10" s="145" t="s">
        <v>60</v>
      </c>
      <c r="F10" s="7"/>
      <c r="G10" s="7" t="s">
        <v>61</v>
      </c>
      <c r="H10" s="7"/>
      <c r="I10" s="7"/>
    </row>
    <row r="11" spans="1:9" x14ac:dyDescent="0.2">
      <c r="A11" s="5"/>
      <c r="B11" s="5"/>
      <c r="C11" s="9"/>
      <c r="D11" s="6"/>
      <c r="E11" s="143"/>
      <c r="F11" s="7"/>
      <c r="G11" s="7"/>
      <c r="H11" s="7"/>
      <c r="I11" s="7"/>
    </row>
    <row r="12" spans="1:9" x14ac:dyDescent="0.2">
      <c r="A12" s="5"/>
      <c r="B12" s="5"/>
      <c r="C12" s="9"/>
      <c r="D12" s="6"/>
      <c r="E12" s="146" t="s">
        <v>62</v>
      </c>
      <c r="F12" s="7"/>
      <c r="G12" s="7" t="s">
        <v>63</v>
      </c>
      <c r="H12" s="7"/>
      <c r="I12" s="7"/>
    </row>
    <row r="13" spans="1:9" x14ac:dyDescent="0.2">
      <c r="A13" s="5"/>
      <c r="B13" s="5"/>
      <c r="C13" s="9"/>
      <c r="D13" s="6"/>
      <c r="E13" s="143"/>
      <c r="F13" s="7"/>
      <c r="G13" s="7"/>
      <c r="H13" s="7"/>
      <c r="I13" s="7"/>
    </row>
    <row r="14" spans="1:9" x14ac:dyDescent="0.2">
      <c r="A14" s="5"/>
      <c r="B14" s="5"/>
      <c r="C14" s="9"/>
      <c r="D14" s="6"/>
      <c r="E14" s="147" t="s">
        <v>64</v>
      </c>
      <c r="F14" s="7"/>
      <c r="G14" s="7" t="s">
        <v>65</v>
      </c>
      <c r="H14" s="7"/>
      <c r="I14" s="7"/>
    </row>
    <row r="15" spans="1:9" x14ac:dyDescent="0.2">
      <c r="A15" s="5"/>
      <c r="B15" s="5"/>
      <c r="C15" s="9"/>
      <c r="D15" s="6"/>
      <c r="E15" s="7"/>
      <c r="F15" s="7"/>
      <c r="G15" s="7"/>
      <c r="H15" s="7"/>
      <c r="I15" s="7"/>
    </row>
    <row r="16" spans="1:9" x14ac:dyDescent="0.2">
      <c r="A16" s="5"/>
      <c r="B16" s="5"/>
      <c r="C16" s="9"/>
      <c r="D16" s="6"/>
      <c r="E16" s="7"/>
      <c r="F16" s="7"/>
      <c r="G16" s="7"/>
      <c r="H16" s="7"/>
      <c r="I16" s="7"/>
    </row>
    <row r="17" spans="1:9" x14ac:dyDescent="0.2">
      <c r="A17" s="139" t="s">
        <v>66</v>
      </c>
      <c r="B17" s="139"/>
      <c r="C17" s="140"/>
      <c r="D17" s="141"/>
      <c r="E17" s="139"/>
      <c r="F17" s="139"/>
      <c r="G17" s="139"/>
      <c r="H17" s="139"/>
      <c r="I17" s="139"/>
    </row>
    <row r="18" spans="1:9" x14ac:dyDescent="0.2">
      <c r="A18" s="5"/>
      <c r="B18" s="5"/>
      <c r="C18" s="9"/>
      <c r="D18" s="6"/>
      <c r="E18" s="7"/>
      <c r="F18" s="7"/>
      <c r="G18" s="7"/>
      <c r="H18" s="7"/>
      <c r="I18" s="7"/>
    </row>
    <row r="19" spans="1:9" x14ac:dyDescent="0.2">
      <c r="A19" s="5"/>
      <c r="B19" s="5" t="s">
        <v>67</v>
      </c>
      <c r="C19" s="9"/>
      <c r="D19" s="6"/>
      <c r="E19" s="7"/>
      <c r="F19" s="7"/>
      <c r="G19" s="7"/>
      <c r="H19" s="7"/>
      <c r="I19" s="7"/>
    </row>
    <row r="20" spans="1:9" x14ac:dyDescent="0.2">
      <c r="A20" s="5"/>
      <c r="B20" s="5"/>
      <c r="C20" s="9"/>
      <c r="D20" s="6"/>
      <c r="E20" s="37" t="s">
        <v>68</v>
      </c>
      <c r="F20" s="7"/>
      <c r="G20" s="7" t="s">
        <v>69</v>
      </c>
      <c r="H20" s="7"/>
      <c r="I20" s="7"/>
    </row>
    <row r="21" spans="1:9" x14ac:dyDescent="0.2">
      <c r="A21" s="5"/>
      <c r="B21" s="5"/>
      <c r="C21" s="9"/>
      <c r="D21" s="6"/>
      <c r="E21" s="7"/>
      <c r="F21" s="7"/>
      <c r="G21" s="7"/>
      <c r="H21" s="7"/>
      <c r="I21" s="7"/>
    </row>
    <row r="22" spans="1:9" x14ac:dyDescent="0.2">
      <c r="A22" s="5"/>
      <c r="B22" s="5"/>
      <c r="C22" s="9"/>
      <c r="D22" s="6"/>
      <c r="E22" s="2" t="s">
        <v>70</v>
      </c>
      <c r="F22" s="7"/>
      <c r="G22" s="7" t="s">
        <v>71</v>
      </c>
      <c r="H22" s="7"/>
      <c r="I22" s="7"/>
    </row>
    <row r="23" spans="1:9" x14ac:dyDescent="0.2">
      <c r="A23" s="5"/>
      <c r="B23" s="5"/>
      <c r="C23" s="9"/>
      <c r="D23" s="6"/>
      <c r="E23" s="7"/>
      <c r="F23" s="7"/>
      <c r="G23" s="7"/>
      <c r="H23" s="7"/>
      <c r="I23" s="7"/>
    </row>
    <row r="24" spans="1:9" x14ac:dyDescent="0.2">
      <c r="A24" s="5"/>
      <c r="B24" s="5"/>
      <c r="C24" s="9"/>
      <c r="D24" s="6"/>
      <c r="E24" s="7" t="s">
        <v>72</v>
      </c>
      <c r="F24" s="7"/>
      <c r="G24" s="7" t="s">
        <v>73</v>
      </c>
      <c r="H24" s="7"/>
      <c r="I24" s="7"/>
    </row>
    <row r="25" spans="1:9" x14ac:dyDescent="0.2">
      <c r="A25" s="5"/>
      <c r="B25" s="5"/>
      <c r="C25" s="9"/>
      <c r="D25" s="6"/>
      <c r="E25" s="7"/>
      <c r="F25" s="7"/>
      <c r="G25" s="7"/>
      <c r="H25" s="7"/>
      <c r="I25" s="7"/>
    </row>
    <row r="26" spans="1:9" x14ac:dyDescent="0.2">
      <c r="A26" s="5"/>
      <c r="B26" s="5" t="s">
        <v>74</v>
      </c>
      <c r="C26" s="9"/>
      <c r="D26" s="6"/>
      <c r="E26" s="7"/>
      <c r="F26" s="7"/>
      <c r="G26" s="7"/>
      <c r="H26" s="7"/>
      <c r="I26" s="7"/>
    </row>
    <row r="27" spans="1:9" x14ac:dyDescent="0.2">
      <c r="A27" s="5"/>
      <c r="B27" s="5"/>
      <c r="C27" s="9"/>
      <c r="D27" s="6"/>
      <c r="E27" s="148" t="s">
        <v>75</v>
      </c>
      <c r="F27" s="7"/>
      <c r="G27" s="7" t="s">
        <v>76</v>
      </c>
      <c r="H27" s="7"/>
      <c r="I27" s="7"/>
    </row>
    <row r="28" spans="1:9" x14ac:dyDescent="0.2">
      <c r="A28" s="5"/>
      <c r="B28" s="5"/>
      <c r="C28" s="9"/>
      <c r="D28" s="6"/>
      <c r="E28" s="7"/>
      <c r="F28" s="7"/>
      <c r="G28" s="7"/>
      <c r="H28" s="7"/>
      <c r="I28" s="7"/>
    </row>
    <row r="29" spans="1:9" x14ac:dyDescent="0.2">
      <c r="A29" s="5"/>
      <c r="B29" s="5"/>
      <c r="C29" s="9"/>
      <c r="D29" s="6"/>
      <c r="E29" s="149" t="s">
        <v>77</v>
      </c>
      <c r="F29" s="7"/>
      <c r="G29" s="7" t="s">
        <v>78</v>
      </c>
      <c r="H29" s="7"/>
      <c r="I29" s="7"/>
    </row>
    <row r="30" spans="1:9" x14ac:dyDescent="0.2">
      <c r="A30" s="5"/>
      <c r="B30" s="5"/>
      <c r="C30" s="9"/>
      <c r="D30" s="6"/>
      <c r="E30" s="7"/>
      <c r="F30" s="7"/>
      <c r="G30" s="7"/>
      <c r="H30" s="7"/>
      <c r="I30" s="7"/>
    </row>
    <row r="31" spans="1:9" x14ac:dyDescent="0.2">
      <c r="A31" s="5"/>
      <c r="B31" s="5"/>
      <c r="C31" s="9"/>
      <c r="D31" s="6"/>
      <c r="E31" s="150" t="s">
        <v>79</v>
      </c>
      <c r="F31" s="7"/>
      <c r="G31" s="7" t="s">
        <v>80</v>
      </c>
      <c r="H31" s="7"/>
      <c r="I31" s="7"/>
    </row>
    <row r="32" spans="1:9" x14ac:dyDescent="0.2">
      <c r="A32" s="5"/>
      <c r="B32" s="5"/>
      <c r="C32" s="9"/>
      <c r="D32" s="6"/>
      <c r="E32" s="7"/>
      <c r="F32" s="7"/>
      <c r="G32" s="7"/>
      <c r="H32" s="7"/>
      <c r="I32" s="7"/>
    </row>
    <row r="33" spans="1:9" x14ac:dyDescent="0.2">
      <c r="A33" s="5"/>
      <c r="B33" s="5"/>
      <c r="C33" s="9"/>
      <c r="D33" s="6"/>
      <c r="E33" s="149" t="s">
        <v>81</v>
      </c>
      <c r="F33" s="7"/>
      <c r="G33" s="7" t="s">
        <v>82</v>
      </c>
      <c r="H33" s="7"/>
      <c r="I33" s="7"/>
    </row>
    <row r="34" spans="1:9" x14ac:dyDescent="0.2">
      <c r="A34" s="5"/>
      <c r="B34" s="5"/>
      <c r="C34" s="9"/>
      <c r="D34" s="6"/>
      <c r="E34" s="7"/>
      <c r="F34" s="7"/>
      <c r="G34" s="7"/>
      <c r="H34" s="7"/>
      <c r="I34" s="7"/>
    </row>
    <row r="35" spans="1:9" x14ac:dyDescent="0.2">
      <c r="A35" s="5"/>
      <c r="B35" s="5" t="s">
        <v>83</v>
      </c>
      <c r="C35" s="9"/>
      <c r="D35" s="6"/>
      <c r="E35" s="7"/>
      <c r="F35" s="7"/>
      <c r="G35" s="7"/>
      <c r="H35" s="7"/>
      <c r="I35" s="7"/>
    </row>
    <row r="36" spans="1:9" x14ac:dyDescent="0.2">
      <c r="A36" s="5"/>
      <c r="B36" s="5"/>
      <c r="C36" s="9"/>
      <c r="D36" s="6"/>
      <c r="E36" s="151" t="s">
        <v>84</v>
      </c>
      <c r="F36" s="7"/>
      <c r="G36" s="7" t="s">
        <v>85</v>
      </c>
      <c r="H36" s="7"/>
      <c r="I36" s="7"/>
    </row>
    <row r="37" spans="1:9" x14ac:dyDescent="0.2">
      <c r="A37" s="5"/>
      <c r="B37" s="5"/>
      <c r="C37" s="9"/>
      <c r="D37" s="6"/>
      <c r="E37" s="7"/>
      <c r="F37" s="7"/>
      <c r="G37" s="7"/>
      <c r="H37" s="7"/>
      <c r="I37" s="7"/>
    </row>
    <row r="38" spans="1:9" x14ac:dyDescent="0.2">
      <c r="A38" s="5"/>
      <c r="B38" s="5"/>
      <c r="C38" s="9"/>
      <c r="D38" s="6"/>
      <c r="E38" s="3" t="s">
        <v>86</v>
      </c>
      <c r="F38" s="7"/>
      <c r="G38" s="7" t="s">
        <v>87</v>
      </c>
      <c r="H38" s="7"/>
      <c r="I38" s="7"/>
    </row>
    <row r="39" spans="1:9" x14ac:dyDescent="0.2">
      <c r="A39" s="5"/>
      <c r="B39" s="5"/>
      <c r="C39" s="9"/>
      <c r="D39" s="6"/>
      <c r="E39" s="7"/>
      <c r="F39" s="7"/>
      <c r="G39" s="7"/>
      <c r="H39" s="7"/>
      <c r="I39" s="7"/>
    </row>
    <row r="40" spans="1:9" x14ac:dyDescent="0.2">
      <c r="A40" s="5"/>
      <c r="B40" s="5"/>
      <c r="C40" s="9"/>
      <c r="D40" s="6"/>
      <c r="E40" s="152" t="s">
        <v>88</v>
      </c>
      <c r="F40" s="7"/>
      <c r="G40" s="7" t="s">
        <v>89</v>
      </c>
      <c r="H40" s="7"/>
      <c r="I40" s="7"/>
    </row>
    <row r="41" spans="1:9" x14ac:dyDescent="0.2">
      <c r="A41" s="5"/>
      <c r="B41" s="5"/>
      <c r="C41" s="9"/>
      <c r="D41" s="6"/>
      <c r="E41" s="7"/>
      <c r="F41" s="7"/>
      <c r="G41" s="7"/>
      <c r="H41" s="7"/>
      <c r="I41" s="7"/>
    </row>
    <row r="42" spans="1:9" x14ac:dyDescent="0.2">
      <c r="A42" s="5"/>
      <c r="B42" s="5"/>
      <c r="C42" s="9"/>
      <c r="D42" s="6"/>
      <c r="E42" s="8" t="s">
        <v>90</v>
      </c>
      <c r="F42" s="7"/>
      <c r="G42" s="7" t="s">
        <v>91</v>
      </c>
      <c r="H42" s="7"/>
      <c r="I42" s="7"/>
    </row>
    <row r="43" spans="1:9" x14ac:dyDescent="0.2">
      <c r="A43" s="5"/>
      <c r="B43" s="5"/>
      <c r="C43" s="9"/>
      <c r="D43" s="6"/>
      <c r="E43" s="7"/>
      <c r="F43" s="7"/>
      <c r="G43" s="7"/>
      <c r="H43" s="7"/>
      <c r="I43" s="7"/>
    </row>
    <row r="44" spans="1:9" x14ac:dyDescent="0.2">
      <c r="A44" s="5"/>
      <c r="B44" s="5"/>
      <c r="C44" s="9"/>
      <c r="D44" s="6"/>
      <c r="E44" s="153" t="s">
        <v>92</v>
      </c>
      <c r="F44" s="7"/>
      <c r="G44" s="7" t="s">
        <v>93</v>
      </c>
      <c r="H44" s="7"/>
      <c r="I44" s="7"/>
    </row>
    <row r="45" spans="1:9" x14ac:dyDescent="0.2">
      <c r="A45" s="5"/>
      <c r="B45" s="5"/>
      <c r="C45" s="9"/>
      <c r="D45" s="6"/>
      <c r="E45" s="7"/>
      <c r="F45" s="7"/>
      <c r="G45" s="7"/>
      <c r="H45" s="7"/>
      <c r="I45" s="7"/>
    </row>
    <row r="46" spans="1:9" x14ac:dyDescent="0.2">
      <c r="A46" s="5"/>
      <c r="B46" s="5" t="s">
        <v>94</v>
      </c>
      <c r="C46" s="9"/>
      <c r="D46" s="6"/>
      <c r="E46" s="7"/>
      <c r="F46" s="7"/>
      <c r="G46" s="7"/>
      <c r="H46" s="7"/>
      <c r="I46" s="7"/>
    </row>
    <row r="47" spans="1:9" x14ac:dyDescent="0.2">
      <c r="A47" s="5"/>
      <c r="B47" s="5"/>
      <c r="C47" s="9"/>
      <c r="D47" s="6"/>
      <c r="E47" s="154" t="s">
        <v>95</v>
      </c>
      <c r="F47" s="7"/>
      <c r="G47" s="7" t="s">
        <v>96</v>
      </c>
      <c r="H47" s="7"/>
      <c r="I47" s="7"/>
    </row>
    <row r="48" spans="1:9" x14ac:dyDescent="0.2">
      <c r="A48" s="5"/>
      <c r="B48" s="5"/>
      <c r="C48" s="9"/>
      <c r="D48" s="6"/>
      <c r="E48" s="7"/>
      <c r="F48" s="7"/>
      <c r="G48" s="7"/>
      <c r="H48" s="7"/>
      <c r="I48" s="7"/>
    </row>
    <row r="49" spans="1:9" x14ac:dyDescent="0.2">
      <c r="A49" s="5"/>
      <c r="B49" s="5"/>
      <c r="C49" s="9"/>
      <c r="D49" s="6"/>
      <c r="E49" s="155" t="s">
        <v>97</v>
      </c>
      <c r="F49" s="7"/>
      <c r="G49" s="7" t="s">
        <v>98</v>
      </c>
      <c r="H49" s="7"/>
      <c r="I49" s="7"/>
    </row>
    <row r="50" spans="1:9" x14ac:dyDescent="0.2">
      <c r="A50" s="5"/>
      <c r="B50" s="5"/>
      <c r="C50" s="9"/>
      <c r="D50" s="6"/>
      <c r="E50" s="7"/>
      <c r="F50" s="7"/>
      <c r="G50" s="7"/>
      <c r="H50" s="7"/>
      <c r="I50" s="7"/>
    </row>
    <row r="51" spans="1:9" x14ac:dyDescent="0.2">
      <c r="A51" s="5"/>
      <c r="B51" s="5"/>
      <c r="C51" s="9"/>
      <c r="D51" s="6"/>
      <c r="E51" s="156" t="s">
        <v>99</v>
      </c>
      <c r="F51" s="7"/>
      <c r="G51" s="7" t="s">
        <v>100</v>
      </c>
      <c r="H51" s="7"/>
      <c r="I51" s="7"/>
    </row>
    <row r="52" spans="1:9" x14ac:dyDescent="0.2">
      <c r="A52" s="5"/>
      <c r="B52" s="5"/>
      <c r="C52" s="9"/>
      <c r="D52" s="6"/>
      <c r="E52" s="7"/>
      <c r="F52" s="7"/>
      <c r="G52" s="7"/>
      <c r="H52" s="7"/>
      <c r="I52" s="7"/>
    </row>
    <row r="53" spans="1:9" x14ac:dyDescent="0.2">
      <c r="A53" s="5"/>
      <c r="B53" s="5"/>
      <c r="C53" s="9"/>
      <c r="D53" s="7"/>
      <c r="E53" s="7"/>
      <c r="F53" s="7"/>
      <c r="G53" s="7"/>
      <c r="H53" s="7"/>
      <c r="I53" s="7"/>
    </row>
    <row r="54" spans="1:9" x14ac:dyDescent="0.2">
      <c r="A54" s="139" t="s">
        <v>101</v>
      </c>
      <c r="B54" s="139"/>
      <c r="C54" s="140"/>
      <c r="D54" s="141"/>
      <c r="E54" s="139"/>
      <c r="F54" s="139"/>
      <c r="G54" s="139"/>
      <c r="H54" s="139"/>
      <c r="I54" s="139"/>
    </row>
    <row r="55" spans="1:9" x14ac:dyDescent="0.2">
      <c r="A55" s="5"/>
      <c r="B55" s="5"/>
      <c r="C55" s="9"/>
      <c r="D55" s="6"/>
      <c r="E55" s="7"/>
      <c r="F55" s="7"/>
      <c r="G55" s="7"/>
      <c r="H55" s="7"/>
      <c r="I55" s="7"/>
    </row>
    <row r="56" spans="1:9" x14ac:dyDescent="0.2">
      <c r="A56" s="5"/>
      <c r="B56" s="5"/>
      <c r="C56" s="9"/>
      <c r="D56" s="6"/>
      <c r="E56" s="7" t="s">
        <v>102</v>
      </c>
      <c r="F56" s="7"/>
      <c r="G56" s="7" t="s">
        <v>103</v>
      </c>
      <c r="H56" s="7"/>
      <c r="I56" s="7"/>
    </row>
    <row r="57" spans="1:9" x14ac:dyDescent="0.2">
      <c r="A57" s="5"/>
      <c r="B57" s="5"/>
      <c r="C57" s="9"/>
      <c r="D57" s="6"/>
      <c r="E57" s="7" t="s">
        <v>104</v>
      </c>
      <c r="F57" s="7"/>
      <c r="G57" s="7" t="s">
        <v>105</v>
      </c>
      <c r="H57" s="7"/>
      <c r="I57" s="7"/>
    </row>
    <row r="58" spans="1:9" x14ac:dyDescent="0.2">
      <c r="A58" s="5"/>
      <c r="B58" s="5"/>
      <c r="C58" s="9"/>
      <c r="D58" s="6"/>
      <c r="E58" s="7" t="s">
        <v>106</v>
      </c>
      <c r="F58" s="7"/>
      <c r="G58" s="7" t="s">
        <v>107</v>
      </c>
      <c r="H58" s="7"/>
      <c r="I58" s="7"/>
    </row>
    <row r="59" spans="1:9" x14ac:dyDescent="0.2">
      <c r="A59" s="5"/>
      <c r="B59" s="5"/>
      <c r="C59" s="9"/>
      <c r="D59" s="6"/>
      <c r="E59" s="7" t="s">
        <v>108</v>
      </c>
      <c r="F59" s="7"/>
      <c r="G59" s="7" t="s">
        <v>109</v>
      </c>
      <c r="H59" s="7"/>
      <c r="I59" s="7"/>
    </row>
    <row r="60" spans="1:9" x14ac:dyDescent="0.2">
      <c r="A60" s="5"/>
      <c r="B60" s="5"/>
      <c r="C60" s="9"/>
      <c r="D60" s="6"/>
      <c r="E60" s="7" t="s">
        <v>110</v>
      </c>
      <c r="F60" s="7"/>
      <c r="G60" s="7" t="s">
        <v>111</v>
      </c>
      <c r="H60" s="7"/>
      <c r="I60" s="7"/>
    </row>
    <row r="61" spans="1:9" x14ac:dyDescent="0.2">
      <c r="A61" s="5"/>
      <c r="B61" s="5"/>
      <c r="C61" s="9"/>
      <c r="D61" s="6"/>
      <c r="E61" s="7" t="s">
        <v>112</v>
      </c>
      <c r="F61" s="7"/>
      <c r="G61" s="7" t="s">
        <v>113</v>
      </c>
      <c r="H61" s="7"/>
      <c r="I61" s="7"/>
    </row>
    <row r="62" spans="1:9" x14ac:dyDescent="0.2">
      <c r="A62" s="5"/>
      <c r="B62" s="5"/>
      <c r="C62" s="9"/>
      <c r="D62" s="6"/>
      <c r="E62" s="7"/>
      <c r="F62" s="7"/>
      <c r="G62" s="7"/>
      <c r="H62" s="7"/>
      <c r="I62" s="7"/>
    </row>
    <row r="63" spans="1:9" x14ac:dyDescent="0.2">
      <c r="A63" s="5"/>
      <c r="B63" s="5"/>
      <c r="C63" s="9"/>
      <c r="D63" s="6"/>
      <c r="E63" s="7"/>
      <c r="F63" s="7"/>
      <c r="G63" s="7"/>
      <c r="H63" s="7"/>
      <c r="I63" s="7"/>
    </row>
    <row r="64" spans="1:9" s="1" customFormat="1" x14ac:dyDescent="0.2">
      <c r="A64" s="10" t="s">
        <v>114</v>
      </c>
    </row>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75" zeroHeight="1" x14ac:dyDescent="0.2"/>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6.25" x14ac:dyDescent="0.35">
      <c r="A1" s="118" t="str">
        <f ca="1" xml:space="preserve"> RIGHT(CELL("filename", $A$1), LEN(CELL("filename", $A$1)) - SEARCH("]", CELL("filename", $A$1)))</f>
        <v>ToC</v>
      </c>
      <c r="B1" s="122"/>
      <c r="C1" s="122"/>
      <c r="D1" s="122"/>
      <c r="E1" s="122"/>
      <c r="F1" s="122"/>
      <c r="G1" s="122"/>
      <c r="H1" s="122"/>
      <c r="I1" s="122"/>
      <c r="J1" s="122"/>
      <c r="K1" s="122"/>
    </row>
    <row r="2" spans="1:11" x14ac:dyDescent="0.2"/>
    <row r="3" spans="1:11" x14ac:dyDescent="0.2">
      <c r="B3" t="s">
        <v>115</v>
      </c>
      <c r="D3" t="s">
        <v>116</v>
      </c>
      <c r="F3" t="s">
        <v>117</v>
      </c>
      <c r="H3" t="s">
        <v>118</v>
      </c>
    </row>
    <row r="4" spans="1:11" x14ac:dyDescent="0.2"/>
    <row r="5" spans="1:11" x14ac:dyDescent="0.2">
      <c r="B5" s="104" t="str">
        <f ca="1">Cover!$A$1</f>
        <v>Cover</v>
      </c>
      <c r="D5" s="104" t="str">
        <f ca="1">Time!A$1</f>
        <v>Time</v>
      </c>
      <c r="F5" s="264" t="str">
        <f ca="1">Adjustments!$A$1</f>
        <v>Adjustments</v>
      </c>
      <c r="H5" s="105" t="str">
        <f ca="1">Checks!$A$1</f>
        <v>Checks</v>
      </c>
    </row>
    <row r="6" spans="1:11" x14ac:dyDescent="0.2">
      <c r="B6" t="s">
        <v>119</v>
      </c>
      <c r="D6" t="s">
        <v>120</v>
      </c>
      <c r="F6" t="s">
        <v>121</v>
      </c>
      <c r="H6" t="s">
        <v>103</v>
      </c>
    </row>
    <row r="7" spans="1:11" x14ac:dyDescent="0.2">
      <c r="D7" s="37"/>
    </row>
    <row r="8" spans="1:11" x14ac:dyDescent="0.2">
      <c r="B8" s="104" t="str">
        <f ca="1">'Style Guide'!$A$1</f>
        <v>Style Guide</v>
      </c>
      <c r="D8" s="104" t="str">
        <f ca="1">Index!$A$1</f>
        <v>Index</v>
      </c>
    </row>
    <row r="9" spans="1:11" x14ac:dyDescent="0.2">
      <c r="B9" t="s">
        <v>122</v>
      </c>
      <c r="D9" t="s">
        <v>123</v>
      </c>
    </row>
    <row r="10" spans="1:11" x14ac:dyDescent="0.2"/>
    <row r="11" spans="1:11" x14ac:dyDescent="0.2">
      <c r="B11" s="106" t="str">
        <f ca="1">$A$1</f>
        <v>ToC</v>
      </c>
      <c r="D11" s="104" t="str">
        <f ca="1">'Calcs-WR'!$A$1</f>
        <v>Calcs-WR</v>
      </c>
    </row>
    <row r="12" spans="1:11" x14ac:dyDescent="0.2">
      <c r="B12" t="s">
        <v>124</v>
      </c>
      <c r="D12" t="s">
        <v>125</v>
      </c>
    </row>
    <row r="13" spans="1:11" x14ac:dyDescent="0.2"/>
    <row r="14" spans="1:11" x14ac:dyDescent="0.2">
      <c r="B14" s="103" t="str">
        <f ca="1">InpR!$A$1</f>
        <v>InpR</v>
      </c>
      <c r="D14" s="104" t="str">
        <f ca="1">'Calcs-WN'!$A$1</f>
        <v>Calcs-WN</v>
      </c>
    </row>
    <row r="15" spans="1:11" x14ac:dyDescent="0.2">
      <c r="B15" t="s">
        <v>126</v>
      </c>
      <c r="D15" t="s">
        <v>127</v>
      </c>
    </row>
    <row r="16" spans="1:11" x14ac:dyDescent="0.2"/>
    <row r="17" spans="1:4" x14ac:dyDescent="0.2">
      <c r="D17" s="104" t="str">
        <f ca="1">'Calcs-WWN'!$A$1</f>
        <v>Calcs-WWN</v>
      </c>
    </row>
    <row r="18" spans="1:4" x14ac:dyDescent="0.2">
      <c r="D18" t="s">
        <v>128</v>
      </c>
    </row>
    <row r="19" spans="1:4" x14ac:dyDescent="0.2"/>
    <row r="20" spans="1:4" x14ac:dyDescent="0.2">
      <c r="D20" s="104" t="str">
        <f ca="1">'Calcs-BR'!$A$1</f>
        <v>Calcs-BR</v>
      </c>
    </row>
    <row r="21" spans="1:4" x14ac:dyDescent="0.2">
      <c r="D21" t="s">
        <v>129</v>
      </c>
    </row>
    <row r="22" spans="1:4" x14ac:dyDescent="0.2"/>
    <row r="23" spans="1:4" x14ac:dyDescent="0.2">
      <c r="D23" s="104" t="str">
        <f ca="1">'Calcs-DMMY'!$A$1</f>
        <v>Calcs-DMMY</v>
      </c>
    </row>
    <row r="24" spans="1:4" x14ac:dyDescent="0.2">
      <c r="D24" t="s">
        <v>130</v>
      </c>
    </row>
    <row r="25" spans="1:4" x14ac:dyDescent="0.2"/>
    <row r="26" spans="1:4" x14ac:dyDescent="0.2"/>
    <row r="27" spans="1:4" x14ac:dyDescent="0.2"/>
    <row r="28" spans="1:4" x14ac:dyDescent="0.2"/>
    <row r="29" spans="1:4" s="1" customFormat="1" x14ac:dyDescent="0.2">
      <c r="A29" s="10" t="s">
        <v>114</v>
      </c>
    </row>
    <row r="30" spans="1:4"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tabSelected="1" zoomScaleNormal="100" workbookViewId="0">
      <pane xSplit="9" ySplit="7" topLeftCell="J104" activePane="bottomRight" state="frozen"/>
      <selection pane="topRight"/>
      <selection pane="bottomLeft"/>
      <selection pane="bottomRight" activeCell="O338" sqref="O338"/>
    </sheetView>
  </sheetViews>
  <sheetFormatPr defaultColWidth="0" defaultRowHeight="12.75" zeroHeight="1" x14ac:dyDescent="0.2"/>
  <cols>
    <col min="1" max="1" width="1.42578125" style="5" customWidth="1"/>
    <col min="2" max="2" width="1.42578125" style="9" customWidth="1"/>
    <col min="3" max="3" width="1.42578125" style="117" customWidth="1"/>
    <col min="4" max="4" width="1.42578125" style="6" customWidth="1"/>
    <col min="5" max="5" width="54.5703125" style="7" bestFit="1" customWidth="1"/>
    <col min="6" max="6" width="11.42578125" style="7" customWidth="1"/>
    <col min="7" max="7" width="9.5703125" style="7" bestFit="1" customWidth="1"/>
    <col min="8" max="8" width="5" style="7" bestFit="1" customWidth="1"/>
    <col min="9" max="9" width="52.7109375" style="7" customWidth="1"/>
    <col min="10" max="17" width="9.85546875" style="7" bestFit="1" customWidth="1"/>
    <col min="18" max="18" width="10.42578125" style="7" bestFit="1" customWidth="1"/>
    <col min="19" max="82" width="11.5703125" style="7" hidden="1" customWidth="1"/>
    <col min="83" max="109" width="0" style="7" hidden="1" customWidth="1"/>
    <col min="110" max="16384" width="9.140625" style="7" hidden="1"/>
  </cols>
  <sheetData>
    <row r="1" spans="1:82" s="122" customFormat="1" ht="26.25" x14ac:dyDescent="0.35">
      <c r="A1" s="118" t="str">
        <f ca="1" xml:space="preserve"> RIGHT(CELL("filename", $A$1), LEN(CELL("filename", $A$1)) - SEARCH("]", CELL("filename", $A$1)))</f>
        <v>InpR</v>
      </c>
      <c r="C1" s="132"/>
    </row>
    <row r="2" spans="1:82" s="26" customFormat="1" x14ac:dyDescent="0.2">
      <c r="A2" s="62"/>
      <c r="B2" s="58"/>
      <c r="C2" s="113"/>
      <c r="D2" s="52"/>
      <c r="E2" s="26" t="str">
        <f>Time!E$22</f>
        <v>Model Period BEG</v>
      </c>
      <c r="F2" s="29">
        <v>0</v>
      </c>
      <c r="G2" s="7" t="s">
        <v>131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
      <c r="A4" s="48"/>
      <c r="B4" s="59"/>
      <c r="C4" s="114"/>
      <c r="D4" s="53"/>
      <c r="E4" s="26"/>
      <c r="F4" s="21"/>
      <c r="G4" s="226"/>
      <c r="H4" s="26"/>
      <c r="I4" s="26"/>
      <c r="J4" s="26" t="str">
        <f>Time!J$59</f>
        <v>Pre Fcst</v>
      </c>
      <c r="K4" s="26" t="s">
        <v>435</v>
      </c>
      <c r="L4" s="26" t="s">
        <v>435</v>
      </c>
      <c r="M4" s="26" t="s">
        <v>436</v>
      </c>
      <c r="N4" s="26" t="s">
        <v>436</v>
      </c>
      <c r="O4" s="26" t="s">
        <v>436</v>
      </c>
      <c r="P4" s="26" t="s">
        <v>436</v>
      </c>
      <c r="Q4" s="26" t="s">
        <v>436</v>
      </c>
      <c r="R4" s="26" t="s">
        <v>437</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
      <c r="A7" s="48"/>
      <c r="B7" s="59"/>
      <c r="C7" s="114"/>
      <c r="D7" s="53"/>
      <c r="E7" s="9"/>
      <c r="F7" s="5" t="s">
        <v>132</v>
      </c>
      <c r="G7" s="5" t="s">
        <v>133</v>
      </c>
      <c r="H7" s="5" t="s">
        <v>134</v>
      </c>
      <c r="I7" s="5" t="s">
        <v>135</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
      <c r="A8" s="50"/>
      <c r="B8" s="61"/>
      <c r="C8" s="116"/>
      <c r="D8" s="55"/>
    </row>
    <row r="9" spans="1:82" x14ac:dyDescent="0.2">
      <c r="A9" s="285" t="s">
        <v>136</v>
      </c>
      <c r="B9" s="286"/>
      <c r="C9" s="287"/>
      <c r="D9" s="287"/>
      <c r="E9" s="287"/>
      <c r="F9" s="287"/>
      <c r="G9" s="287"/>
      <c r="H9" s="287"/>
      <c r="I9" s="287"/>
      <c r="J9" s="287"/>
      <c r="K9" s="287"/>
      <c r="L9" s="287"/>
      <c r="M9" s="287"/>
      <c r="N9" s="287"/>
      <c r="O9" s="287"/>
      <c r="P9" s="287"/>
      <c r="Q9" s="287"/>
      <c r="R9" s="287"/>
    </row>
    <row r="10" spans="1:82" x14ac:dyDescent="0.2">
      <c r="C10" s="9"/>
      <c r="E10" s="91"/>
    </row>
    <row r="11" spans="1:82" x14ac:dyDescent="0.2">
      <c r="C11" s="9"/>
      <c r="E11" s="91" t="s">
        <v>137</v>
      </c>
      <c r="F11" s="16">
        <v>42826</v>
      </c>
      <c r="G11" s="25" t="s">
        <v>138</v>
      </c>
    </row>
    <row r="12" spans="1:82" x14ac:dyDescent="0.2">
      <c r="C12" s="9"/>
      <c r="E12" s="91"/>
      <c r="F12" s="17"/>
    </row>
    <row r="13" spans="1:82" x14ac:dyDescent="0.2">
      <c r="C13" s="9"/>
      <c r="E13" s="91" t="s">
        <v>139</v>
      </c>
      <c r="F13" s="16">
        <v>43921</v>
      </c>
      <c r="G13" s="25" t="s">
        <v>138</v>
      </c>
    </row>
    <row r="14" spans="1:82" x14ac:dyDescent="0.2">
      <c r="C14" s="9"/>
      <c r="E14" s="92"/>
      <c r="F14" s="17"/>
      <c r="G14" s="18"/>
    </row>
    <row r="15" spans="1:82" x14ac:dyDescent="0.2">
      <c r="C15" s="9"/>
      <c r="E15" s="91" t="s">
        <v>140</v>
      </c>
      <c r="F15" s="16">
        <v>43921</v>
      </c>
      <c r="G15" s="25" t="s">
        <v>138</v>
      </c>
    </row>
    <row r="16" spans="1:82" x14ac:dyDescent="0.2">
      <c r="A16" s="24"/>
      <c r="B16" s="23"/>
      <c r="C16" s="23"/>
      <c r="D16" s="22"/>
      <c r="E16" s="92" t="s">
        <v>141</v>
      </c>
      <c r="F16" s="19">
        <v>5</v>
      </c>
      <c r="G16" s="20" t="s">
        <v>142</v>
      </c>
    </row>
    <row r="17" spans="1:19" x14ac:dyDescent="0.2">
      <c r="C17" s="9"/>
      <c r="E17" s="92" t="s">
        <v>143</v>
      </c>
      <c r="F17" s="17">
        <f>DATE(YEAR(F15)+F16,MONTH(F15),DAY(F15))</f>
        <v>45747</v>
      </c>
      <c r="G17" s="18" t="s">
        <v>138</v>
      </c>
    </row>
    <row r="18" spans="1:19" x14ac:dyDescent="0.2">
      <c r="C18" s="9"/>
      <c r="E18" s="91"/>
      <c r="F18" s="17"/>
    </row>
    <row r="19" spans="1:19" x14ac:dyDescent="0.2">
      <c r="C19" s="9"/>
      <c r="E19" s="91"/>
      <c r="F19" s="17"/>
    </row>
    <row r="20" spans="1:19" x14ac:dyDescent="0.2">
      <c r="C20" s="9"/>
      <c r="E20" s="91" t="s">
        <v>144</v>
      </c>
      <c r="F20" s="16">
        <v>44286</v>
      </c>
      <c r="G20" s="7" t="s">
        <v>138</v>
      </c>
    </row>
    <row r="21" spans="1:19" x14ac:dyDescent="0.2">
      <c r="C21" s="9"/>
      <c r="E21" s="91" t="s">
        <v>145</v>
      </c>
      <c r="F21" s="16">
        <v>45747</v>
      </c>
      <c r="G21" s="7" t="s">
        <v>138</v>
      </c>
    </row>
    <row r="22" spans="1:19" x14ac:dyDescent="0.2">
      <c r="C22" s="9"/>
      <c r="E22" s="91" t="s">
        <v>146</v>
      </c>
      <c r="F22" s="44">
        <v>2018</v>
      </c>
      <c r="G22" s="7" t="s">
        <v>147</v>
      </c>
    </row>
    <row r="23" spans="1:19" x14ac:dyDescent="0.2">
      <c r="C23" s="9"/>
      <c r="E23" s="91" t="s">
        <v>148</v>
      </c>
      <c r="F23" s="19">
        <v>3</v>
      </c>
      <c r="G23" s="7" t="s">
        <v>149</v>
      </c>
    </row>
    <row r="24" spans="1:19" x14ac:dyDescent="0.2">
      <c r="A24" s="50"/>
      <c r="B24" s="61"/>
      <c r="C24" s="116"/>
      <c r="D24" s="55"/>
    </row>
    <row r="25" spans="1:19" x14ac:dyDescent="0.2">
      <c r="A25" s="285" t="s">
        <v>150</v>
      </c>
      <c r="B25" s="286"/>
      <c r="C25" s="287"/>
      <c r="D25" s="287"/>
      <c r="E25" s="287"/>
      <c r="F25" s="287"/>
      <c r="G25" s="287"/>
      <c r="H25" s="287"/>
      <c r="I25" s="287"/>
      <c r="J25" s="287"/>
      <c r="K25" s="287"/>
      <c r="L25" s="287"/>
      <c r="M25" s="287"/>
      <c r="N25" s="287"/>
      <c r="O25" s="287"/>
      <c r="P25" s="287"/>
      <c r="Q25" s="287"/>
      <c r="R25" s="287"/>
    </row>
    <row r="26" spans="1:19" x14ac:dyDescent="0.2">
      <c r="A26" s="50"/>
      <c r="B26" s="61" t="s">
        <v>151</v>
      </c>
      <c r="C26" s="116"/>
      <c r="D26" s="55"/>
    </row>
    <row r="27" spans="1:19" x14ac:dyDescent="0.2">
      <c r="A27" s="50"/>
      <c r="B27" s="61"/>
      <c r="C27" s="116"/>
      <c r="D27" s="55"/>
      <c r="E27" s="91" t="s">
        <v>152</v>
      </c>
      <c r="G27" s="91" t="s">
        <v>153</v>
      </c>
      <c r="I27" s="6" t="s">
        <v>154</v>
      </c>
      <c r="J27" s="30"/>
      <c r="K27" s="228">
        <v>279.7</v>
      </c>
      <c r="L27" s="228">
        <v>288.2</v>
      </c>
      <c r="M27" s="228">
        <v>296.81994379694203</v>
      </c>
      <c r="N27" s="228">
        <v>305.32865399748601</v>
      </c>
      <c r="O27" s="228">
        <v>314.691934446201</v>
      </c>
      <c r="P27" s="228">
        <v>324.76207634847901</v>
      </c>
      <c r="Q27" s="228">
        <v>335.15446279163098</v>
      </c>
      <c r="R27" s="228"/>
      <c r="S27" s="229"/>
    </row>
    <row r="28" spans="1:19" x14ac:dyDescent="0.2">
      <c r="A28" s="50"/>
      <c r="B28" s="61"/>
      <c r="C28" s="116"/>
      <c r="D28" s="55"/>
      <c r="E28" s="91" t="s">
        <v>155</v>
      </c>
      <c r="G28" s="91" t="s">
        <v>153</v>
      </c>
      <c r="I28" s="6" t="s">
        <v>156</v>
      </c>
      <c r="J28" s="30"/>
      <c r="K28" s="228">
        <v>280.7</v>
      </c>
      <c r="L28" s="228">
        <v>289.2</v>
      </c>
      <c r="M28" s="228">
        <v>297.50379137925398</v>
      </c>
      <c r="N28" s="228">
        <v>306.08167682745898</v>
      </c>
      <c r="O28" s="228">
        <v>315.51905088813697</v>
      </c>
      <c r="P28" s="228">
        <v>325.61566051655802</v>
      </c>
      <c r="Q28" s="228">
        <v>336.03536165308702</v>
      </c>
      <c r="R28" s="228"/>
      <c r="S28" s="229"/>
    </row>
    <row r="29" spans="1:19" x14ac:dyDescent="0.2">
      <c r="A29" s="50"/>
      <c r="B29" s="61"/>
      <c r="C29" s="116"/>
      <c r="D29" s="55"/>
      <c r="E29" s="91" t="s">
        <v>157</v>
      </c>
      <c r="G29" s="91" t="s">
        <v>153</v>
      </c>
      <c r="I29" s="6" t="s">
        <v>158</v>
      </c>
      <c r="J29" s="30"/>
      <c r="K29" s="228">
        <v>281.5</v>
      </c>
      <c r="L29" s="228">
        <v>289.60000000000002</v>
      </c>
      <c r="M29" s="228">
        <v>298.18921448748898</v>
      </c>
      <c r="N29" s="228">
        <v>306.83655681487397</v>
      </c>
      <c r="O29" s="228">
        <v>316.34834127078699</v>
      </c>
      <c r="P29" s="228">
        <v>326.47148819145201</v>
      </c>
      <c r="Q29" s="228">
        <v>336.91857581357903</v>
      </c>
      <c r="R29" s="228"/>
      <c r="S29" s="229"/>
    </row>
    <row r="30" spans="1:19" x14ac:dyDescent="0.2">
      <c r="A30" s="50"/>
      <c r="B30" s="61"/>
      <c r="C30" s="116"/>
      <c r="D30" s="55"/>
      <c r="E30" s="91" t="s">
        <v>159</v>
      </c>
      <c r="G30" s="91" t="s">
        <v>153</v>
      </c>
      <c r="I30" s="6" t="s">
        <v>160</v>
      </c>
      <c r="J30" s="30"/>
      <c r="K30" s="228">
        <v>281.7</v>
      </c>
      <c r="L30" s="228">
        <v>289.5</v>
      </c>
      <c r="M30" s="228">
        <v>298.87621675152297</v>
      </c>
      <c r="N30" s="228">
        <v>307.593298539984</v>
      </c>
      <c r="O30" s="228">
        <v>317.17981130799899</v>
      </c>
      <c r="P30" s="228">
        <v>327.32956526985498</v>
      </c>
      <c r="Q30" s="228">
        <v>337.80411135849101</v>
      </c>
      <c r="R30" s="228"/>
      <c r="S30" s="229"/>
    </row>
    <row r="31" spans="1:19" x14ac:dyDescent="0.2">
      <c r="A31" s="50"/>
      <c r="B31" s="61"/>
      <c r="C31" s="116"/>
      <c r="D31" s="55"/>
      <c r="E31" s="91" t="s">
        <v>161</v>
      </c>
      <c r="G31" s="91" t="s">
        <v>153</v>
      </c>
      <c r="I31" s="6" t="s">
        <v>162</v>
      </c>
      <c r="J31" s="30"/>
      <c r="K31" s="228">
        <v>284.2</v>
      </c>
      <c r="L31" s="228">
        <v>291.5</v>
      </c>
      <c r="M31" s="228">
        <v>299.56480180959397</v>
      </c>
      <c r="N31" s="228">
        <v>308.35190659433698</v>
      </c>
      <c r="O31" s="228">
        <v>318.01346672864003</v>
      </c>
      <c r="P31" s="228">
        <v>328.18989766395703</v>
      </c>
      <c r="Q31" s="228">
        <v>338.69197438920298</v>
      </c>
      <c r="R31" s="228"/>
      <c r="S31" s="229"/>
    </row>
    <row r="32" spans="1:19" x14ac:dyDescent="0.2">
      <c r="A32" s="50"/>
      <c r="B32" s="61"/>
      <c r="C32" s="116"/>
      <c r="D32" s="55"/>
      <c r="E32" s="91" t="s">
        <v>163</v>
      </c>
      <c r="G32" s="91" t="s">
        <v>153</v>
      </c>
      <c r="I32" s="6" t="s">
        <v>164</v>
      </c>
      <c r="J32" s="30"/>
      <c r="K32" s="228">
        <v>284.10000000000002</v>
      </c>
      <c r="L32" s="228">
        <v>292.14789585630501</v>
      </c>
      <c r="M32" s="228">
        <v>300.254973308324</v>
      </c>
      <c r="N32" s="228">
        <v>309.11238558080299</v>
      </c>
      <c r="O32" s="228">
        <v>318.84931327663401</v>
      </c>
      <c r="P32" s="228">
        <v>329.05249130148701</v>
      </c>
      <c r="Q32" s="228">
        <v>339.58217102313398</v>
      </c>
      <c r="R32" s="228"/>
      <c r="S32" s="229"/>
    </row>
    <row r="33" spans="1:19" x14ac:dyDescent="0.2">
      <c r="A33" s="50"/>
      <c r="B33" s="61"/>
      <c r="C33" s="116"/>
      <c r="D33" s="55"/>
      <c r="E33" s="91" t="s">
        <v>165</v>
      </c>
      <c r="G33" s="91" t="s">
        <v>153</v>
      </c>
      <c r="I33" s="6" t="s">
        <v>166</v>
      </c>
      <c r="J33" s="30"/>
      <c r="K33" s="228">
        <v>284.5</v>
      </c>
      <c r="L33" s="228">
        <v>292.79723174362402</v>
      </c>
      <c r="M33" s="228">
        <v>300.94673490273601</v>
      </c>
      <c r="N33" s="228">
        <v>309.87474011360501</v>
      </c>
      <c r="O33" s="228">
        <v>319.687356711002</v>
      </c>
      <c r="P33" s="228">
        <v>329.91735212575401</v>
      </c>
      <c r="Q33" s="228">
        <v>340.474707393779</v>
      </c>
      <c r="R33" s="228"/>
      <c r="S33" s="229"/>
    </row>
    <row r="34" spans="1:19" x14ac:dyDescent="0.2">
      <c r="A34" s="50"/>
      <c r="B34" s="61"/>
      <c r="C34" s="116"/>
      <c r="D34" s="55"/>
      <c r="E34" s="91" t="s">
        <v>167</v>
      </c>
      <c r="G34" s="91" t="s">
        <v>153</v>
      </c>
      <c r="I34" s="6" t="s">
        <v>168</v>
      </c>
      <c r="J34" s="30"/>
      <c r="K34" s="228">
        <v>284.60000000000002</v>
      </c>
      <c r="L34" s="228">
        <v>293.44801086260998</v>
      </c>
      <c r="M34" s="228">
        <v>301.640090256272</v>
      </c>
      <c r="N34" s="228">
        <v>310.638974818348</v>
      </c>
      <c r="O34" s="228">
        <v>320.52760280590201</v>
      </c>
      <c r="P34" s="228">
        <v>330.78448609569102</v>
      </c>
      <c r="Q34" s="228">
        <v>341.36958965075303</v>
      </c>
      <c r="R34" s="228"/>
      <c r="S34" s="229"/>
    </row>
    <row r="35" spans="1:19" x14ac:dyDescent="0.2">
      <c r="A35" s="50"/>
      <c r="B35" s="61"/>
      <c r="C35" s="116"/>
      <c r="D35" s="55"/>
      <c r="E35" s="91" t="s">
        <v>169</v>
      </c>
      <c r="G35" s="91" t="s">
        <v>153</v>
      </c>
      <c r="I35" s="6" t="s">
        <v>170</v>
      </c>
      <c r="J35" s="30"/>
      <c r="K35" s="228">
        <v>285.60000000000002</v>
      </c>
      <c r="L35" s="228">
        <v>294.100236421028</v>
      </c>
      <c r="M35" s="228">
        <v>302.33504304081703</v>
      </c>
      <c r="N35" s="228">
        <v>311.40509433204198</v>
      </c>
      <c r="O35" s="228">
        <v>321.37005735066703</v>
      </c>
      <c r="P35" s="228">
        <v>331.65389918588897</v>
      </c>
      <c r="Q35" s="228">
        <v>342.26682395983698</v>
      </c>
      <c r="R35" s="228"/>
      <c r="S35" s="229"/>
    </row>
    <row r="36" spans="1:19" x14ac:dyDescent="0.2">
      <c r="A36" s="50"/>
      <c r="B36" s="61"/>
      <c r="C36" s="116"/>
      <c r="D36" s="55"/>
      <c r="E36" s="91" t="s">
        <v>171</v>
      </c>
      <c r="G36" s="91" t="s">
        <v>153</v>
      </c>
      <c r="I36" s="6" t="s">
        <v>172</v>
      </c>
      <c r="J36" s="30"/>
      <c r="K36" s="228">
        <v>283</v>
      </c>
      <c r="L36" s="228">
        <v>294.77781803182302</v>
      </c>
      <c r="M36" s="228">
        <v>303.08068281857697</v>
      </c>
      <c r="N36" s="228">
        <v>312.22357185062901</v>
      </c>
      <c r="O36" s="228">
        <v>322.21472614984901</v>
      </c>
      <c r="P36" s="228">
        <v>332.52559738664399</v>
      </c>
      <c r="Q36" s="228">
        <v>343.16641650301699</v>
      </c>
      <c r="R36" s="228"/>
      <c r="S36" s="229"/>
    </row>
    <row r="37" spans="1:19" x14ac:dyDescent="0.2">
      <c r="A37" s="50"/>
      <c r="B37" s="61"/>
      <c r="C37" s="116"/>
      <c r="D37" s="55"/>
      <c r="E37" s="91" t="s">
        <v>173</v>
      </c>
      <c r="G37" s="91" t="s">
        <v>153</v>
      </c>
      <c r="I37" s="6" t="s">
        <v>174</v>
      </c>
      <c r="J37" s="30"/>
      <c r="K37" s="228">
        <v>285</v>
      </c>
      <c r="L37" s="228">
        <v>295.45696073228203</v>
      </c>
      <c r="M37" s="228">
        <v>303.82816154518099</v>
      </c>
      <c r="N37" s="228">
        <v>313.04420060392698</v>
      </c>
      <c r="O37" s="228">
        <v>323.06161502325301</v>
      </c>
      <c r="P37" s="228">
        <v>333.39958670399699</v>
      </c>
      <c r="Q37" s="228">
        <v>344.06837347852502</v>
      </c>
      <c r="R37" s="228"/>
      <c r="S37" s="229"/>
    </row>
    <row r="38" spans="1:19" x14ac:dyDescent="0.2">
      <c r="A38" s="50"/>
      <c r="B38" s="61"/>
      <c r="C38" s="116"/>
      <c r="D38" s="55"/>
      <c r="E38" s="91" t="s">
        <v>175</v>
      </c>
      <c r="G38" s="91" t="s">
        <v>153</v>
      </c>
      <c r="I38" s="6" t="s">
        <v>176</v>
      </c>
      <c r="J38" s="30"/>
      <c r="K38" s="228">
        <v>285.10000000000002</v>
      </c>
      <c r="L38" s="228">
        <v>296.13766811902099</v>
      </c>
      <c r="M38" s="228">
        <v>304.57748375597498</v>
      </c>
      <c r="N38" s="228">
        <v>313.86698624610801</v>
      </c>
      <c r="O38" s="228">
        <v>323.91072980598301</v>
      </c>
      <c r="P38" s="228">
        <v>334.27587315977502</v>
      </c>
      <c r="Q38" s="228">
        <v>344.972701100888</v>
      </c>
      <c r="R38" s="228"/>
      <c r="S38" s="229"/>
    </row>
    <row r="39" spans="1:19" x14ac:dyDescent="0.2">
      <c r="A39" s="49"/>
      <c r="B39" s="61"/>
      <c r="C39" s="116"/>
      <c r="D39" s="57"/>
      <c r="E39" s="92"/>
      <c r="F39" s="92"/>
      <c r="G39" s="92"/>
      <c r="I39" s="167"/>
      <c r="K39" s="230"/>
      <c r="L39" s="230"/>
      <c r="M39" s="230"/>
      <c r="N39" s="230"/>
      <c r="O39" s="230"/>
      <c r="P39" s="230"/>
      <c r="Q39" s="230"/>
      <c r="R39" s="230"/>
    </row>
    <row r="40" spans="1:19" x14ac:dyDescent="0.2">
      <c r="A40" s="50"/>
      <c r="B40" s="61" t="s">
        <v>177</v>
      </c>
      <c r="C40" s="116"/>
      <c r="D40" s="55"/>
      <c r="I40" s="6"/>
    </row>
    <row r="41" spans="1:19" x14ac:dyDescent="0.2">
      <c r="A41" s="50"/>
      <c r="B41" s="61"/>
      <c r="C41" s="116"/>
      <c r="D41" s="55"/>
      <c r="E41" s="91" t="s">
        <v>178</v>
      </c>
      <c r="G41" s="91" t="s">
        <v>153</v>
      </c>
      <c r="I41" s="6" t="s">
        <v>179</v>
      </c>
      <c r="J41" s="228">
        <v>103.2</v>
      </c>
      <c r="K41" s="228">
        <v>105.5</v>
      </c>
      <c r="L41" s="228">
        <v>107.6</v>
      </c>
      <c r="M41" s="228">
        <v>109.703354739972</v>
      </c>
      <c r="N41" s="228">
        <v>111.897421834771</v>
      </c>
      <c r="O41" s="228">
        <v>114.172657229451</v>
      </c>
      <c r="P41" s="228">
        <v>116.57028303126999</v>
      </c>
      <c r="Q41" s="228">
        <v>119.01825897492699</v>
      </c>
      <c r="R41" s="228"/>
      <c r="S41" s="229"/>
    </row>
    <row r="42" spans="1:19" x14ac:dyDescent="0.2">
      <c r="A42" s="50"/>
      <c r="B42" s="61"/>
      <c r="C42" s="116"/>
      <c r="D42" s="55"/>
      <c r="E42" s="91" t="s">
        <v>180</v>
      </c>
      <c r="G42" s="91" t="s">
        <v>153</v>
      </c>
      <c r="I42" s="6" t="s">
        <v>181</v>
      </c>
      <c r="J42" s="228">
        <v>103.5</v>
      </c>
      <c r="K42" s="228">
        <v>105.9</v>
      </c>
      <c r="L42" s="228">
        <v>107.9</v>
      </c>
      <c r="M42" s="228">
        <v>109.884538749418</v>
      </c>
      <c r="N42" s="228">
        <v>112.082229524407</v>
      </c>
      <c r="O42" s="228">
        <v>114.370561696745</v>
      </c>
      <c r="P42" s="228">
        <v>116.772343492377</v>
      </c>
      <c r="Q42" s="228">
        <v>119.22456270571701</v>
      </c>
      <c r="R42" s="228"/>
      <c r="S42" s="229"/>
    </row>
    <row r="43" spans="1:19" x14ac:dyDescent="0.2">
      <c r="A43" s="50"/>
      <c r="B43" s="61"/>
      <c r="C43" s="116"/>
      <c r="D43" s="55"/>
      <c r="E43" s="91" t="s">
        <v>182</v>
      </c>
      <c r="G43" s="91" t="s">
        <v>153</v>
      </c>
      <c r="I43" s="6" t="s">
        <v>183</v>
      </c>
      <c r="J43" s="228">
        <v>103.5</v>
      </c>
      <c r="K43" s="228">
        <v>105.9</v>
      </c>
      <c r="L43" s="228">
        <v>107.9</v>
      </c>
      <c r="M43" s="228">
        <v>110.066021998987</v>
      </c>
      <c r="N43" s="228">
        <v>112.26734243896701</v>
      </c>
      <c r="O43" s="228">
        <v>114.568809207453</v>
      </c>
      <c r="P43" s="228">
        <v>116.97475420081</v>
      </c>
      <c r="Q43" s="228">
        <v>119.431224039027</v>
      </c>
      <c r="R43" s="228"/>
      <c r="S43" s="229"/>
    </row>
    <row r="44" spans="1:19" x14ac:dyDescent="0.2">
      <c r="A44" s="50"/>
      <c r="B44" s="61"/>
      <c r="C44" s="116"/>
      <c r="D44" s="55"/>
      <c r="E44" s="91" t="s">
        <v>184</v>
      </c>
      <c r="G44" s="91" t="s">
        <v>153</v>
      </c>
      <c r="I44" s="6" t="s">
        <v>185</v>
      </c>
      <c r="J44" s="228">
        <v>103.5</v>
      </c>
      <c r="K44" s="228">
        <v>105.9</v>
      </c>
      <c r="L44" s="228">
        <v>108</v>
      </c>
      <c r="M44" s="228">
        <v>110.24780498289699</v>
      </c>
      <c r="N44" s="228">
        <v>112.452761082555</v>
      </c>
      <c r="O44" s="228">
        <v>114.7674003562</v>
      </c>
      <c r="P44" s="228">
        <v>117.17751576368001</v>
      </c>
      <c r="Q44" s="228">
        <v>119.638243594717</v>
      </c>
      <c r="R44" s="228"/>
      <c r="S44" s="229"/>
    </row>
    <row r="45" spans="1:19" x14ac:dyDescent="0.2">
      <c r="A45" s="50"/>
      <c r="B45" s="61"/>
      <c r="C45" s="116"/>
      <c r="D45" s="55"/>
      <c r="E45" s="91" t="s">
        <v>186</v>
      </c>
      <c r="G45" s="91" t="s">
        <v>153</v>
      </c>
      <c r="I45" s="6" t="s">
        <v>187</v>
      </c>
      <c r="J45" s="228">
        <v>104</v>
      </c>
      <c r="K45" s="228">
        <v>106.5</v>
      </c>
      <c r="L45" s="228">
        <v>108.3</v>
      </c>
      <c r="M45" s="228">
        <v>110.429888196185</v>
      </c>
      <c r="N45" s="228">
        <v>112.638485960108</v>
      </c>
      <c r="O45" s="228">
        <v>114.96633573864</v>
      </c>
      <c r="P45" s="228">
        <v>117.380628789151</v>
      </c>
      <c r="Q45" s="228">
        <v>119.845621993724</v>
      </c>
      <c r="R45" s="228"/>
      <c r="S45" s="229"/>
    </row>
    <row r="46" spans="1:19" x14ac:dyDescent="0.2">
      <c r="A46" s="50"/>
      <c r="B46" s="61"/>
      <c r="C46" s="116"/>
      <c r="D46" s="55"/>
      <c r="E46" s="91" t="s">
        <v>188</v>
      </c>
      <c r="G46" s="91" t="s">
        <v>153</v>
      </c>
      <c r="I46" s="6" t="s">
        <v>189</v>
      </c>
      <c r="J46" s="228">
        <v>104.3</v>
      </c>
      <c r="K46" s="228">
        <v>106.6</v>
      </c>
      <c r="L46" s="228">
        <v>108.469999617629</v>
      </c>
      <c r="M46" s="228">
        <v>110.61227213470301</v>
      </c>
      <c r="N46" s="228">
        <v>112.824517577397</v>
      </c>
      <c r="O46" s="228">
        <v>115.16561595146101</v>
      </c>
      <c r="P46" s="228">
        <v>117.58409388644201</v>
      </c>
      <c r="Q46" s="228">
        <v>120.05335985805699</v>
      </c>
      <c r="R46" s="228"/>
      <c r="S46" s="229"/>
    </row>
    <row r="47" spans="1:19" x14ac:dyDescent="0.2">
      <c r="A47" s="50"/>
      <c r="B47" s="61"/>
      <c r="C47" s="116"/>
      <c r="D47" s="55"/>
      <c r="E47" s="91" t="s">
        <v>190</v>
      </c>
      <c r="G47" s="91" t="s">
        <v>153</v>
      </c>
      <c r="I47" s="6" t="s">
        <v>191</v>
      </c>
      <c r="J47" s="228">
        <v>104.4</v>
      </c>
      <c r="K47" s="228">
        <v>106.7</v>
      </c>
      <c r="L47" s="228">
        <v>108.64026608539599</v>
      </c>
      <c r="M47" s="228">
        <v>110.794957295123</v>
      </c>
      <c r="N47" s="228">
        <v>113.01085644102599</v>
      </c>
      <c r="O47" s="228">
        <v>115.365241592385</v>
      </c>
      <c r="P47" s="228">
        <v>117.78791166582501</v>
      </c>
      <c r="Q47" s="228">
        <v>120.261457810807</v>
      </c>
      <c r="R47" s="228"/>
      <c r="S47" s="229"/>
    </row>
    <row r="48" spans="1:19" x14ac:dyDescent="0.2">
      <c r="A48" s="50"/>
      <c r="B48" s="61"/>
      <c r="C48" s="116"/>
      <c r="D48" s="55"/>
      <c r="E48" s="91" t="s">
        <v>192</v>
      </c>
      <c r="G48" s="91" t="s">
        <v>153</v>
      </c>
      <c r="I48" s="6" t="s">
        <v>193</v>
      </c>
      <c r="J48" s="228">
        <v>104.7</v>
      </c>
      <c r="K48" s="228">
        <v>106.9</v>
      </c>
      <c r="L48" s="228">
        <v>108.81079982217901</v>
      </c>
      <c r="M48" s="228">
        <v>110.977944174939</v>
      </c>
      <c r="N48" s="228">
        <v>113.197503058438</v>
      </c>
      <c r="O48" s="228">
        <v>115.565213260169</v>
      </c>
      <c r="P48" s="228">
        <v>117.992082738633</v>
      </c>
      <c r="Q48" s="228">
        <v>120.46991647614399</v>
      </c>
      <c r="R48" s="228"/>
      <c r="S48" s="229"/>
    </row>
    <row r="49" spans="1:19" x14ac:dyDescent="0.2">
      <c r="A49" s="50"/>
      <c r="B49" s="61"/>
      <c r="C49" s="116"/>
      <c r="D49" s="55"/>
      <c r="E49" s="91" t="s">
        <v>194</v>
      </c>
      <c r="G49" s="91" t="s">
        <v>153</v>
      </c>
      <c r="I49" s="6" t="s">
        <v>195</v>
      </c>
      <c r="J49" s="228">
        <v>105</v>
      </c>
      <c r="K49" s="228">
        <v>107.1</v>
      </c>
      <c r="L49" s="228">
        <v>108.981601247513</v>
      </c>
      <c r="M49" s="228">
        <v>111.161233272464</v>
      </c>
      <c r="N49" s="228">
        <v>113.384457937913</v>
      </c>
      <c r="O49" s="228">
        <v>115.765531554609</v>
      </c>
      <c r="P49" s="228">
        <v>118.196607717256</v>
      </c>
      <c r="Q49" s="228">
        <v>120.678736479319</v>
      </c>
      <c r="R49" s="228"/>
      <c r="S49" s="229"/>
    </row>
    <row r="50" spans="1:19" x14ac:dyDescent="0.2">
      <c r="A50" s="50"/>
      <c r="B50" s="61"/>
      <c r="C50" s="116"/>
      <c r="D50" s="55"/>
      <c r="E50" s="91" t="s">
        <v>196</v>
      </c>
      <c r="G50" s="91" t="s">
        <v>153</v>
      </c>
      <c r="I50" s="6" t="s">
        <v>197</v>
      </c>
      <c r="J50" s="228">
        <v>104.5</v>
      </c>
      <c r="K50" s="228">
        <v>106.4</v>
      </c>
      <c r="L50" s="228">
        <v>109.161593222387</v>
      </c>
      <c r="M50" s="228">
        <v>111.344825086835</v>
      </c>
      <c r="N50" s="228">
        <v>113.580996157239</v>
      </c>
      <c r="O50" s="228">
        <v>115.96619707654099</v>
      </c>
      <c r="P50" s="228">
        <v>118.40148721514799</v>
      </c>
      <c r="Q50" s="228">
        <v>120.887918446667</v>
      </c>
      <c r="R50" s="228"/>
      <c r="S50" s="229"/>
    </row>
    <row r="51" spans="1:19" x14ac:dyDescent="0.2">
      <c r="A51" s="50"/>
      <c r="B51" s="61"/>
      <c r="C51" s="116"/>
      <c r="D51" s="55"/>
      <c r="E51" s="91" t="s">
        <v>198</v>
      </c>
      <c r="G51" s="91" t="s">
        <v>153</v>
      </c>
      <c r="I51" s="6" t="s">
        <v>199</v>
      </c>
      <c r="J51" s="228">
        <v>104.9</v>
      </c>
      <c r="K51" s="228">
        <v>106.8</v>
      </c>
      <c r="L51" s="228">
        <v>109.341882468641</v>
      </c>
      <c r="M51" s="228">
        <v>111.52872011801399</v>
      </c>
      <c r="N51" s="228">
        <v>113.77787505175399</v>
      </c>
      <c r="O51" s="228">
        <v>116.167210427841</v>
      </c>
      <c r="P51" s="228">
        <v>118.606721846825</v>
      </c>
      <c r="Q51" s="228">
        <v>121.097463005609</v>
      </c>
      <c r="R51" s="228"/>
      <c r="S51" s="229"/>
    </row>
    <row r="52" spans="1:19" x14ac:dyDescent="0.2">
      <c r="A52" s="50"/>
      <c r="B52" s="61"/>
      <c r="C52" s="116"/>
      <c r="D52" s="55"/>
      <c r="E52" s="91" t="s">
        <v>200</v>
      </c>
      <c r="F52" s="91"/>
      <c r="G52" s="91" t="s">
        <v>153</v>
      </c>
      <c r="I52" s="6" t="s">
        <v>201</v>
      </c>
      <c r="J52" s="228">
        <v>105.1</v>
      </c>
      <c r="K52" s="228">
        <v>107</v>
      </c>
      <c r="L52" s="228">
        <v>109.52246947724301</v>
      </c>
      <c r="M52" s="228">
        <v>111.712918866788</v>
      </c>
      <c r="N52" s="228">
        <v>113.97509521197701</v>
      </c>
      <c r="O52" s="228">
        <v>116.368572211429</v>
      </c>
      <c r="P52" s="228">
        <v>118.812312227869</v>
      </c>
      <c r="Q52" s="228">
        <v>121.307370784654</v>
      </c>
      <c r="R52" s="228"/>
      <c r="S52" s="229"/>
    </row>
    <row r="53" spans="1:19" x14ac:dyDescent="0.2">
      <c r="A53" s="50"/>
      <c r="B53" s="61"/>
      <c r="C53" s="116"/>
      <c r="D53" s="55"/>
      <c r="I53" s="6"/>
    </row>
    <row r="54" spans="1:19" x14ac:dyDescent="0.2">
      <c r="A54" s="285" t="s">
        <v>202</v>
      </c>
      <c r="B54" s="286"/>
      <c r="C54" s="287"/>
      <c r="D54" s="287"/>
      <c r="E54" s="287"/>
      <c r="F54" s="287"/>
      <c r="G54" s="287"/>
      <c r="H54" s="287"/>
      <c r="I54" s="287"/>
      <c r="J54" s="287"/>
      <c r="K54" s="287"/>
      <c r="L54" s="287"/>
      <c r="M54" s="287"/>
      <c r="N54" s="287"/>
      <c r="O54" s="287"/>
      <c r="P54" s="287"/>
      <c r="Q54" s="287"/>
      <c r="R54" s="287"/>
    </row>
    <row r="55" spans="1:19" x14ac:dyDescent="0.2">
      <c r="A55" s="50"/>
      <c r="B55" s="61" t="s">
        <v>203</v>
      </c>
      <c r="C55" s="116"/>
      <c r="D55" s="55"/>
      <c r="I55" s="6"/>
    </row>
    <row r="56" spans="1:19" x14ac:dyDescent="0.2">
      <c r="A56" s="50"/>
      <c r="B56" s="61"/>
      <c r="C56" s="116"/>
      <c r="D56" s="55"/>
      <c r="E56" s="91" t="s">
        <v>204</v>
      </c>
      <c r="G56" s="91" t="s">
        <v>153</v>
      </c>
      <c r="I56" s="6" t="s">
        <v>205</v>
      </c>
      <c r="J56" s="30"/>
      <c r="K56" s="228">
        <v>279.7</v>
      </c>
      <c r="L56" s="228">
        <v>288.2</v>
      </c>
      <c r="M56" s="228">
        <v>292.60000000000002</v>
      </c>
      <c r="N56" s="228">
        <v>301.10000000000002</v>
      </c>
      <c r="O56" s="228">
        <v>334.6</v>
      </c>
      <c r="P56" s="228">
        <v>372.8</v>
      </c>
      <c r="Q56" s="228">
        <v>385</v>
      </c>
      <c r="R56" s="228"/>
    </row>
    <row r="57" spans="1:19" x14ac:dyDescent="0.2">
      <c r="A57" s="50"/>
      <c r="B57" s="61"/>
      <c r="C57" s="116"/>
      <c r="D57" s="55"/>
      <c r="E57" s="91" t="s">
        <v>206</v>
      </c>
      <c r="G57" s="91" t="s">
        <v>153</v>
      </c>
      <c r="I57" s="6" t="s">
        <v>205</v>
      </c>
      <c r="J57" s="30"/>
      <c r="K57" s="228">
        <v>280.7</v>
      </c>
      <c r="L57" s="228">
        <v>289.2</v>
      </c>
      <c r="M57" s="228">
        <v>292.2</v>
      </c>
      <c r="N57" s="228">
        <v>301.89999999999998</v>
      </c>
      <c r="O57" s="228">
        <v>337.1</v>
      </c>
      <c r="P57" s="228">
        <v>375.3</v>
      </c>
      <c r="Q57" s="228">
        <v>386.4</v>
      </c>
      <c r="R57" s="228"/>
    </row>
    <row r="58" spans="1:19" x14ac:dyDescent="0.2">
      <c r="A58" s="50"/>
      <c r="B58" s="61"/>
      <c r="C58" s="116"/>
      <c r="D58" s="55"/>
      <c r="E58" s="91" t="s">
        <v>207</v>
      </c>
      <c r="G58" s="91" t="s">
        <v>153</v>
      </c>
      <c r="I58" s="6" t="s">
        <v>205</v>
      </c>
      <c r="J58" s="30"/>
      <c r="K58" s="228">
        <v>281.5</v>
      </c>
      <c r="L58" s="228">
        <v>289.60000000000002</v>
      </c>
      <c r="M58" s="228">
        <v>292.7</v>
      </c>
      <c r="N58" s="228">
        <v>304</v>
      </c>
      <c r="O58" s="228">
        <v>340</v>
      </c>
      <c r="P58" s="228">
        <v>376.4</v>
      </c>
      <c r="Q58" s="228">
        <v>388.8</v>
      </c>
      <c r="R58" s="228"/>
    </row>
    <row r="59" spans="1:19" x14ac:dyDescent="0.2">
      <c r="A59" s="50"/>
      <c r="B59" s="61"/>
      <c r="C59" s="116"/>
      <c r="D59" s="55"/>
      <c r="E59" s="91" t="s">
        <v>208</v>
      </c>
      <c r="G59" s="91" t="s">
        <v>153</v>
      </c>
      <c r="I59" s="6" t="s">
        <v>205</v>
      </c>
      <c r="J59" s="30"/>
      <c r="K59" s="228">
        <v>281.7</v>
      </c>
      <c r="L59" s="228">
        <v>289.5</v>
      </c>
      <c r="M59" s="228">
        <v>294.2</v>
      </c>
      <c r="N59" s="228">
        <v>305.5</v>
      </c>
      <c r="O59" s="228">
        <v>343.2</v>
      </c>
      <c r="P59" s="228">
        <v>374.2</v>
      </c>
      <c r="Q59" s="228">
        <v>386.5</v>
      </c>
      <c r="R59" s="228"/>
    </row>
    <row r="60" spans="1:19" x14ac:dyDescent="0.2">
      <c r="A60" s="50"/>
      <c r="B60" s="61"/>
      <c r="C60" s="116"/>
      <c r="D60" s="55"/>
      <c r="E60" s="91" t="s">
        <v>209</v>
      </c>
      <c r="G60" s="91" t="s">
        <v>153</v>
      </c>
      <c r="I60" s="6" t="s">
        <v>205</v>
      </c>
      <c r="J60" s="30"/>
      <c r="K60" s="228">
        <v>284.2</v>
      </c>
      <c r="L60" s="228">
        <v>291.7</v>
      </c>
      <c r="M60" s="228">
        <v>293.3</v>
      </c>
      <c r="N60" s="228">
        <v>307.39999999999998</v>
      </c>
      <c r="O60" s="228">
        <v>345.2</v>
      </c>
      <c r="P60" s="228">
        <v>376.6</v>
      </c>
      <c r="Q60" s="228">
        <v>389</v>
      </c>
      <c r="R60" s="228"/>
    </row>
    <row r="61" spans="1:19" x14ac:dyDescent="0.2">
      <c r="A61" s="50"/>
      <c r="B61" s="61"/>
      <c r="C61" s="116"/>
      <c r="D61" s="55"/>
      <c r="E61" s="91" t="s">
        <v>210</v>
      </c>
      <c r="G61" s="91" t="s">
        <v>153</v>
      </c>
      <c r="I61" s="6" t="s">
        <v>205</v>
      </c>
      <c r="J61" s="30"/>
      <c r="K61" s="228">
        <v>284.10000000000002</v>
      </c>
      <c r="L61" s="228">
        <v>291</v>
      </c>
      <c r="M61" s="228">
        <v>294.3</v>
      </c>
      <c r="N61" s="228">
        <v>308.60000000000002</v>
      </c>
      <c r="O61" s="228">
        <v>347.6</v>
      </c>
      <c r="P61" s="228">
        <v>378.4</v>
      </c>
      <c r="Q61" s="228">
        <v>390.9</v>
      </c>
      <c r="R61" s="228"/>
    </row>
    <row r="62" spans="1:19" x14ac:dyDescent="0.2">
      <c r="A62" s="50"/>
      <c r="B62" s="61"/>
      <c r="C62" s="116"/>
      <c r="D62" s="55"/>
      <c r="E62" s="91" t="s">
        <v>211</v>
      </c>
      <c r="G62" s="91" t="s">
        <v>153</v>
      </c>
      <c r="I62" s="6" t="s">
        <v>205</v>
      </c>
      <c r="J62" s="30"/>
      <c r="K62" s="228">
        <v>284.5</v>
      </c>
      <c r="L62" s="228">
        <v>290.39999999999998</v>
      </c>
      <c r="M62" s="228">
        <v>294.3</v>
      </c>
      <c r="N62" s="228">
        <v>312</v>
      </c>
      <c r="O62" s="228">
        <v>356.2</v>
      </c>
      <c r="P62" s="228">
        <v>377.8</v>
      </c>
      <c r="Q62" s="228">
        <v>390.3</v>
      </c>
      <c r="R62" s="228"/>
    </row>
    <row r="63" spans="1:19" x14ac:dyDescent="0.2">
      <c r="A63" s="50"/>
      <c r="B63" s="61"/>
      <c r="C63" s="116"/>
      <c r="D63" s="55"/>
      <c r="E63" s="91" t="s">
        <v>212</v>
      </c>
      <c r="G63" s="91" t="s">
        <v>153</v>
      </c>
      <c r="I63" s="6" t="s">
        <v>205</v>
      </c>
      <c r="J63" s="30"/>
      <c r="K63" s="228">
        <v>284.60000000000002</v>
      </c>
      <c r="L63" s="228">
        <v>291</v>
      </c>
      <c r="M63" s="228">
        <v>293.5</v>
      </c>
      <c r="N63" s="228">
        <v>314.3</v>
      </c>
      <c r="O63" s="228">
        <v>358.3</v>
      </c>
      <c r="P63" s="228">
        <v>377.3</v>
      </c>
      <c r="Q63" s="228">
        <v>389.8</v>
      </c>
      <c r="R63" s="228"/>
    </row>
    <row r="64" spans="1:19" x14ac:dyDescent="0.2">
      <c r="A64" s="50"/>
      <c r="B64" s="61"/>
      <c r="C64" s="116"/>
      <c r="D64" s="55"/>
      <c r="E64" s="91" t="s">
        <v>213</v>
      </c>
      <c r="G64" s="91" t="s">
        <v>153</v>
      </c>
      <c r="I64" s="6" t="s">
        <v>205</v>
      </c>
      <c r="J64" s="30"/>
      <c r="K64" s="228">
        <v>285.60000000000002</v>
      </c>
      <c r="L64" s="228">
        <v>291.89999999999998</v>
      </c>
      <c r="M64" s="228">
        <v>295.39999999999998</v>
      </c>
      <c r="N64" s="228">
        <v>317.7</v>
      </c>
      <c r="O64" s="228">
        <v>360.4</v>
      </c>
      <c r="P64" s="228">
        <v>379</v>
      </c>
      <c r="Q64" s="228">
        <v>391.5</v>
      </c>
      <c r="R64" s="228"/>
    </row>
    <row r="65" spans="1:18" x14ac:dyDescent="0.2">
      <c r="A65" s="50"/>
      <c r="B65" s="61"/>
      <c r="C65" s="116"/>
      <c r="D65" s="55"/>
      <c r="E65" s="91" t="s">
        <v>214</v>
      </c>
      <c r="G65" s="91" t="s">
        <v>153</v>
      </c>
      <c r="I65" s="6" t="s">
        <v>205</v>
      </c>
      <c r="J65" s="30"/>
      <c r="K65" s="228">
        <v>283</v>
      </c>
      <c r="L65" s="228">
        <v>290.60000000000002</v>
      </c>
      <c r="M65" s="228">
        <v>294.60000000000002</v>
      </c>
      <c r="N65" s="228">
        <v>317.7</v>
      </c>
      <c r="O65" s="228">
        <v>360.3</v>
      </c>
      <c r="P65" s="228">
        <v>378</v>
      </c>
      <c r="Q65" s="228">
        <v>389</v>
      </c>
      <c r="R65" s="228"/>
    </row>
    <row r="66" spans="1:18" x14ac:dyDescent="0.2">
      <c r="A66" s="50"/>
      <c r="B66" s="61"/>
      <c r="C66" s="116"/>
      <c r="D66" s="55"/>
      <c r="E66" s="91" t="s">
        <v>215</v>
      </c>
      <c r="G66" s="91" t="s">
        <v>153</v>
      </c>
      <c r="I66" s="6" t="s">
        <v>205</v>
      </c>
      <c r="J66" s="30"/>
      <c r="K66" s="228">
        <v>285</v>
      </c>
      <c r="L66" s="228">
        <v>292</v>
      </c>
      <c r="M66" s="228">
        <v>296</v>
      </c>
      <c r="N66" s="228">
        <v>320.2</v>
      </c>
      <c r="O66" s="228">
        <v>364.5</v>
      </c>
      <c r="P66" s="228">
        <v>381</v>
      </c>
      <c r="Q66" s="228">
        <v>392</v>
      </c>
      <c r="R66" s="228"/>
    </row>
    <row r="67" spans="1:18" x14ac:dyDescent="0.2">
      <c r="A67" s="50"/>
      <c r="B67" s="61"/>
      <c r="C67" s="116"/>
      <c r="D67" s="55"/>
      <c r="E67" s="91" t="s">
        <v>216</v>
      </c>
      <c r="G67" s="91" t="s">
        <v>153</v>
      </c>
      <c r="I67" s="6" t="s">
        <v>205</v>
      </c>
      <c r="J67" s="30"/>
      <c r="K67" s="228">
        <v>285.10000000000002</v>
      </c>
      <c r="L67" s="228">
        <v>292.60000000000002</v>
      </c>
      <c r="M67" s="228">
        <v>296.89999999999998</v>
      </c>
      <c r="N67" s="228">
        <v>323.5</v>
      </c>
      <c r="O67" s="228">
        <v>367.2</v>
      </c>
      <c r="P67" s="228">
        <v>383</v>
      </c>
      <c r="Q67" s="228">
        <v>394.1</v>
      </c>
      <c r="R67" s="228"/>
    </row>
    <row r="68" spans="1:18" x14ac:dyDescent="0.2">
      <c r="A68" s="50"/>
      <c r="B68" s="61"/>
      <c r="C68" s="116"/>
      <c r="D68" s="55"/>
      <c r="E68" s="91"/>
      <c r="F68" s="91"/>
      <c r="G68" s="91"/>
      <c r="I68" s="171"/>
    </row>
    <row r="69" spans="1:18" x14ac:dyDescent="0.2">
      <c r="A69" s="50"/>
      <c r="B69" s="61" t="s">
        <v>217</v>
      </c>
      <c r="C69" s="116"/>
      <c r="D69" s="55"/>
      <c r="I69" s="6"/>
    </row>
    <row r="70" spans="1:18" x14ac:dyDescent="0.2">
      <c r="A70" s="50"/>
      <c r="B70" s="61"/>
      <c r="C70" s="116"/>
      <c r="D70" s="55"/>
      <c r="E70" s="91" t="s">
        <v>218</v>
      </c>
      <c r="G70" s="91" t="s">
        <v>153</v>
      </c>
      <c r="I70" s="6" t="s">
        <v>219</v>
      </c>
      <c r="J70" s="228">
        <f t="shared" ref="J70:J81" si="0">J41</f>
        <v>103.2</v>
      </c>
      <c r="K70" s="228">
        <v>105.5</v>
      </c>
      <c r="L70" s="228">
        <v>107.6</v>
      </c>
      <c r="M70" s="228">
        <v>108.6</v>
      </c>
      <c r="N70" s="228">
        <v>110.4</v>
      </c>
      <c r="O70" s="228">
        <v>119</v>
      </c>
      <c r="P70" s="228">
        <v>128.30000000000001</v>
      </c>
      <c r="Q70" s="228">
        <v>132.19999999999999</v>
      </c>
      <c r="R70" s="228"/>
    </row>
    <row r="71" spans="1:18" x14ac:dyDescent="0.2">
      <c r="A71" s="50"/>
      <c r="B71" s="61"/>
      <c r="C71" s="116"/>
      <c r="D71" s="55"/>
      <c r="E71" s="91" t="s">
        <v>220</v>
      </c>
      <c r="G71" s="91" t="s">
        <v>153</v>
      </c>
      <c r="I71" s="6" t="s">
        <v>219</v>
      </c>
      <c r="J71" s="228">
        <f t="shared" si="0"/>
        <v>103.5</v>
      </c>
      <c r="K71" s="228">
        <v>105.9</v>
      </c>
      <c r="L71" s="228">
        <v>107.9</v>
      </c>
      <c r="M71" s="228">
        <v>108.6</v>
      </c>
      <c r="N71" s="228">
        <v>111</v>
      </c>
      <c r="O71" s="228">
        <v>119.7</v>
      </c>
      <c r="P71" s="228">
        <v>129.1</v>
      </c>
      <c r="Q71" s="228">
        <v>132.69999999999999</v>
      </c>
      <c r="R71" s="228"/>
    </row>
    <row r="72" spans="1:18" x14ac:dyDescent="0.2">
      <c r="A72" s="50"/>
      <c r="B72" s="61"/>
      <c r="C72" s="116"/>
      <c r="D72" s="55"/>
      <c r="E72" s="91" t="s">
        <v>221</v>
      </c>
      <c r="G72" s="91" t="s">
        <v>153</v>
      </c>
      <c r="I72" s="6" t="s">
        <v>219</v>
      </c>
      <c r="J72" s="228">
        <f t="shared" si="0"/>
        <v>103.5</v>
      </c>
      <c r="K72" s="228">
        <v>105.9</v>
      </c>
      <c r="L72" s="228">
        <v>107.9</v>
      </c>
      <c r="M72" s="228">
        <v>108.8</v>
      </c>
      <c r="N72" s="228">
        <v>111.4</v>
      </c>
      <c r="O72" s="228">
        <v>120.5</v>
      </c>
      <c r="P72" s="228">
        <v>129.4</v>
      </c>
      <c r="Q72" s="228">
        <v>133.30000000000001</v>
      </c>
      <c r="R72" s="228"/>
    </row>
    <row r="73" spans="1:18" x14ac:dyDescent="0.2">
      <c r="A73" s="50"/>
      <c r="B73" s="61"/>
      <c r="C73" s="116"/>
      <c r="D73" s="55"/>
      <c r="E73" s="91" t="s">
        <v>222</v>
      </c>
      <c r="G73" s="91" t="s">
        <v>153</v>
      </c>
      <c r="I73" s="6" t="s">
        <v>219</v>
      </c>
      <c r="J73" s="228">
        <f t="shared" si="0"/>
        <v>103.5</v>
      </c>
      <c r="K73" s="228">
        <v>105.9</v>
      </c>
      <c r="L73" s="228">
        <v>108</v>
      </c>
      <c r="M73" s="228">
        <v>109.2</v>
      </c>
      <c r="N73" s="228">
        <v>111.4</v>
      </c>
      <c r="O73" s="228">
        <v>121.2</v>
      </c>
      <c r="P73" s="228">
        <v>129</v>
      </c>
      <c r="Q73" s="228">
        <v>132.19999999999999</v>
      </c>
      <c r="R73" s="228"/>
    </row>
    <row r="74" spans="1:18" x14ac:dyDescent="0.2">
      <c r="A74" s="50"/>
      <c r="B74" s="61"/>
      <c r="C74" s="116"/>
      <c r="D74" s="55"/>
      <c r="E74" s="91" t="s">
        <v>223</v>
      </c>
      <c r="G74" s="91" t="s">
        <v>153</v>
      </c>
      <c r="I74" s="6" t="s">
        <v>219</v>
      </c>
      <c r="J74" s="228">
        <f t="shared" si="0"/>
        <v>104</v>
      </c>
      <c r="K74" s="228">
        <v>106.5</v>
      </c>
      <c r="L74" s="228">
        <v>108.3</v>
      </c>
      <c r="M74" s="228">
        <v>108.8</v>
      </c>
      <c r="N74" s="228">
        <v>112.1</v>
      </c>
      <c r="O74" s="228">
        <v>121.8</v>
      </c>
      <c r="P74" s="228">
        <v>129.4</v>
      </c>
      <c r="Q74" s="228">
        <v>132.6</v>
      </c>
      <c r="R74" s="228"/>
    </row>
    <row r="75" spans="1:18" x14ac:dyDescent="0.2">
      <c r="A75" s="50"/>
      <c r="B75" s="61"/>
      <c r="C75" s="116"/>
      <c r="D75" s="55"/>
      <c r="E75" s="91" t="s">
        <v>224</v>
      </c>
      <c r="G75" s="91" t="s">
        <v>153</v>
      </c>
      <c r="I75" s="6" t="s">
        <v>219</v>
      </c>
      <c r="J75" s="228">
        <f t="shared" si="0"/>
        <v>104.3</v>
      </c>
      <c r="K75" s="228">
        <v>106.6</v>
      </c>
      <c r="L75" s="228">
        <v>108.4</v>
      </c>
      <c r="M75" s="228">
        <v>109.2</v>
      </c>
      <c r="N75" s="228">
        <v>112.4</v>
      </c>
      <c r="O75" s="228">
        <v>122.3</v>
      </c>
      <c r="P75" s="228">
        <v>130.1</v>
      </c>
      <c r="Q75" s="228">
        <v>133.4</v>
      </c>
      <c r="R75" s="228"/>
    </row>
    <row r="76" spans="1:18" x14ac:dyDescent="0.2">
      <c r="A76" s="50"/>
      <c r="B76" s="61"/>
      <c r="C76" s="116"/>
      <c r="D76" s="55"/>
      <c r="E76" s="91" t="s">
        <v>225</v>
      </c>
      <c r="G76" s="91" t="s">
        <v>153</v>
      </c>
      <c r="I76" s="6" t="s">
        <v>219</v>
      </c>
      <c r="J76" s="228">
        <f t="shared" si="0"/>
        <v>104.4</v>
      </c>
      <c r="K76" s="228">
        <v>106.7</v>
      </c>
      <c r="L76" s="228">
        <v>108.3</v>
      </c>
      <c r="M76" s="228">
        <v>109.2</v>
      </c>
      <c r="N76" s="228">
        <v>113.4</v>
      </c>
      <c r="O76" s="228">
        <v>124.3</v>
      </c>
      <c r="P76" s="228">
        <v>130.19999999999999</v>
      </c>
      <c r="Q76" s="228">
        <v>133.5</v>
      </c>
      <c r="R76" s="228"/>
    </row>
    <row r="77" spans="1:18" x14ac:dyDescent="0.2">
      <c r="A77" s="50"/>
      <c r="B77" s="61"/>
      <c r="C77" s="116"/>
      <c r="D77" s="55"/>
      <c r="E77" s="91" t="s">
        <v>226</v>
      </c>
      <c r="G77" s="91" t="s">
        <v>153</v>
      </c>
      <c r="I77" s="6" t="s">
        <v>219</v>
      </c>
      <c r="J77" s="228">
        <f t="shared" si="0"/>
        <v>104.7</v>
      </c>
      <c r="K77" s="228">
        <v>106.9</v>
      </c>
      <c r="L77" s="228">
        <v>108.5</v>
      </c>
      <c r="M77" s="228">
        <v>109.1</v>
      </c>
      <c r="N77" s="228">
        <v>114.1</v>
      </c>
      <c r="O77" s="228">
        <v>124.8</v>
      </c>
      <c r="P77" s="228">
        <v>130</v>
      </c>
      <c r="Q77" s="228">
        <v>133.30000000000001</v>
      </c>
      <c r="R77" s="228"/>
    </row>
    <row r="78" spans="1:18" x14ac:dyDescent="0.2">
      <c r="A78" s="50"/>
      <c r="B78" s="61"/>
      <c r="C78" s="116"/>
      <c r="D78" s="55"/>
      <c r="E78" s="91" t="s">
        <v>227</v>
      </c>
      <c r="G78" s="91" t="s">
        <v>153</v>
      </c>
      <c r="I78" s="6" t="s">
        <v>219</v>
      </c>
      <c r="J78" s="228">
        <f t="shared" si="0"/>
        <v>105</v>
      </c>
      <c r="K78" s="228">
        <v>107.1</v>
      </c>
      <c r="L78" s="228">
        <v>108.5</v>
      </c>
      <c r="M78" s="228">
        <v>109.4</v>
      </c>
      <c r="N78" s="228">
        <v>114.7</v>
      </c>
      <c r="O78" s="228">
        <v>125.3</v>
      </c>
      <c r="P78" s="228">
        <v>130.5</v>
      </c>
      <c r="Q78" s="228">
        <v>133.80000000000001</v>
      </c>
      <c r="R78" s="228"/>
    </row>
    <row r="79" spans="1:18" x14ac:dyDescent="0.2">
      <c r="A79" s="50"/>
      <c r="B79" s="61"/>
      <c r="C79" s="116"/>
      <c r="D79" s="55"/>
      <c r="E79" s="91" t="s">
        <v>228</v>
      </c>
      <c r="G79" s="91" t="s">
        <v>153</v>
      </c>
      <c r="I79" s="6" t="s">
        <v>219</v>
      </c>
      <c r="J79" s="228">
        <f t="shared" si="0"/>
        <v>104.5</v>
      </c>
      <c r="K79" s="228">
        <v>106.4</v>
      </c>
      <c r="L79" s="228">
        <v>108.3</v>
      </c>
      <c r="M79" s="228">
        <v>109.3</v>
      </c>
      <c r="N79" s="228">
        <v>114.6</v>
      </c>
      <c r="O79" s="228">
        <v>124.8</v>
      </c>
      <c r="P79" s="228">
        <v>130</v>
      </c>
      <c r="Q79" s="228">
        <v>133.30000000000001</v>
      </c>
      <c r="R79" s="228"/>
    </row>
    <row r="80" spans="1:18" x14ac:dyDescent="0.2">
      <c r="A80" s="50"/>
      <c r="B80" s="61"/>
      <c r="C80" s="116"/>
      <c r="D80" s="55"/>
      <c r="E80" s="91" t="s">
        <v>229</v>
      </c>
      <c r="G80" s="91" t="s">
        <v>153</v>
      </c>
      <c r="I80" s="6" t="s">
        <v>219</v>
      </c>
      <c r="J80" s="228">
        <f t="shared" si="0"/>
        <v>104.9</v>
      </c>
      <c r="K80" s="228">
        <v>106.8</v>
      </c>
      <c r="L80" s="228">
        <v>108.6</v>
      </c>
      <c r="M80" s="228">
        <v>109.4</v>
      </c>
      <c r="N80" s="228">
        <v>115.4</v>
      </c>
      <c r="O80" s="228">
        <v>126</v>
      </c>
      <c r="P80" s="228">
        <v>130.80000000000001</v>
      </c>
      <c r="Q80" s="228">
        <v>134.1</v>
      </c>
      <c r="R80" s="228"/>
    </row>
    <row r="81" spans="1:18" x14ac:dyDescent="0.2">
      <c r="A81" s="50"/>
      <c r="B81" s="61"/>
      <c r="C81" s="116"/>
      <c r="D81" s="55"/>
      <c r="E81" s="91" t="s">
        <v>230</v>
      </c>
      <c r="F81" s="91"/>
      <c r="G81" s="91" t="s">
        <v>153</v>
      </c>
      <c r="I81" s="6" t="s">
        <v>219</v>
      </c>
      <c r="J81" s="228">
        <f t="shared" si="0"/>
        <v>105.1</v>
      </c>
      <c r="K81" s="228">
        <v>107</v>
      </c>
      <c r="L81" s="228">
        <v>108.6</v>
      </c>
      <c r="M81" s="228">
        <v>109.7</v>
      </c>
      <c r="N81" s="228">
        <v>116.5</v>
      </c>
      <c r="O81" s="228">
        <v>126.8</v>
      </c>
      <c r="P81" s="228">
        <v>131.6</v>
      </c>
      <c r="Q81" s="228">
        <v>134.9</v>
      </c>
      <c r="R81" s="228"/>
    </row>
    <row r="82" spans="1:18" x14ac:dyDescent="0.2">
      <c r="A82" s="50"/>
      <c r="B82" s="61"/>
      <c r="C82" s="116"/>
      <c r="D82" s="55"/>
      <c r="E82" s="91"/>
      <c r="F82" s="91"/>
      <c r="G82" s="91"/>
      <c r="I82" s="171"/>
    </row>
    <row r="83" spans="1:18" s="30" customFormat="1" x14ac:dyDescent="0.2">
      <c r="A83" s="50"/>
      <c r="B83" s="61"/>
      <c r="C83" s="116"/>
      <c r="D83" s="55"/>
      <c r="E83" s="91" t="s">
        <v>231</v>
      </c>
      <c r="F83" s="91"/>
      <c r="G83" s="91" t="s">
        <v>153</v>
      </c>
      <c r="I83" s="171"/>
      <c r="K83" s="254"/>
      <c r="L83" s="254"/>
      <c r="M83" s="254">
        <v>4</v>
      </c>
      <c r="N83" s="254">
        <v>3</v>
      </c>
      <c r="O83" s="254">
        <v>2</v>
      </c>
      <c r="P83" s="254">
        <v>1</v>
      </c>
      <c r="Q83" s="254">
        <v>0</v>
      </c>
      <c r="R83" s="254"/>
    </row>
    <row r="84" spans="1:18" x14ac:dyDescent="0.2">
      <c r="A84" s="50"/>
      <c r="B84" s="61"/>
      <c r="C84" s="116"/>
      <c r="D84" s="55"/>
      <c r="I84" s="6"/>
    </row>
    <row r="85" spans="1:18" x14ac:dyDescent="0.2">
      <c r="A85" s="285" t="s">
        <v>232</v>
      </c>
      <c r="B85" s="286"/>
      <c r="C85" s="287"/>
      <c r="D85" s="287"/>
      <c r="E85" s="287"/>
      <c r="F85" s="287"/>
      <c r="G85" s="287"/>
      <c r="H85" s="287"/>
      <c r="I85" s="287"/>
      <c r="J85" s="287"/>
      <c r="K85" s="287"/>
      <c r="L85" s="287"/>
      <c r="M85" s="287"/>
      <c r="N85" s="287"/>
      <c r="O85" s="287"/>
      <c r="P85" s="287"/>
      <c r="Q85" s="287"/>
      <c r="R85" s="287"/>
    </row>
    <row r="86" spans="1:18" x14ac:dyDescent="0.2">
      <c r="A86" s="50"/>
      <c r="B86" s="61" t="s">
        <v>233</v>
      </c>
      <c r="C86" s="283"/>
      <c r="D86" s="55"/>
      <c r="I86" s="6"/>
    </row>
    <row r="87" spans="1:18" x14ac:dyDescent="0.2">
      <c r="A87" s="50"/>
      <c r="B87" s="61"/>
      <c r="C87" s="283"/>
      <c r="D87" s="55"/>
      <c r="E87" s="7" t="s">
        <v>234</v>
      </c>
      <c r="F87" s="292">
        <v>69.397842562853171</v>
      </c>
      <c r="G87" s="7" t="s">
        <v>235</v>
      </c>
      <c r="I87" s="6" t="s">
        <v>236</v>
      </c>
    </row>
    <row r="88" spans="1:18" x14ac:dyDescent="0.2">
      <c r="A88" s="50"/>
      <c r="B88" s="61"/>
      <c r="C88" s="283"/>
      <c r="D88" s="55"/>
      <c r="E88" s="7" t="s">
        <v>237</v>
      </c>
      <c r="F88" s="292">
        <v>713.63233774396952</v>
      </c>
      <c r="G88" s="7" t="s">
        <v>235</v>
      </c>
      <c r="I88" s="6" t="s">
        <v>238</v>
      </c>
    </row>
    <row r="89" spans="1:18" x14ac:dyDescent="0.2">
      <c r="A89" s="50"/>
      <c r="B89" s="61"/>
      <c r="C89" s="283"/>
      <c r="D89" s="55"/>
      <c r="E89" s="7" t="s">
        <v>239</v>
      </c>
      <c r="F89" s="292">
        <v>857.51697402244179</v>
      </c>
      <c r="G89" s="7" t="s">
        <v>235</v>
      </c>
      <c r="I89" s="6" t="s">
        <v>240</v>
      </c>
    </row>
    <row r="90" spans="1:18" x14ac:dyDescent="0.2">
      <c r="A90" s="50"/>
      <c r="B90" s="61"/>
      <c r="C90" s="283"/>
      <c r="D90" s="55"/>
      <c r="E90" s="7" t="s">
        <v>241</v>
      </c>
      <c r="F90" s="292">
        <v>41.895108772290762</v>
      </c>
      <c r="G90" s="7" t="s">
        <v>235</v>
      </c>
      <c r="I90" s="6" t="s">
        <v>242</v>
      </c>
    </row>
    <row r="91" spans="1:18" x14ac:dyDescent="0.2">
      <c r="A91" s="50"/>
      <c r="B91" s="61"/>
      <c r="C91" s="283"/>
      <c r="D91" s="55"/>
      <c r="E91" s="7" t="s">
        <v>243</v>
      </c>
      <c r="F91" s="292">
        <v>0</v>
      </c>
      <c r="G91" s="7" t="s">
        <v>235</v>
      </c>
      <c r="I91" s="6" t="s">
        <v>244</v>
      </c>
    </row>
    <row r="92" spans="1:18" x14ac:dyDescent="0.2">
      <c r="A92" s="50"/>
      <c r="B92" s="61"/>
      <c r="C92" s="116"/>
      <c r="D92" s="55"/>
      <c r="I92" s="6"/>
      <c r="M92" s="207"/>
      <c r="N92" s="207"/>
      <c r="O92" s="207"/>
      <c r="P92" s="207"/>
      <c r="Q92" s="207"/>
      <c r="R92" s="207"/>
    </row>
    <row r="93" spans="1:18" x14ac:dyDescent="0.2">
      <c r="A93" s="50"/>
      <c r="B93" s="61" t="s">
        <v>245</v>
      </c>
      <c r="C93" s="116"/>
      <c r="D93" s="55"/>
      <c r="I93" s="6"/>
    </row>
    <row r="94" spans="1:18" x14ac:dyDescent="0.2">
      <c r="A94" s="50"/>
      <c r="B94" s="61"/>
      <c r="C94" s="116"/>
      <c r="D94" s="55"/>
      <c r="E94" s="7" t="s">
        <v>246</v>
      </c>
      <c r="G94" s="7" t="s">
        <v>247</v>
      </c>
      <c r="I94" s="6" t="s">
        <v>248</v>
      </c>
      <c r="M94" s="240">
        <v>2.52E-2</v>
      </c>
      <c r="N94" s="240">
        <v>2.52E-2</v>
      </c>
      <c r="O94" s="240">
        <v>2.52E-2</v>
      </c>
      <c r="P94" s="240">
        <v>2.52E-2</v>
      </c>
      <c r="Q94" s="240">
        <v>2.52E-2</v>
      </c>
      <c r="R94" s="240"/>
    </row>
    <row r="95" spans="1:18" x14ac:dyDescent="0.2">
      <c r="A95" s="50"/>
      <c r="B95" s="61"/>
      <c r="C95" s="116"/>
      <c r="D95" s="55"/>
      <c r="E95" s="7" t="s">
        <v>249</v>
      </c>
      <c r="G95" s="7" t="s">
        <v>247</v>
      </c>
      <c r="I95" s="6" t="s">
        <v>250</v>
      </c>
      <c r="M95" s="240">
        <v>4.7E-2</v>
      </c>
      <c r="N95" s="240">
        <v>4.7E-2</v>
      </c>
      <c r="O95" s="240">
        <v>4.7E-2</v>
      </c>
      <c r="P95" s="240">
        <v>4.7E-2</v>
      </c>
      <c r="Q95" s="240">
        <v>4.7E-2</v>
      </c>
      <c r="R95" s="240"/>
    </row>
    <row r="96" spans="1:18" x14ac:dyDescent="0.2">
      <c r="A96" s="50"/>
      <c r="B96" s="61"/>
      <c r="C96" s="116"/>
      <c r="D96" s="55"/>
      <c r="E96" s="7" t="s">
        <v>251</v>
      </c>
      <c r="G96" s="7" t="s">
        <v>247</v>
      </c>
      <c r="I96" s="6" t="s">
        <v>252</v>
      </c>
      <c r="M96" s="240">
        <v>5.2000000000000005E-2</v>
      </c>
      <c r="N96" s="240">
        <v>5.2000000000000005E-2</v>
      </c>
      <c r="O96" s="240">
        <v>5.2000000000000005E-2</v>
      </c>
      <c r="P96" s="240">
        <v>5.2000000000000005E-2</v>
      </c>
      <c r="Q96" s="240">
        <v>5.2000000000000005E-2</v>
      </c>
      <c r="R96" s="240"/>
    </row>
    <row r="97" spans="1:26" x14ac:dyDescent="0.2">
      <c r="A97" s="50"/>
      <c r="B97" s="61"/>
      <c r="C97" s="116"/>
      <c r="D97" s="55"/>
      <c r="E97" s="7" t="s">
        <v>253</v>
      </c>
      <c r="G97" s="7" t="s">
        <v>247</v>
      </c>
      <c r="I97" s="6" t="s">
        <v>254</v>
      </c>
      <c r="M97" s="240">
        <v>9.180000000000002E-2</v>
      </c>
      <c r="N97" s="240">
        <v>9.180000000000002E-2</v>
      </c>
      <c r="O97" s="240">
        <v>9.180000000000002E-2</v>
      </c>
      <c r="P97" s="240">
        <v>9.180000000000002E-2</v>
      </c>
      <c r="Q97" s="240">
        <v>9.180000000000002E-2</v>
      </c>
      <c r="R97" s="240"/>
    </row>
    <row r="98" spans="1:26" x14ac:dyDescent="0.2">
      <c r="A98" s="50"/>
      <c r="B98" s="61"/>
      <c r="C98" s="116"/>
      <c r="D98" s="55"/>
      <c r="E98" s="7" t="s">
        <v>255</v>
      </c>
      <c r="G98" s="7" t="s">
        <v>247</v>
      </c>
      <c r="I98" s="6" t="s">
        <v>256</v>
      </c>
      <c r="M98" s="240"/>
      <c r="N98" s="240"/>
      <c r="O98" s="240"/>
      <c r="P98" s="240"/>
      <c r="Q98" s="240"/>
      <c r="R98" s="240"/>
    </row>
    <row r="99" spans="1:26" x14ac:dyDescent="0.2">
      <c r="A99" s="50"/>
      <c r="B99" s="61"/>
      <c r="C99" s="116"/>
      <c r="D99" s="55"/>
      <c r="I99" s="6"/>
      <c r="M99" s="207"/>
      <c r="N99" s="207"/>
      <c r="O99" s="207"/>
      <c r="P99" s="207"/>
      <c r="Q99" s="207"/>
      <c r="R99" s="207"/>
    </row>
    <row r="100" spans="1:26" x14ac:dyDescent="0.2">
      <c r="A100" s="50"/>
      <c r="B100" s="61" t="s">
        <v>257</v>
      </c>
      <c r="C100" s="283"/>
      <c r="D100" s="55"/>
      <c r="I100" s="6"/>
      <c r="M100" s="207"/>
      <c r="N100" s="207"/>
      <c r="O100" s="207"/>
      <c r="P100" s="207"/>
      <c r="Q100" s="207"/>
      <c r="R100" s="207"/>
    </row>
    <row r="101" spans="1:26" x14ac:dyDescent="0.2">
      <c r="A101" s="50"/>
      <c r="B101" s="61"/>
      <c r="C101" s="283"/>
      <c r="D101" s="55"/>
      <c r="E101" s="7" t="s">
        <v>258</v>
      </c>
      <c r="G101" s="7" t="s">
        <v>247</v>
      </c>
      <c r="I101" s="6" t="s">
        <v>259</v>
      </c>
      <c r="M101" s="240">
        <v>1.920357193840716E-2</v>
      </c>
      <c r="N101" s="240">
        <v>1.920357193840716E-2</v>
      </c>
      <c r="O101" s="240">
        <v>1.920357193840716E-2</v>
      </c>
      <c r="P101" s="240">
        <v>1.920357193840716E-2</v>
      </c>
      <c r="Q101" s="240">
        <v>1.920357193840716E-2</v>
      </c>
      <c r="R101" s="240"/>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
      <c r="A102" s="50"/>
      <c r="B102" s="61"/>
      <c r="C102" s="283"/>
      <c r="D102" s="55"/>
      <c r="E102" s="7" t="s">
        <v>260</v>
      </c>
      <c r="G102" s="7" t="s">
        <v>247</v>
      </c>
      <c r="I102" s="6" t="s">
        <v>261</v>
      </c>
      <c r="M102" s="240">
        <v>1.920357193840716E-2</v>
      </c>
      <c r="N102" s="240">
        <v>1.920357193840716E-2</v>
      </c>
      <c r="O102" s="240">
        <v>1.920357193840716E-2</v>
      </c>
      <c r="P102" s="240">
        <v>1.920357193840716E-2</v>
      </c>
      <c r="Q102" s="240">
        <v>1.920357193840716E-2</v>
      </c>
      <c r="R102" s="240"/>
    </row>
    <row r="103" spans="1:26" x14ac:dyDescent="0.2">
      <c r="A103" s="50"/>
      <c r="B103" s="61"/>
      <c r="C103" s="283"/>
      <c r="D103" s="55"/>
      <c r="E103" s="7" t="s">
        <v>262</v>
      </c>
      <c r="G103" s="7" t="s">
        <v>247</v>
      </c>
      <c r="I103" s="6" t="s">
        <v>263</v>
      </c>
      <c r="M103" s="240">
        <v>1.920357193840716E-2</v>
      </c>
      <c r="N103" s="240">
        <v>1.920357193840716E-2</v>
      </c>
      <c r="O103" s="240">
        <v>1.920357193840716E-2</v>
      </c>
      <c r="P103" s="240">
        <v>1.920357193840716E-2</v>
      </c>
      <c r="Q103" s="240">
        <v>1.920357193840716E-2</v>
      </c>
      <c r="R103" s="240"/>
    </row>
    <row r="104" spans="1:26" x14ac:dyDescent="0.2">
      <c r="A104" s="50"/>
      <c r="B104" s="61"/>
      <c r="C104" s="283"/>
      <c r="D104" s="55"/>
      <c r="E104" s="7" t="s">
        <v>264</v>
      </c>
      <c r="G104" s="7" t="s">
        <v>247</v>
      </c>
      <c r="I104" s="6" t="s">
        <v>265</v>
      </c>
      <c r="M104" s="240">
        <v>1.920357193840716E-2</v>
      </c>
      <c r="N104" s="240">
        <v>1.920357193840716E-2</v>
      </c>
      <c r="O104" s="240">
        <v>1.920357193840716E-2</v>
      </c>
      <c r="P104" s="240">
        <v>1.920357193840716E-2</v>
      </c>
      <c r="Q104" s="240">
        <v>1.920357193840716E-2</v>
      </c>
      <c r="R104" s="240"/>
    </row>
    <row r="105" spans="1:26" x14ac:dyDescent="0.2">
      <c r="A105" s="50"/>
      <c r="B105" s="61"/>
      <c r="C105" s="283"/>
      <c r="D105" s="55"/>
      <c r="E105" s="7" t="s">
        <v>266</v>
      </c>
      <c r="G105" s="7" t="s">
        <v>247</v>
      </c>
      <c r="I105" s="6" t="s">
        <v>267</v>
      </c>
      <c r="M105" s="240"/>
      <c r="N105" s="240"/>
      <c r="O105" s="240"/>
      <c r="P105" s="240"/>
      <c r="Q105" s="240"/>
      <c r="R105" s="240"/>
    </row>
    <row r="106" spans="1:26" x14ac:dyDescent="0.2">
      <c r="A106" s="50"/>
      <c r="B106" s="61"/>
      <c r="C106" s="116"/>
      <c r="D106" s="55"/>
      <c r="I106" s="6"/>
      <c r="M106" s="207"/>
      <c r="N106" s="207"/>
      <c r="O106" s="207"/>
      <c r="P106" s="207"/>
      <c r="Q106" s="207"/>
      <c r="R106" s="207"/>
    </row>
    <row r="107" spans="1:26" x14ac:dyDescent="0.2">
      <c r="A107" s="50"/>
      <c r="B107" s="61" t="s">
        <v>268</v>
      </c>
      <c r="C107" s="116"/>
      <c r="D107" s="55"/>
      <c r="I107" s="6"/>
      <c r="M107" s="207"/>
      <c r="N107" s="207"/>
      <c r="O107" s="207"/>
      <c r="P107" s="207"/>
      <c r="Q107" s="207"/>
      <c r="R107" s="207"/>
    </row>
    <row r="108" spans="1:26" x14ac:dyDescent="0.2">
      <c r="A108" s="50"/>
      <c r="B108" s="61"/>
      <c r="C108" s="116"/>
      <c r="D108" s="55"/>
      <c r="E108" s="7" t="s">
        <v>269</v>
      </c>
      <c r="G108" s="7" t="s">
        <v>247</v>
      </c>
      <c r="I108" s="6" t="s">
        <v>270</v>
      </c>
      <c r="M108" s="240">
        <v>2.9195763820156317E-2</v>
      </c>
      <c r="N108" s="240">
        <v>2.9195763820156317E-2</v>
      </c>
      <c r="O108" s="240">
        <v>2.9195763820156317E-2</v>
      </c>
      <c r="P108" s="240">
        <v>2.9195763820156317E-2</v>
      </c>
      <c r="Q108" s="240">
        <v>2.9195763820156317E-2</v>
      </c>
      <c r="R108" s="240"/>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
      <c r="A109" s="50"/>
      <c r="B109" s="61"/>
      <c r="C109" s="116"/>
      <c r="D109" s="55"/>
      <c r="E109" s="7" t="s">
        <v>271</v>
      </c>
      <c r="G109" s="7" t="s">
        <v>247</v>
      </c>
      <c r="I109" s="6" t="s">
        <v>272</v>
      </c>
      <c r="M109" s="240">
        <v>2.9195763820156317E-2</v>
      </c>
      <c r="N109" s="240">
        <v>2.9195763820156317E-2</v>
      </c>
      <c r="O109" s="240">
        <v>2.9195763820156317E-2</v>
      </c>
      <c r="P109" s="240">
        <v>2.9195763820156317E-2</v>
      </c>
      <c r="Q109" s="240">
        <v>2.9195763820156317E-2</v>
      </c>
      <c r="R109" s="240"/>
    </row>
    <row r="110" spans="1:26" x14ac:dyDescent="0.2">
      <c r="A110" s="50"/>
      <c r="B110" s="61"/>
      <c r="C110" s="116"/>
      <c r="D110" s="55"/>
      <c r="E110" s="7" t="s">
        <v>273</v>
      </c>
      <c r="G110" s="7" t="s">
        <v>247</v>
      </c>
      <c r="I110" s="6" t="s">
        <v>274</v>
      </c>
      <c r="M110" s="240">
        <v>2.9195763820156317E-2</v>
      </c>
      <c r="N110" s="240">
        <v>2.9195763820156317E-2</v>
      </c>
      <c r="O110" s="240">
        <v>2.9195763820156317E-2</v>
      </c>
      <c r="P110" s="240">
        <v>2.9195763820156317E-2</v>
      </c>
      <c r="Q110" s="240">
        <v>2.9195763820156317E-2</v>
      </c>
      <c r="R110" s="240"/>
    </row>
    <row r="111" spans="1:26" x14ac:dyDescent="0.2">
      <c r="A111" s="50"/>
      <c r="B111" s="61"/>
      <c r="C111" s="116"/>
      <c r="D111" s="55"/>
      <c r="E111" s="7" t="s">
        <v>275</v>
      </c>
      <c r="G111" s="7" t="s">
        <v>247</v>
      </c>
      <c r="I111" s="6" t="s">
        <v>276</v>
      </c>
      <c r="M111" s="240">
        <v>2.9195763820156317E-2</v>
      </c>
      <c r="N111" s="240">
        <v>2.9195763820156317E-2</v>
      </c>
      <c r="O111" s="240">
        <v>2.9195763820156317E-2</v>
      </c>
      <c r="P111" s="240">
        <v>2.9195763820156317E-2</v>
      </c>
      <c r="Q111" s="240">
        <v>2.9195763820156317E-2</v>
      </c>
      <c r="R111" s="240"/>
    </row>
    <row r="112" spans="1:26" x14ac:dyDescent="0.2">
      <c r="A112" s="50"/>
      <c r="B112" s="61"/>
      <c r="C112" s="116"/>
      <c r="D112" s="55"/>
      <c r="E112" s="7" t="s">
        <v>277</v>
      </c>
      <c r="G112" s="7" t="s">
        <v>247</v>
      </c>
      <c r="I112" s="6" t="s">
        <v>278</v>
      </c>
      <c r="M112" s="240"/>
      <c r="N112" s="240"/>
      <c r="O112" s="240"/>
      <c r="P112" s="240"/>
      <c r="Q112" s="240"/>
      <c r="R112" s="240"/>
    </row>
    <row r="113" spans="1:27" x14ac:dyDescent="0.2">
      <c r="A113" s="50"/>
      <c r="B113" s="61"/>
      <c r="C113" s="116"/>
      <c r="D113" s="55"/>
    </row>
    <row r="114" spans="1:27" x14ac:dyDescent="0.2">
      <c r="A114" s="285" t="s">
        <v>279</v>
      </c>
      <c r="B114" s="286"/>
      <c r="C114" s="287"/>
      <c r="D114" s="287"/>
      <c r="E114" s="287"/>
      <c r="F114" s="287"/>
      <c r="G114" s="287"/>
      <c r="H114" s="287"/>
      <c r="I114" s="287"/>
      <c r="J114" s="287"/>
      <c r="K114" s="287"/>
      <c r="L114" s="287"/>
      <c r="M114" s="287"/>
      <c r="N114" s="287"/>
      <c r="O114" s="287"/>
      <c r="P114" s="287"/>
      <c r="Q114" s="287"/>
      <c r="R114" s="287"/>
    </row>
    <row r="115" spans="1:27" x14ac:dyDescent="0.2">
      <c r="A115" s="50"/>
      <c r="B115" s="61"/>
      <c r="C115" s="116"/>
      <c r="D115" s="55"/>
    </row>
    <row r="116" spans="1:27" x14ac:dyDescent="0.2">
      <c r="A116" s="50"/>
      <c r="B116" s="61" t="s">
        <v>280</v>
      </c>
      <c r="C116" s="116"/>
      <c r="D116" s="55"/>
    </row>
    <row r="117" spans="1:27" x14ac:dyDescent="0.2">
      <c r="A117" s="50"/>
      <c r="B117" s="61"/>
      <c r="C117" s="116"/>
      <c r="D117" s="55"/>
      <c r="E117" s="7" t="s">
        <v>281</v>
      </c>
      <c r="F117" s="100">
        <v>1E-3</v>
      </c>
      <c r="G117" s="7" t="s">
        <v>282</v>
      </c>
    </row>
    <row r="118" spans="1:27" x14ac:dyDescent="0.2">
      <c r="A118" s="50"/>
      <c r="B118" s="61"/>
      <c r="C118" s="116"/>
      <c r="D118" s="55"/>
      <c r="E118" s="7" t="s">
        <v>283</v>
      </c>
      <c r="F118" s="100">
        <v>1E-3</v>
      </c>
      <c r="G118" s="7" t="s">
        <v>282</v>
      </c>
    </row>
    <row r="119" spans="1:27" x14ac:dyDescent="0.2">
      <c r="A119" s="50"/>
      <c r="B119" s="61"/>
      <c r="C119" s="116"/>
      <c r="D119" s="55"/>
    </row>
    <row r="120" spans="1:27" x14ac:dyDescent="0.2">
      <c r="A120" s="50"/>
      <c r="B120" s="61"/>
      <c r="C120" s="116"/>
      <c r="D120" s="55"/>
    </row>
    <row r="121" spans="1:27" s="161" customFormat="1" x14ac:dyDescent="0.2">
      <c r="A121" s="157" t="s">
        <v>114</v>
      </c>
      <c r="B121" s="158"/>
      <c r="C121" s="159"/>
      <c r="D121" s="160"/>
    </row>
    <row r="122" spans="1:27" ht="12.6" customHeight="1" x14ac:dyDescent="0.2">
      <c r="B122" s="61"/>
      <c r="C122" s="116"/>
      <c r="D122" s="55"/>
    </row>
    <row r="123" spans="1:27" hidden="1" x14ac:dyDescent="0.2">
      <c r="A123" s="50"/>
      <c r="B123" s="188"/>
      <c r="C123" s="189"/>
      <c r="D123" s="190"/>
    </row>
    <row r="124" spans="1:27" hidden="1" x14ac:dyDescent="0.2">
      <c r="B124" s="61"/>
      <c r="C124" s="116"/>
      <c r="D124" s="55"/>
    </row>
    <row r="125" spans="1:27" hidden="1" x14ac:dyDescent="0.2">
      <c r="A125" s="50"/>
      <c r="B125" s="188"/>
      <c r="C125" s="189"/>
      <c r="D125" s="190"/>
    </row>
    <row r="126" spans="1:27" hidden="1" x14ac:dyDescent="0.2">
      <c r="B126" s="61"/>
      <c r="C126" s="116"/>
      <c r="D126" s="55"/>
      <c r="M126" s="206"/>
      <c r="N126" s="206"/>
      <c r="O126" s="206"/>
      <c r="P126" s="206"/>
      <c r="Q126" s="206"/>
    </row>
    <row r="127" spans="1:27" s="172" customFormat="1" hidden="1" x14ac:dyDescent="0.2">
      <c r="A127" s="173"/>
      <c r="B127" s="174"/>
      <c r="C127" s="175"/>
      <c r="D127" s="176"/>
      <c r="T127" s="177"/>
      <c r="U127" s="177"/>
      <c r="V127" s="177"/>
      <c r="W127" s="177"/>
      <c r="X127" s="177"/>
      <c r="Y127" s="177"/>
      <c r="Z127" s="177"/>
      <c r="AA127" s="177"/>
    </row>
    <row r="128" spans="1:27" hidden="1" x14ac:dyDescent="0.2">
      <c r="B128" s="61"/>
      <c r="C128" s="116"/>
      <c r="D128" s="55"/>
    </row>
    <row r="129" spans="2:4" hidden="1" x14ac:dyDescent="0.2">
      <c r="B129" s="61"/>
      <c r="C129" s="116"/>
      <c r="D129" s="55"/>
    </row>
    <row r="130" spans="2:4" hidden="1" x14ac:dyDescent="0.2">
      <c r="B130" s="61"/>
      <c r="C130" s="116"/>
      <c r="D130" s="55"/>
    </row>
    <row r="131" spans="2:4" hidden="1" x14ac:dyDescent="0.2">
      <c r="B131" s="61"/>
      <c r="C131" s="116"/>
      <c r="D131" s="55"/>
    </row>
    <row r="132" spans="2:4" hidden="1" x14ac:dyDescent="0.2">
      <c r="B132" s="61"/>
      <c r="C132" s="116"/>
      <c r="D132" s="55"/>
    </row>
    <row r="133" spans="2:4" hidden="1" x14ac:dyDescent="0.2">
      <c r="B133" s="61"/>
      <c r="C133" s="116"/>
      <c r="D133" s="55"/>
    </row>
    <row r="134" spans="2:4" hidden="1" x14ac:dyDescent="0.2">
      <c r="B134" s="61"/>
      <c r="C134" s="116"/>
      <c r="D134" s="55"/>
    </row>
    <row r="135" spans="2:4" hidden="1" x14ac:dyDescent="0.2">
      <c r="B135" s="61"/>
      <c r="C135" s="116"/>
      <c r="D135" s="55"/>
    </row>
    <row r="136" spans="2:4" hidden="1" x14ac:dyDescent="0.2">
      <c r="B136" s="61"/>
      <c r="C136" s="116"/>
      <c r="D136" s="55"/>
    </row>
    <row r="137" spans="2:4" hidden="1" x14ac:dyDescent="0.2">
      <c r="B137" s="61"/>
      <c r="C137" s="116"/>
      <c r="D137" s="55"/>
    </row>
    <row r="138" spans="2:4" hidden="1" x14ac:dyDescent="0.2">
      <c r="B138" s="61"/>
      <c r="C138" s="116"/>
      <c r="D138" s="55"/>
    </row>
    <row r="139" spans="2:4" hidden="1" x14ac:dyDescent="0.2">
      <c r="B139" s="61"/>
      <c r="C139" s="116"/>
      <c r="D139" s="55"/>
    </row>
    <row r="140" spans="2:4" hidden="1" x14ac:dyDescent="0.2">
      <c r="B140" s="61"/>
      <c r="C140" s="116"/>
      <c r="D140" s="55"/>
    </row>
    <row r="141" spans="2:4" hidden="1" x14ac:dyDescent="0.2">
      <c r="B141" s="61"/>
      <c r="C141" s="116"/>
      <c r="D141" s="55"/>
    </row>
    <row r="142" spans="2:4" hidden="1" x14ac:dyDescent="0.2">
      <c r="B142" s="61"/>
      <c r="C142" s="116"/>
      <c r="D142" s="55"/>
    </row>
    <row r="143" spans="2:4" hidden="1" x14ac:dyDescent="0.2">
      <c r="B143" s="61"/>
      <c r="C143" s="116"/>
      <c r="D143" s="55"/>
    </row>
    <row r="144" spans="2:4" hidden="1" x14ac:dyDescent="0.2">
      <c r="B144" s="61"/>
      <c r="C144" s="116"/>
      <c r="D144" s="55"/>
    </row>
    <row r="145" spans="2:4" hidden="1" x14ac:dyDescent="0.2">
      <c r="B145" s="61"/>
      <c r="C145" s="116"/>
      <c r="D145" s="55"/>
    </row>
    <row r="146" spans="2:4" hidden="1" x14ac:dyDescent="0.2">
      <c r="B146" s="61"/>
      <c r="C146" s="116"/>
      <c r="D146" s="55"/>
    </row>
    <row r="147" spans="2:4" hidden="1" x14ac:dyDescent="0.2">
      <c r="B147" s="61"/>
      <c r="C147" s="116"/>
      <c r="D147" s="55"/>
    </row>
    <row r="148" spans="2:4" hidden="1" x14ac:dyDescent="0.2">
      <c r="B148" s="61"/>
      <c r="C148" s="116"/>
      <c r="D148" s="55"/>
    </row>
    <row r="149" spans="2:4" hidden="1" x14ac:dyDescent="0.2">
      <c r="B149" s="61"/>
      <c r="C149" s="116"/>
      <c r="D149" s="55"/>
    </row>
    <row r="150" spans="2:4" hidden="1" x14ac:dyDescent="0.2">
      <c r="B150" s="61"/>
      <c r="C150" s="116"/>
      <c r="D150" s="55"/>
    </row>
    <row r="151" spans="2:4" hidden="1" x14ac:dyDescent="0.2">
      <c r="B151" s="61"/>
      <c r="C151" s="116"/>
      <c r="D151" s="55"/>
    </row>
    <row r="152" spans="2:4" hidden="1" x14ac:dyDescent="0.2">
      <c r="B152" s="61"/>
      <c r="C152" s="116"/>
      <c r="D152" s="55"/>
    </row>
    <row r="153" spans="2:4" hidden="1" x14ac:dyDescent="0.2">
      <c r="B153" s="61"/>
      <c r="C153" s="116"/>
      <c r="D153" s="55"/>
    </row>
    <row r="154" spans="2:4" hidden="1" x14ac:dyDescent="0.2">
      <c r="B154" s="61"/>
      <c r="C154" s="116"/>
      <c r="D154" s="55"/>
    </row>
    <row r="155" spans="2:4" hidden="1" x14ac:dyDescent="0.2">
      <c r="B155" s="61"/>
      <c r="C155" s="116"/>
      <c r="D155" s="55"/>
    </row>
    <row r="156" spans="2:4" hidden="1" x14ac:dyDescent="0.2">
      <c r="B156" s="61"/>
      <c r="C156" s="116"/>
      <c r="D156" s="55"/>
    </row>
    <row r="157" spans="2:4" hidden="1" x14ac:dyDescent="0.2">
      <c r="B157" s="61"/>
      <c r="C157" s="116"/>
      <c r="D157" s="55"/>
    </row>
    <row r="158" spans="2:4" hidden="1" x14ac:dyDescent="0.2">
      <c r="B158" s="61"/>
      <c r="C158" s="116"/>
      <c r="D158" s="55"/>
    </row>
    <row r="159" spans="2:4" hidden="1" x14ac:dyDescent="0.2">
      <c r="B159" s="61"/>
      <c r="C159" s="116"/>
      <c r="D159" s="55"/>
    </row>
    <row r="160" spans="2:4" hidden="1" x14ac:dyDescent="0.2">
      <c r="B160" s="61"/>
      <c r="C160" s="116"/>
      <c r="D160" s="55"/>
    </row>
    <row r="161" spans="2:4" hidden="1" x14ac:dyDescent="0.2">
      <c r="B161" s="61"/>
      <c r="C161" s="116"/>
      <c r="D161" s="55"/>
    </row>
    <row r="162" spans="2:4" hidden="1" x14ac:dyDescent="0.2">
      <c r="B162" s="61"/>
      <c r="C162" s="116"/>
      <c r="D162" s="55"/>
    </row>
    <row r="163" spans="2:4" hidden="1" x14ac:dyDescent="0.2">
      <c r="B163" s="61"/>
      <c r="C163" s="116"/>
      <c r="D163" s="55"/>
    </row>
    <row r="164" spans="2:4" hidden="1" x14ac:dyDescent="0.2">
      <c r="B164" s="61"/>
      <c r="C164" s="116"/>
      <c r="D164" s="55"/>
    </row>
    <row r="165" spans="2:4" hidden="1" x14ac:dyDescent="0.2">
      <c r="B165" s="61"/>
      <c r="C165" s="116"/>
      <c r="D165" s="55"/>
    </row>
    <row r="166" spans="2:4" hidden="1" x14ac:dyDescent="0.2">
      <c r="B166" s="61"/>
      <c r="C166" s="116"/>
      <c r="D166" s="55"/>
    </row>
    <row r="167" spans="2:4" hidden="1" x14ac:dyDescent="0.2">
      <c r="B167" s="61"/>
      <c r="C167" s="116"/>
      <c r="D167" s="55"/>
    </row>
    <row r="168" spans="2:4" hidden="1" x14ac:dyDescent="0.2">
      <c r="B168" s="61"/>
      <c r="C168" s="116"/>
      <c r="D168" s="55"/>
    </row>
    <row r="169" spans="2:4" hidden="1" x14ac:dyDescent="0.2">
      <c r="B169" s="61"/>
      <c r="C169" s="116"/>
      <c r="D169" s="55"/>
    </row>
    <row r="170" spans="2:4" hidden="1" x14ac:dyDescent="0.2">
      <c r="B170" s="61"/>
      <c r="C170" s="116"/>
      <c r="D170" s="55"/>
    </row>
    <row r="171" spans="2:4" hidden="1" x14ac:dyDescent="0.2">
      <c r="B171" s="61"/>
      <c r="C171" s="116"/>
      <c r="D171" s="55"/>
    </row>
    <row r="172" spans="2:4" hidden="1" x14ac:dyDescent="0.2">
      <c r="B172" s="61"/>
      <c r="C172" s="116"/>
      <c r="D172" s="55"/>
    </row>
    <row r="173" spans="2:4" hidden="1" x14ac:dyDescent="0.2">
      <c r="B173" s="61"/>
      <c r="C173" s="116"/>
      <c r="D173" s="55"/>
    </row>
    <row r="174" spans="2:4" hidden="1" x14ac:dyDescent="0.2">
      <c r="B174" s="61"/>
      <c r="C174" s="116"/>
      <c r="D174" s="55"/>
    </row>
    <row r="175" spans="2:4" hidden="1" x14ac:dyDescent="0.2">
      <c r="B175" s="61"/>
      <c r="C175" s="116"/>
      <c r="D175" s="55"/>
    </row>
    <row r="176" spans="2:4" hidden="1" x14ac:dyDescent="0.2">
      <c r="B176" s="61"/>
      <c r="C176" s="116"/>
      <c r="D176" s="55"/>
    </row>
    <row r="177" spans="2:4" hidden="1" x14ac:dyDescent="0.2">
      <c r="B177" s="61"/>
      <c r="C177" s="116"/>
      <c r="D177" s="55"/>
    </row>
    <row r="178" spans="2:4" hidden="1" x14ac:dyDescent="0.2">
      <c r="B178" s="61"/>
      <c r="C178" s="116"/>
      <c r="D178" s="55"/>
    </row>
    <row r="179" spans="2:4" hidden="1" x14ac:dyDescent="0.2">
      <c r="B179" s="61"/>
      <c r="C179" s="116"/>
      <c r="D179" s="55"/>
    </row>
    <row r="180" spans="2:4" hidden="1" x14ac:dyDescent="0.2">
      <c r="B180" s="61"/>
      <c r="C180" s="116"/>
      <c r="D180" s="55"/>
    </row>
    <row r="181" spans="2:4" hidden="1" x14ac:dyDescent="0.2">
      <c r="B181" s="61"/>
      <c r="C181" s="116"/>
      <c r="D181" s="55"/>
    </row>
    <row r="182" spans="2:4" hidden="1" x14ac:dyDescent="0.2">
      <c r="B182" s="61"/>
      <c r="C182" s="116"/>
      <c r="D182" s="55"/>
    </row>
    <row r="183" spans="2:4" hidden="1" x14ac:dyDescent="0.2">
      <c r="B183" s="61"/>
      <c r="C183" s="116"/>
      <c r="D183" s="55"/>
    </row>
    <row r="184" spans="2:4" hidden="1" x14ac:dyDescent="0.2">
      <c r="B184" s="61"/>
      <c r="C184" s="116"/>
      <c r="D184" s="55"/>
    </row>
    <row r="185" spans="2:4" hidden="1" x14ac:dyDescent="0.2">
      <c r="B185" s="61"/>
      <c r="C185" s="116"/>
      <c r="D185" s="55"/>
    </row>
    <row r="186" spans="2:4" hidden="1" x14ac:dyDescent="0.2">
      <c r="B186" s="61"/>
      <c r="C186" s="116"/>
      <c r="D186" s="55"/>
    </row>
    <row r="187" spans="2:4" hidden="1" x14ac:dyDescent="0.2">
      <c r="B187" s="61"/>
      <c r="C187" s="116"/>
      <c r="D187" s="55"/>
    </row>
    <row r="188" spans="2:4" hidden="1" x14ac:dyDescent="0.2">
      <c r="B188" s="61"/>
      <c r="C188" s="116"/>
      <c r="D188" s="55"/>
    </row>
    <row r="189" spans="2:4" hidden="1" x14ac:dyDescent="0.2">
      <c r="B189" s="61"/>
      <c r="C189" s="116"/>
      <c r="D189" s="55"/>
    </row>
    <row r="190" spans="2:4" hidden="1" x14ac:dyDescent="0.2">
      <c r="B190" s="61"/>
      <c r="C190" s="116"/>
      <c r="D190" s="55"/>
    </row>
    <row r="191" spans="2:4" hidden="1" x14ac:dyDescent="0.2">
      <c r="B191" s="61"/>
      <c r="C191" s="116"/>
      <c r="D191" s="55"/>
    </row>
    <row r="192" spans="2:4" hidden="1" x14ac:dyDescent="0.2">
      <c r="B192" s="61"/>
      <c r="C192" s="116"/>
      <c r="D192" s="55"/>
    </row>
    <row r="193" spans="2:4" hidden="1" x14ac:dyDescent="0.2">
      <c r="B193" s="61"/>
      <c r="C193" s="116"/>
      <c r="D193" s="55"/>
    </row>
    <row r="194" spans="2:4" hidden="1" x14ac:dyDescent="0.2">
      <c r="B194" s="61"/>
      <c r="C194" s="116"/>
      <c r="D194" s="55"/>
    </row>
    <row r="195" spans="2:4" hidden="1" x14ac:dyDescent="0.2">
      <c r="B195" s="61"/>
      <c r="C195" s="116"/>
      <c r="D195" s="55"/>
    </row>
    <row r="196" spans="2:4" hidden="1" x14ac:dyDescent="0.2">
      <c r="B196" s="61"/>
      <c r="C196" s="116"/>
      <c r="D196" s="55"/>
    </row>
    <row r="197" spans="2:4" hidden="1" x14ac:dyDescent="0.2">
      <c r="B197" s="61"/>
      <c r="C197" s="116"/>
      <c r="D197" s="55"/>
    </row>
    <row r="198" spans="2:4" hidden="1" x14ac:dyDescent="0.2">
      <c r="B198" s="61"/>
      <c r="C198" s="116"/>
      <c r="D198" s="55"/>
    </row>
    <row r="199" spans="2:4" hidden="1" x14ac:dyDescent="0.2">
      <c r="B199" s="61"/>
      <c r="C199" s="116"/>
      <c r="D199" s="55"/>
    </row>
    <row r="200" spans="2:4" hidden="1" x14ac:dyDescent="0.2">
      <c r="B200" s="61"/>
      <c r="C200" s="116"/>
      <c r="D200" s="55"/>
    </row>
    <row r="201" spans="2:4" hidden="1" x14ac:dyDescent="0.2">
      <c r="B201" s="61"/>
      <c r="C201" s="116"/>
      <c r="D201" s="55"/>
    </row>
    <row r="202" spans="2:4" hidden="1" x14ac:dyDescent="0.2">
      <c r="B202" s="61"/>
      <c r="C202" s="116"/>
      <c r="D202" s="55"/>
    </row>
    <row r="203" spans="2:4" hidden="1" x14ac:dyDescent="0.2">
      <c r="B203" s="61"/>
      <c r="C203" s="116"/>
      <c r="D203" s="55"/>
    </row>
    <row r="204" spans="2:4" hidden="1" x14ac:dyDescent="0.2">
      <c r="B204" s="61"/>
      <c r="C204" s="116"/>
      <c r="D204" s="55"/>
    </row>
    <row r="205" spans="2:4" hidden="1" x14ac:dyDescent="0.2">
      <c r="B205" s="61"/>
      <c r="C205" s="116"/>
      <c r="D205" s="55"/>
    </row>
    <row r="206" spans="2:4" hidden="1" x14ac:dyDescent="0.2">
      <c r="B206" s="61"/>
      <c r="C206" s="116"/>
      <c r="D206" s="55"/>
    </row>
    <row r="207" spans="2:4" hidden="1" x14ac:dyDescent="0.2">
      <c r="B207" s="61"/>
      <c r="C207" s="116"/>
      <c r="D207" s="55"/>
    </row>
    <row r="208" spans="2:4" hidden="1" x14ac:dyDescent="0.2">
      <c r="B208" s="61"/>
      <c r="C208" s="116"/>
      <c r="D208" s="55"/>
    </row>
    <row r="209" spans="2:5" hidden="1" x14ac:dyDescent="0.2">
      <c r="B209" s="61"/>
      <c r="C209" s="116"/>
      <c r="D209" s="55"/>
    </row>
    <row r="210" spans="2:5" hidden="1" x14ac:dyDescent="0.2">
      <c r="B210" s="61"/>
      <c r="C210" s="116"/>
      <c r="D210" s="55"/>
    </row>
    <row r="211" spans="2:5" hidden="1" x14ac:dyDescent="0.2">
      <c r="B211" s="61"/>
      <c r="C211" s="116"/>
      <c r="D211" s="55"/>
    </row>
    <row r="212" spans="2:5" hidden="1" x14ac:dyDescent="0.2">
      <c r="B212" s="61"/>
      <c r="C212" s="116"/>
      <c r="D212" s="55"/>
    </row>
    <row r="213" spans="2:5" hidden="1" x14ac:dyDescent="0.2">
      <c r="B213" s="61"/>
      <c r="C213" s="116"/>
      <c r="D213" s="55"/>
      <c r="E213" s="102"/>
    </row>
    <row r="214" spans="2:5" hidden="1" x14ac:dyDescent="0.2">
      <c r="B214" s="61"/>
      <c r="C214" s="116"/>
      <c r="D214" s="55"/>
    </row>
    <row r="215" spans="2:5" hidden="1" x14ac:dyDescent="0.2">
      <c r="B215" s="61"/>
      <c r="C215" s="116"/>
      <c r="D215" s="55"/>
    </row>
    <row r="216" spans="2:5" hidden="1" x14ac:dyDescent="0.2">
      <c r="B216" s="61"/>
      <c r="C216" s="116"/>
      <c r="D216" s="55"/>
    </row>
    <row r="217" spans="2:5" hidden="1" x14ac:dyDescent="0.2">
      <c r="B217" s="61"/>
      <c r="C217" s="116"/>
      <c r="D217" s="55"/>
    </row>
    <row r="218" spans="2:5" hidden="1" x14ac:dyDescent="0.2">
      <c r="B218" s="61"/>
      <c r="C218" s="116"/>
      <c r="D218" s="55"/>
    </row>
    <row r="219" spans="2:5" hidden="1" x14ac:dyDescent="0.2">
      <c r="B219" s="61"/>
      <c r="C219" s="116"/>
      <c r="D219" s="55"/>
    </row>
    <row r="220" spans="2:5" hidden="1" x14ac:dyDescent="0.2">
      <c r="B220" s="61"/>
      <c r="C220" s="116"/>
      <c r="D220" s="55"/>
    </row>
    <row r="221" spans="2:5" hidden="1" x14ac:dyDescent="0.2">
      <c r="B221" s="61"/>
      <c r="C221" s="116"/>
      <c r="D221" s="55"/>
    </row>
    <row r="222" spans="2:5" hidden="1" x14ac:dyDescent="0.2">
      <c r="B222" s="61"/>
      <c r="C222" s="116"/>
      <c r="D222" s="55"/>
    </row>
    <row r="223" spans="2:5" hidden="1" x14ac:dyDescent="0.2">
      <c r="B223" s="61"/>
      <c r="C223" s="116"/>
      <c r="D223" s="55"/>
    </row>
    <row r="224" spans="2:5" hidden="1" x14ac:dyDescent="0.2">
      <c r="B224" s="61"/>
      <c r="C224" s="116"/>
      <c r="D224" s="55"/>
    </row>
    <row r="225" spans="2:4" hidden="1" x14ac:dyDescent="0.2">
      <c r="B225" s="61"/>
      <c r="C225" s="116"/>
      <c r="D225" s="55"/>
    </row>
    <row r="226" spans="2:4" hidden="1" x14ac:dyDescent="0.2">
      <c r="B226" s="61"/>
      <c r="C226" s="116"/>
      <c r="D226" s="55"/>
    </row>
    <row r="227" spans="2:4" hidden="1" x14ac:dyDescent="0.2">
      <c r="B227" s="61"/>
      <c r="C227" s="116"/>
      <c r="D227" s="55"/>
    </row>
    <row r="228" spans="2:4" hidden="1" x14ac:dyDescent="0.2">
      <c r="B228" s="61"/>
      <c r="C228" s="116"/>
      <c r="D228" s="55"/>
    </row>
    <row r="229" spans="2:4" hidden="1" x14ac:dyDescent="0.2">
      <c r="B229" s="61"/>
      <c r="C229" s="116"/>
      <c r="D229" s="55"/>
    </row>
    <row r="230" spans="2:4" hidden="1" x14ac:dyDescent="0.2">
      <c r="B230" s="61"/>
      <c r="C230" s="116"/>
      <c r="D230" s="55"/>
    </row>
    <row r="231" spans="2:4" hidden="1" x14ac:dyDescent="0.2">
      <c r="B231" s="61"/>
      <c r="C231" s="116"/>
      <c r="D231" s="55"/>
    </row>
    <row r="232" spans="2:4" hidden="1" x14ac:dyDescent="0.2">
      <c r="B232" s="61"/>
      <c r="C232" s="116"/>
      <c r="D232" s="55"/>
    </row>
    <row r="233" spans="2:4" hidden="1" x14ac:dyDescent="0.2">
      <c r="B233" s="61"/>
      <c r="C233" s="116"/>
      <c r="D233" s="55"/>
    </row>
    <row r="234" spans="2:4" hidden="1" x14ac:dyDescent="0.2">
      <c r="B234" s="61"/>
      <c r="C234" s="116"/>
      <c r="D234" s="55"/>
    </row>
    <row r="235" spans="2:4" hidden="1" x14ac:dyDescent="0.2">
      <c r="B235" s="61"/>
      <c r="C235" s="116"/>
      <c r="D235" s="55"/>
    </row>
    <row r="236" spans="2:4" hidden="1" x14ac:dyDescent="0.2">
      <c r="B236" s="61"/>
      <c r="C236" s="116"/>
      <c r="D236" s="55"/>
    </row>
    <row r="237" spans="2:4" hidden="1" x14ac:dyDescent="0.2">
      <c r="B237" s="61"/>
      <c r="C237" s="116"/>
      <c r="D237" s="55"/>
    </row>
    <row r="238" spans="2:4" hidden="1" x14ac:dyDescent="0.2">
      <c r="B238" s="61"/>
      <c r="C238" s="116"/>
      <c r="D238" s="55"/>
    </row>
    <row r="239" spans="2:4" hidden="1" x14ac:dyDescent="0.2">
      <c r="B239" s="61"/>
      <c r="C239" s="116"/>
      <c r="D239" s="55"/>
    </row>
    <row r="240" spans="2:4" hidden="1" x14ac:dyDescent="0.2">
      <c r="B240" s="61"/>
      <c r="C240" s="116"/>
      <c r="D240" s="55"/>
    </row>
    <row r="241" spans="2:4" hidden="1" x14ac:dyDescent="0.2">
      <c r="B241" s="61"/>
      <c r="C241" s="116"/>
      <c r="D241" s="55"/>
    </row>
    <row r="242" spans="2:4" hidden="1" x14ac:dyDescent="0.2">
      <c r="B242" s="61"/>
      <c r="C242" s="116"/>
      <c r="D242" s="55"/>
    </row>
    <row r="243" spans="2:4" hidden="1" x14ac:dyDescent="0.2">
      <c r="B243" s="61"/>
      <c r="C243" s="116"/>
      <c r="D243" s="55"/>
    </row>
    <row r="244" spans="2:4" hidden="1" x14ac:dyDescent="0.2">
      <c r="B244" s="61"/>
      <c r="C244" s="116"/>
      <c r="D244" s="55"/>
    </row>
    <row r="245" spans="2:4" hidden="1" x14ac:dyDescent="0.2">
      <c r="B245" s="61"/>
      <c r="C245" s="116"/>
      <c r="D245" s="55"/>
    </row>
    <row r="246" spans="2:4" hidden="1" x14ac:dyDescent="0.2">
      <c r="B246" s="61"/>
      <c r="C246" s="116"/>
      <c r="D246" s="55"/>
    </row>
    <row r="247" spans="2:4" hidden="1" x14ac:dyDescent="0.2">
      <c r="B247" s="61"/>
      <c r="C247" s="116"/>
      <c r="D247" s="55"/>
    </row>
    <row r="248" spans="2:4" hidden="1" x14ac:dyDescent="0.2">
      <c r="B248" s="61"/>
      <c r="C248" s="116"/>
      <c r="D248" s="55"/>
    </row>
    <row r="249" spans="2:4" hidden="1" x14ac:dyDescent="0.2">
      <c r="B249" s="61"/>
      <c r="C249" s="116"/>
      <c r="D249" s="55"/>
    </row>
    <row r="250" spans="2:4" hidden="1" x14ac:dyDescent="0.2">
      <c r="B250" s="61"/>
      <c r="C250" s="116"/>
      <c r="D250" s="55"/>
    </row>
    <row r="251" spans="2:4" hidden="1" x14ac:dyDescent="0.2">
      <c r="B251" s="61"/>
      <c r="C251" s="116"/>
      <c r="D251" s="55"/>
    </row>
    <row r="252" spans="2:4" hidden="1" x14ac:dyDescent="0.2">
      <c r="B252" s="61"/>
      <c r="C252" s="116"/>
      <c r="D252" s="55"/>
    </row>
    <row r="253" spans="2:4" hidden="1" x14ac:dyDescent="0.2">
      <c r="B253" s="61"/>
      <c r="C253" s="116"/>
      <c r="D253" s="55"/>
    </row>
    <row r="254" spans="2:4" hidden="1" x14ac:dyDescent="0.2">
      <c r="B254" s="61"/>
      <c r="C254" s="116"/>
      <c r="D254" s="55"/>
    </row>
    <row r="255" spans="2:4" hidden="1" x14ac:dyDescent="0.2">
      <c r="B255" s="61"/>
      <c r="C255" s="116"/>
      <c r="D255" s="55"/>
    </row>
    <row r="256" spans="2:4" hidden="1" x14ac:dyDescent="0.2">
      <c r="B256" s="61"/>
      <c r="C256" s="116"/>
      <c r="D256" s="55"/>
    </row>
    <row r="257" spans="2:4" hidden="1" x14ac:dyDescent="0.2">
      <c r="B257" s="61"/>
      <c r="C257" s="116"/>
      <c r="D257" s="55"/>
    </row>
    <row r="258" spans="2:4" hidden="1" x14ac:dyDescent="0.2">
      <c r="B258" s="61"/>
      <c r="C258" s="116"/>
      <c r="D258" s="55"/>
    </row>
    <row r="259" spans="2:4" hidden="1" x14ac:dyDescent="0.2">
      <c r="B259" s="61"/>
      <c r="C259" s="116"/>
      <c r="D259" s="55"/>
    </row>
    <row r="260" spans="2:4" hidden="1" x14ac:dyDescent="0.2">
      <c r="B260" s="61"/>
      <c r="C260" s="116"/>
      <c r="D260" s="55"/>
    </row>
    <row r="261" spans="2:4" hidden="1" x14ac:dyDescent="0.2">
      <c r="B261" s="61"/>
      <c r="C261" s="116"/>
      <c r="D261" s="55"/>
    </row>
    <row r="262" spans="2:4" hidden="1" x14ac:dyDescent="0.2">
      <c r="B262" s="61"/>
      <c r="C262" s="116"/>
      <c r="D262" s="55"/>
    </row>
    <row r="263" spans="2:4" hidden="1" x14ac:dyDescent="0.2">
      <c r="B263" s="61"/>
      <c r="C263" s="116"/>
      <c r="D263" s="55"/>
    </row>
    <row r="264" spans="2:4" hidden="1" x14ac:dyDescent="0.2">
      <c r="B264" s="61"/>
      <c r="C264" s="116"/>
      <c r="D264" s="55"/>
    </row>
    <row r="265" spans="2:4" hidden="1" x14ac:dyDescent="0.2">
      <c r="B265" s="61"/>
      <c r="C265" s="116"/>
      <c r="D265" s="55"/>
    </row>
    <row r="266" spans="2:4" hidden="1" x14ac:dyDescent="0.2">
      <c r="B266" s="61"/>
      <c r="C266" s="116"/>
      <c r="D266" s="55"/>
    </row>
    <row r="267" spans="2:4" hidden="1" x14ac:dyDescent="0.2">
      <c r="B267" s="61"/>
      <c r="C267" s="116"/>
      <c r="D267" s="55"/>
    </row>
    <row r="268" spans="2:4" hidden="1" x14ac:dyDescent="0.2">
      <c r="B268" s="61"/>
      <c r="C268" s="116"/>
      <c r="D268" s="55"/>
    </row>
    <row r="269" spans="2:4" hidden="1" x14ac:dyDescent="0.2">
      <c r="B269" s="61"/>
      <c r="C269" s="116"/>
      <c r="D269" s="55"/>
    </row>
    <row r="270" spans="2:4" hidden="1" x14ac:dyDescent="0.2">
      <c r="B270" s="61"/>
      <c r="C270" s="116"/>
      <c r="D270" s="55"/>
    </row>
    <row r="271" spans="2:4" hidden="1" x14ac:dyDescent="0.2">
      <c r="B271" s="61"/>
      <c r="C271" s="116"/>
      <c r="D271" s="55"/>
    </row>
    <row r="272" spans="2:4" hidden="1" x14ac:dyDescent="0.2">
      <c r="B272" s="61"/>
      <c r="C272" s="116"/>
      <c r="D272" s="55"/>
    </row>
    <row r="273" spans="2:4" hidden="1" x14ac:dyDescent="0.2">
      <c r="B273" s="61"/>
      <c r="C273" s="116"/>
      <c r="D273" s="55"/>
    </row>
    <row r="274" spans="2:4" hidden="1" x14ac:dyDescent="0.2">
      <c r="B274" s="61"/>
      <c r="C274" s="116"/>
      <c r="D274" s="55"/>
    </row>
    <row r="275" spans="2:4" hidden="1" x14ac:dyDescent="0.2">
      <c r="B275" s="61"/>
      <c r="C275" s="116"/>
      <c r="D275" s="55"/>
    </row>
    <row r="276" spans="2:4" hidden="1" x14ac:dyDescent="0.2">
      <c r="B276" s="61"/>
      <c r="C276" s="116"/>
      <c r="D276" s="55"/>
    </row>
    <row r="277" spans="2:4" hidden="1" x14ac:dyDescent="0.2">
      <c r="B277" s="61"/>
      <c r="C277" s="116"/>
      <c r="D277" s="55"/>
    </row>
    <row r="278" spans="2:4" hidden="1" x14ac:dyDescent="0.2">
      <c r="B278" s="61"/>
      <c r="C278" s="116"/>
      <c r="D278" s="55"/>
    </row>
    <row r="279" spans="2:4" hidden="1" x14ac:dyDescent="0.2">
      <c r="B279" s="61"/>
      <c r="C279" s="116"/>
      <c r="D279" s="55"/>
    </row>
    <row r="280" spans="2:4" hidden="1" x14ac:dyDescent="0.2">
      <c r="B280" s="61"/>
      <c r="C280" s="116"/>
      <c r="D280" s="55"/>
    </row>
    <row r="281" spans="2:4" hidden="1" x14ac:dyDescent="0.2">
      <c r="B281" s="61"/>
      <c r="C281" s="116"/>
      <c r="D281" s="55"/>
    </row>
    <row r="282" spans="2:4" hidden="1" x14ac:dyDescent="0.2">
      <c r="B282" s="61"/>
      <c r="C282" s="116"/>
      <c r="D282" s="55"/>
    </row>
    <row r="283" spans="2:4" hidden="1" x14ac:dyDescent="0.2">
      <c r="B283" s="61"/>
      <c r="C283" s="116"/>
      <c r="D283" s="55"/>
    </row>
    <row r="284" spans="2:4" hidden="1" x14ac:dyDescent="0.2">
      <c r="B284" s="61"/>
      <c r="C284" s="116"/>
      <c r="D284" s="55"/>
    </row>
    <row r="285" spans="2:4" hidden="1" x14ac:dyDescent="0.2">
      <c r="B285" s="61"/>
      <c r="C285" s="116"/>
      <c r="D285" s="55"/>
    </row>
    <row r="286" spans="2:4" hidden="1" x14ac:dyDescent="0.2">
      <c r="B286" s="61"/>
      <c r="C286" s="116"/>
      <c r="D286" s="55"/>
    </row>
    <row r="287" spans="2:4" hidden="1" x14ac:dyDescent="0.2">
      <c r="B287" s="61"/>
      <c r="C287" s="116"/>
      <c r="D287" s="55"/>
    </row>
    <row r="288" spans="2:4" hidden="1" x14ac:dyDescent="0.2">
      <c r="B288" s="61"/>
      <c r="C288" s="116"/>
      <c r="D288" s="55"/>
    </row>
    <row r="289" spans="2:4" hidden="1" x14ac:dyDescent="0.2">
      <c r="B289" s="61"/>
      <c r="C289" s="116"/>
      <c r="D289" s="55"/>
    </row>
    <row r="290" spans="2:4" hidden="1" x14ac:dyDescent="0.2">
      <c r="B290" s="61"/>
      <c r="C290" s="116"/>
      <c r="D290" s="55"/>
    </row>
    <row r="291" spans="2:4" hidden="1" x14ac:dyDescent="0.2">
      <c r="B291" s="61"/>
      <c r="C291" s="116"/>
      <c r="D291" s="55"/>
    </row>
    <row r="292" spans="2:4" hidden="1" x14ac:dyDescent="0.2">
      <c r="B292" s="61"/>
      <c r="C292" s="116"/>
      <c r="D292" s="55"/>
    </row>
    <row r="293" spans="2:4" hidden="1" x14ac:dyDescent="0.2">
      <c r="B293" s="61"/>
      <c r="C293" s="116"/>
      <c r="D293" s="55"/>
    </row>
    <row r="294" spans="2:4" hidden="1" x14ac:dyDescent="0.2">
      <c r="B294" s="61"/>
      <c r="C294" s="116"/>
      <c r="D294" s="55"/>
    </row>
    <row r="295" spans="2:4" hidden="1" x14ac:dyDescent="0.2">
      <c r="B295" s="61"/>
      <c r="C295" s="116"/>
      <c r="D295" s="55"/>
    </row>
    <row r="296" spans="2:4" hidden="1" x14ac:dyDescent="0.2">
      <c r="B296" s="61"/>
      <c r="C296" s="116"/>
      <c r="D296" s="55"/>
    </row>
    <row r="297" spans="2:4" hidden="1" x14ac:dyDescent="0.2">
      <c r="B297" s="61"/>
      <c r="C297" s="116"/>
      <c r="D297" s="55"/>
    </row>
    <row r="298" spans="2:4" hidden="1" x14ac:dyDescent="0.2">
      <c r="B298" s="61"/>
      <c r="C298" s="116"/>
      <c r="D298" s="55"/>
    </row>
    <row r="299" spans="2:4" hidden="1" x14ac:dyDescent="0.2">
      <c r="B299" s="61"/>
      <c r="C299" s="116"/>
      <c r="D299" s="55"/>
    </row>
    <row r="300" spans="2:4" hidden="1" x14ac:dyDescent="0.2">
      <c r="B300" s="61"/>
      <c r="C300" s="116"/>
      <c r="D300" s="55"/>
    </row>
    <row r="301" spans="2:4" hidden="1" x14ac:dyDescent="0.2">
      <c r="B301" s="61"/>
      <c r="C301" s="116"/>
      <c r="D301" s="55"/>
    </row>
    <row r="302" spans="2:4" hidden="1" x14ac:dyDescent="0.2">
      <c r="B302" s="61"/>
      <c r="C302" s="116"/>
      <c r="D302" s="55"/>
    </row>
    <row r="303" spans="2:4" hidden="1" x14ac:dyDescent="0.2">
      <c r="B303" s="61"/>
      <c r="C303" s="116"/>
      <c r="D303" s="55"/>
    </row>
    <row r="304" spans="2:4" hidden="1" x14ac:dyDescent="0.2">
      <c r="B304" s="61"/>
      <c r="C304" s="116"/>
      <c r="D304" s="55"/>
    </row>
    <row r="305" spans="2:4" hidden="1" x14ac:dyDescent="0.2">
      <c r="B305" s="61"/>
      <c r="C305" s="116"/>
      <c r="D305" s="55"/>
    </row>
    <row r="306" spans="2:4" hidden="1" x14ac:dyDescent="0.2">
      <c r="B306" s="61"/>
      <c r="C306" s="116"/>
      <c r="D306" s="55"/>
    </row>
    <row r="307" spans="2:4" hidden="1" x14ac:dyDescent="0.2">
      <c r="B307" s="61"/>
      <c r="C307" s="116"/>
      <c r="D307" s="55"/>
    </row>
    <row r="308" spans="2:4" hidden="1" x14ac:dyDescent="0.2">
      <c r="B308" s="61"/>
      <c r="C308" s="116"/>
      <c r="D308" s="55"/>
    </row>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61" activePane="bottomRight" state="frozen"/>
      <selection pane="topRight"/>
      <selection pane="bottomLeft"/>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Time</v>
      </c>
      <c r="C1" s="132"/>
      <c r="E1" s="131"/>
    </row>
    <row r="2" spans="1:78" s="28" customFormat="1" x14ac:dyDescent="0.2">
      <c r="A2" s="62"/>
      <c r="B2" s="58"/>
      <c r="C2" s="107"/>
      <c r="D2" s="52"/>
      <c r="E2" s="45"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
      <c r="A5" s="50"/>
      <c r="B5" s="64"/>
      <c r="C5" s="124"/>
      <c r="D5" s="55"/>
      <c r="E5" s="90"/>
      <c r="F5" s="90"/>
      <c r="G5" s="226"/>
      <c r="H5" s="21"/>
    </row>
    <row r="6" spans="1:78" s="24" customFormat="1" x14ac:dyDescent="0.2">
      <c r="A6" s="63"/>
      <c r="B6" s="60"/>
      <c r="C6" s="109"/>
      <c r="D6" s="54"/>
      <c r="E6" s="45"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
      <c r="A8" s="49" t="s">
        <v>284</v>
      </c>
      <c r="D8" s="57"/>
      <c r="E8" s="92"/>
    </row>
    <row r="9" spans="1:78" x14ac:dyDescent="0.2">
      <c r="A9" s="49"/>
      <c r="D9" s="57"/>
      <c r="E9" s="92"/>
    </row>
    <row r="10" spans="1:78" s="65" customFormat="1" x14ac:dyDescent="0.2">
      <c r="A10" s="48"/>
      <c r="B10" s="59" t="s">
        <v>285</v>
      </c>
      <c r="C10" s="108"/>
      <c r="D10" s="53"/>
      <c r="E10" s="93"/>
      <c r="G10" s="37"/>
    </row>
    <row r="11" spans="1:78" s="42" customFormat="1" x14ac:dyDescent="0.2">
      <c r="A11" s="66"/>
      <c r="B11" s="67"/>
      <c r="C11" s="125"/>
      <c r="D11" s="68"/>
      <c r="E11" s="91" t="s">
        <v>286</v>
      </c>
      <c r="G11" s="42" t="s">
        <v>287</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
      <c r="A12" s="49"/>
      <c r="D12" s="57"/>
      <c r="E12" s="92" t="s">
        <v>288</v>
      </c>
      <c r="F12" s="7">
        <f xml:space="preserve"> MAX(J11:BZ11)</f>
        <v>9</v>
      </c>
      <c r="G12" s="7" t="s">
        <v>289</v>
      </c>
    </row>
    <row r="13" spans="1:78" x14ac:dyDescent="0.2">
      <c r="A13" s="49"/>
      <c r="D13" s="57"/>
      <c r="E13" s="92"/>
    </row>
    <row r="14" spans="1:78" s="41" customFormat="1" x14ac:dyDescent="0.2">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
      <c r="A15" s="49"/>
      <c r="B15" s="64"/>
      <c r="C15" s="124"/>
      <c r="E15" s="91" t="s">
        <v>290</v>
      </c>
      <c r="G15" s="7" t="s">
        <v>291</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
      <c r="A16" s="49"/>
      <c r="B16" s="64"/>
      <c r="C16" s="124"/>
    </row>
    <row r="17" spans="1:78" s="36" customFormat="1" x14ac:dyDescent="0.2">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
      <c r="A18" s="72"/>
      <c r="B18" s="73"/>
      <c r="C18" s="126"/>
      <c r="D18" s="74"/>
      <c r="E18" s="91" t="s">
        <v>292</v>
      </c>
      <c r="F18" s="25">
        <f xml:space="preserve"> DATE(YEAR(F17), MONTH(F17), 1)</f>
        <v>42826</v>
      </c>
      <c r="G18" s="25" t="s">
        <v>293</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
      <c r="A19" s="72"/>
      <c r="B19" s="73"/>
      <c r="C19" s="126"/>
      <c r="D19" s="74"/>
      <c r="E19" s="94"/>
      <c r="I19" s="32"/>
    </row>
    <row r="20" spans="1:78" s="25" customFormat="1" x14ac:dyDescent="0.2">
      <c r="A20" s="72"/>
      <c r="B20" s="73"/>
      <c r="C20" s="126"/>
      <c r="D20" s="74"/>
      <c r="E20" s="91" t="str">
        <f xml:space="preserve"> E$18</f>
        <v>First model period BEG</v>
      </c>
      <c r="F20" s="25">
        <f xml:space="preserve"> F$18</f>
        <v>42826</v>
      </c>
      <c r="G20" s="25" t="str">
        <f xml:space="preserve"> G$18</f>
        <v>month</v>
      </c>
      <c r="I20" s="18"/>
    </row>
    <row r="21" spans="1:78" x14ac:dyDescent="0.2">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
      <c r="A22" s="75"/>
      <c r="B22" s="76"/>
      <c r="C22" s="127"/>
      <c r="D22" s="77"/>
      <c r="E22" s="91" t="s">
        <v>294</v>
      </c>
      <c r="G22" s="17" t="s">
        <v>138</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
      <c r="A23" s="75"/>
      <c r="B23" s="78"/>
      <c r="C23" s="128"/>
      <c r="D23" s="79"/>
      <c r="E23" s="95" t="s">
        <v>295</v>
      </c>
      <c r="F23" s="34"/>
      <c r="G23" s="39" t="s">
        <v>138</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
      <c r="A24" s="75"/>
      <c r="B24" s="78"/>
      <c r="C24" s="128"/>
      <c r="D24" s="79"/>
      <c r="E24" s="92"/>
    </row>
    <row r="25" spans="1:78" s="31" customFormat="1" x14ac:dyDescent="0.2">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
      <c r="A26" s="75"/>
      <c r="B26" s="78"/>
      <c r="C26" s="128"/>
      <c r="D26" s="79" t="s">
        <v>296</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
      <c r="A27" s="80"/>
      <c r="B27" s="81"/>
      <c r="C27" s="129"/>
      <c r="D27" s="82"/>
      <c r="E27" s="92" t="s">
        <v>297</v>
      </c>
      <c r="G27" s="38" t="s">
        <v>298</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
      <c r="A28" s="47"/>
      <c r="B28" s="59"/>
      <c r="C28" s="108"/>
      <c r="D28" s="53"/>
      <c r="E28" s="93"/>
      <c r="G28" s="37"/>
    </row>
    <row r="29" spans="1:78" s="65" customFormat="1" x14ac:dyDescent="0.2">
      <c r="A29" s="47"/>
      <c r="B29" s="59"/>
      <c r="C29" s="108"/>
      <c r="D29" s="53"/>
      <c r="E29" s="93"/>
      <c r="G29" s="37"/>
    </row>
    <row r="30" spans="1:78" s="31" customFormat="1" x14ac:dyDescent="0.2">
      <c r="A30" s="75" t="s">
        <v>299</v>
      </c>
      <c r="B30" s="78"/>
      <c r="C30" s="128"/>
      <c r="D30" s="79"/>
      <c r="E30" s="92"/>
    </row>
    <row r="31" spans="1:78" s="31" customFormat="1" x14ac:dyDescent="0.2">
      <c r="A31" s="75"/>
      <c r="B31" s="78"/>
      <c r="C31" s="128"/>
      <c r="D31" s="79"/>
      <c r="E31" s="92"/>
    </row>
    <row r="32" spans="1:78" s="32" customFormat="1" x14ac:dyDescent="0.2">
      <c r="A32" s="72"/>
      <c r="B32" s="83"/>
      <c r="C32" s="130"/>
      <c r="D32" s="84"/>
      <c r="E32" s="96" t="str">
        <f xml:space="preserve"> InpR!E$13</f>
        <v>Last Pre Forecast Date</v>
      </c>
      <c r="F32" s="32">
        <f xml:space="preserve"> InpR!F$13</f>
        <v>43921</v>
      </c>
      <c r="G32" s="32" t="str">
        <f xml:space="preserve"> InpR!G$13</f>
        <v>date</v>
      </c>
    </row>
    <row r="33" spans="1:18" s="85" customFormat="1" x14ac:dyDescent="0.2">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
      <c r="A34" s="49"/>
      <c r="B34" s="64"/>
      <c r="C34" s="124"/>
      <c r="E34" s="91" t="s">
        <v>300</v>
      </c>
      <c r="G34" s="7" t="s">
        <v>291</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
      <c r="A35" s="49"/>
      <c r="B35" s="64"/>
      <c r="C35" s="124"/>
      <c r="E35" s="91" t="s">
        <v>301</v>
      </c>
      <c r="G35" s="7" t="s">
        <v>291</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
      <c r="A36" s="49"/>
      <c r="D36" s="57"/>
      <c r="E36" s="92" t="s">
        <v>302</v>
      </c>
      <c r="F36" s="21">
        <f xml:space="preserve"> SUM(J35:BZ35)</f>
        <v>3</v>
      </c>
      <c r="G36" s="7" t="s">
        <v>303</v>
      </c>
    </row>
    <row r="37" spans="1:18" x14ac:dyDescent="0.2">
      <c r="A37" s="49"/>
      <c r="D37" s="57"/>
      <c r="E37" s="92"/>
    </row>
    <row r="38" spans="1:18" s="36" customFormat="1" x14ac:dyDescent="0.2">
      <c r="A38" s="86"/>
      <c r="B38" s="73"/>
      <c r="C38" s="126"/>
      <c r="D38" s="74"/>
      <c r="E38" s="94" t="str">
        <f xml:space="preserve"> InpR!E$15</f>
        <v>Acquisition date (midnight)</v>
      </c>
      <c r="F38" s="36">
        <f xml:space="preserve"> InpR!F$15</f>
        <v>43921</v>
      </c>
      <c r="G38" s="36" t="str">
        <f xml:space="preserve"> InpR!G$15</f>
        <v>date</v>
      </c>
    </row>
    <row r="39" spans="1:18" s="85" customFormat="1" x14ac:dyDescent="0.2">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
      <c r="A40" s="49"/>
      <c r="B40" s="64"/>
      <c r="C40" s="124"/>
      <c r="D40" s="55"/>
      <c r="E40" s="98" t="s">
        <v>304</v>
      </c>
      <c r="G40" s="2" t="s">
        <v>291</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
      <c r="A41" s="75"/>
      <c r="B41" s="78"/>
      <c r="C41" s="128"/>
      <c r="D41" s="79"/>
      <c r="E41" s="92"/>
    </row>
    <row r="42" spans="1:18" s="31" customFormat="1" x14ac:dyDescent="0.2">
      <c r="A42" s="75"/>
      <c r="B42" s="78"/>
      <c r="C42" s="128"/>
      <c r="D42" s="79"/>
      <c r="E42" s="92"/>
    </row>
    <row r="43" spans="1:18" x14ac:dyDescent="0.2">
      <c r="A43" s="49" t="s">
        <v>305</v>
      </c>
      <c r="D43" s="57"/>
      <c r="E43" s="92"/>
    </row>
    <row r="44" spans="1:18" x14ac:dyDescent="0.2">
      <c r="A44" s="49"/>
      <c r="D44" s="57"/>
      <c r="E44" s="92"/>
    </row>
    <row r="45" spans="1:18" x14ac:dyDescent="0.2">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
      <c r="E46" s="91" t="s">
        <v>306</v>
      </c>
      <c r="G46" s="7" t="s">
        <v>291</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
      <c r="A48" s="72"/>
      <c r="B48" s="83"/>
      <c r="C48" s="130"/>
      <c r="D48" s="84"/>
      <c r="E48" s="96" t="str">
        <f>InpR!E$17</f>
        <v>Last forecast date</v>
      </c>
      <c r="F48" s="32">
        <f>InpR!F$17</f>
        <v>45747</v>
      </c>
      <c r="G48" s="32" t="str">
        <f>InpR!G$17</f>
        <v>date</v>
      </c>
    </row>
    <row r="49" spans="1:78" x14ac:dyDescent="0.2">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
      <c r="E50" s="92" t="s">
        <v>307</v>
      </c>
      <c r="G50" s="7" t="s">
        <v>291</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
      <c r="E51" s="92"/>
    </row>
    <row r="52" spans="1:78" x14ac:dyDescent="0.2">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
      <c r="A54" s="50"/>
      <c r="B54" s="61"/>
      <c r="C54" s="110"/>
      <c r="D54" s="55"/>
      <c r="E54" s="95" t="s">
        <v>308</v>
      </c>
      <c r="G54" s="34" t="s">
        <v>291</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
      <c r="A55" s="49"/>
      <c r="D55" s="57"/>
      <c r="E55" s="92" t="s">
        <v>309</v>
      </c>
      <c r="F55" s="7">
        <f xml:space="preserve"> SUM(J54:BZ54)</f>
        <v>5</v>
      </c>
      <c r="G55" s="7" t="s">
        <v>303</v>
      </c>
    </row>
    <row r="56" spans="1:78" x14ac:dyDescent="0.2">
      <c r="A56" s="49"/>
      <c r="D56" s="57"/>
      <c r="E56" s="92"/>
    </row>
    <row r="57" spans="1:78" x14ac:dyDescent="0.2">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
      <c r="A59" s="49"/>
      <c r="D59" s="57"/>
      <c r="E59" s="92" t="s">
        <v>310</v>
      </c>
      <c r="G59" s="7" t="s">
        <v>291</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
      <c r="A60" s="49"/>
      <c r="D60" s="57"/>
      <c r="E60" s="92"/>
    </row>
    <row r="61" spans="1:78" x14ac:dyDescent="0.2">
      <c r="A61" s="49"/>
      <c r="D61" s="57"/>
      <c r="E61" s="92"/>
    </row>
    <row r="62" spans="1:78" x14ac:dyDescent="0.2">
      <c r="A62" s="49" t="s">
        <v>311</v>
      </c>
      <c r="D62" s="57"/>
      <c r="E62" s="92"/>
    </row>
    <row r="63" spans="1:78" x14ac:dyDescent="0.2">
      <c r="A63" s="49"/>
      <c r="D63" s="57"/>
      <c r="E63" s="92"/>
    </row>
    <row r="64" spans="1:78" x14ac:dyDescent="0.2">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
      <c r="A65" s="49"/>
      <c r="D65" s="57"/>
      <c r="E65" s="92" t="s">
        <v>312</v>
      </c>
      <c r="G65" s="7" t="s">
        <v>291</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
      <c r="A66" s="49"/>
      <c r="D66" s="57"/>
      <c r="E66" s="92"/>
    </row>
    <row r="67" spans="1:18" x14ac:dyDescent="0.2">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
      <c r="A68" s="49"/>
      <c r="D68" s="57"/>
      <c r="E68" s="92" t="s">
        <v>313</v>
      </c>
      <c r="G68" s="7" t="s">
        <v>291</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
      <c r="A69" s="49"/>
      <c r="D69" s="57"/>
      <c r="E69" s="92" t="s">
        <v>314</v>
      </c>
      <c r="F69" s="7">
        <f xml:space="preserve"> SUM(J68:BZ68)</f>
        <v>1</v>
      </c>
      <c r="G69" s="7" t="s">
        <v>303</v>
      </c>
    </row>
    <row r="72" spans="1:18" x14ac:dyDescent="0.2">
      <c r="A72" s="49" t="s">
        <v>315</v>
      </c>
      <c r="D72" s="57"/>
      <c r="E72" s="92"/>
    </row>
    <row r="74" spans="1:18" x14ac:dyDescent="0.2">
      <c r="E74" s="91" t="str">
        <f xml:space="preserve"> E$12</f>
        <v>Model Column Total</v>
      </c>
      <c r="F74" s="7">
        <f xml:space="preserve"> F$12</f>
        <v>9</v>
      </c>
      <c r="G74" s="7" t="str">
        <f xml:space="preserve"> G$12</f>
        <v>column</v>
      </c>
    </row>
    <row r="75" spans="1:18" x14ac:dyDescent="0.2">
      <c r="D75" s="55" t="s">
        <v>296</v>
      </c>
      <c r="E75" s="91" t="str">
        <f xml:space="preserve"> E$36</f>
        <v>Pre Forecast Period Total</v>
      </c>
      <c r="F75" s="7">
        <f xml:space="preserve"> F$36</f>
        <v>3</v>
      </c>
      <c r="G75" s="7" t="str">
        <f xml:space="preserve"> G$36</f>
        <v>columns</v>
      </c>
    </row>
    <row r="76" spans="1:18" x14ac:dyDescent="0.2">
      <c r="D76" s="55" t="s">
        <v>296</v>
      </c>
      <c r="E76" s="91" t="str">
        <f xml:space="preserve"> E$55</f>
        <v xml:space="preserve">Forecast Period Total </v>
      </c>
      <c r="F76" s="7">
        <f xml:space="preserve"> F$55</f>
        <v>5</v>
      </c>
      <c r="G76" s="7" t="str">
        <f xml:space="preserve"> G$55</f>
        <v>columns</v>
      </c>
    </row>
    <row r="77" spans="1:18" x14ac:dyDescent="0.2">
      <c r="D77" s="55" t="s">
        <v>296</v>
      </c>
      <c r="E77" s="91" t="str">
        <f xml:space="preserve"> E$69</f>
        <v>Post Forecast Period Total</v>
      </c>
      <c r="F77" s="7">
        <f xml:space="preserve"> F$69</f>
        <v>1</v>
      </c>
      <c r="G77" s="7" t="str">
        <f xml:space="preserve"> G$69</f>
        <v>columns</v>
      </c>
    </row>
    <row r="78" spans="1:18" x14ac:dyDescent="0.2">
      <c r="A78" s="49"/>
      <c r="D78" s="57"/>
      <c r="E78" s="92" t="s">
        <v>316</v>
      </c>
      <c r="F78" s="33">
        <f xml:space="preserve"> IF(F74 - SUM(F75:F77) &lt;&gt; 0, 1, 0)</f>
        <v>0</v>
      </c>
      <c r="G78" s="7" t="s">
        <v>317</v>
      </c>
    </row>
    <row r="80" spans="1:18" x14ac:dyDescent="0.2">
      <c r="A80" s="133" t="s">
        <v>318</v>
      </c>
      <c r="D80" s="57"/>
      <c r="E80" s="92"/>
    </row>
    <row r="82" spans="1:18" x14ac:dyDescent="0.2">
      <c r="E82" s="96" t="str">
        <f>InpR!E$22</f>
        <v>First Modelling Column Financial Year Number</v>
      </c>
      <c r="F82" s="4">
        <f>InpR!F$22</f>
        <v>2018</v>
      </c>
      <c r="G82" s="101" t="str">
        <f>InpR!G$22</f>
        <v>year</v>
      </c>
    </row>
    <row r="83" spans="1:18" x14ac:dyDescent="0.2">
      <c r="E83" s="96" t="str">
        <f>InpR!E$23</f>
        <v>Financial Year End Month Number</v>
      </c>
      <c r="F83" s="284">
        <f>InpR!F$23</f>
        <v>3</v>
      </c>
      <c r="G83" s="101" t="str">
        <f>InpR!G$23</f>
        <v>month #</v>
      </c>
    </row>
    <row r="84" spans="1:18" s="17" customFormat="1" x14ac:dyDescent="0.2">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
      <c r="E86" s="91" t="s">
        <v>319</v>
      </c>
      <c r="G86" s="7" t="s">
        <v>320</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
      <c r="A89" s="10" t="s">
        <v>114</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118" activePane="bottomRight" state="frozen"/>
      <selection pane="topRight"/>
      <selection pane="bottomLeft"/>
      <selection pane="bottomRight" activeCell="I11" sqref="I11"/>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5.85546875" style="7" bestFit="1"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Index</v>
      </c>
      <c r="C1" s="132"/>
      <c r="E1" s="131"/>
    </row>
    <row r="2" spans="1:78"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
      <c r="A5" s="24"/>
      <c r="B5" s="60"/>
      <c r="C5" s="109"/>
      <c r="D5" s="54"/>
      <c r="E5" s="21"/>
      <c r="F5" s="21"/>
      <c r="G5" s="226"/>
      <c r="H5" s="21"/>
      <c r="I5" s="21"/>
      <c r="J5"/>
      <c r="K5"/>
      <c r="L5"/>
      <c r="M5"/>
      <c r="N5"/>
      <c r="O5"/>
      <c r="P5"/>
      <c r="Q5"/>
      <c r="R5"/>
    </row>
    <row r="6" spans="1:78"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
      <c r="A9" s="285" t="s">
        <v>150</v>
      </c>
      <c r="B9" s="286"/>
      <c r="C9" s="287"/>
      <c r="D9" s="287"/>
      <c r="E9" s="287"/>
      <c r="F9" s="287"/>
      <c r="G9" s="287"/>
      <c r="H9" s="287"/>
      <c r="I9" s="287"/>
      <c r="J9" s="287"/>
      <c r="K9" s="287"/>
      <c r="L9" s="287"/>
      <c r="M9" s="287"/>
      <c r="N9" s="287"/>
      <c r="O9" s="287"/>
      <c r="P9" s="287"/>
      <c r="Q9" s="287"/>
      <c r="R9" s="287"/>
    </row>
    <row r="10" spans="1:78" x14ac:dyDescent="0.2">
      <c r="B10" s="61" t="s">
        <v>151</v>
      </c>
      <c r="C10" s="116"/>
      <c r="E10" s="92"/>
    </row>
    <row r="11" spans="1:78" s="65" customFormat="1" x14ac:dyDescent="0.2">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0</v>
      </c>
    </row>
    <row r="12" spans="1:78" s="65" customFormat="1" x14ac:dyDescent="0.2">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0</v>
      </c>
    </row>
    <row r="13" spans="1:78" s="65" customFormat="1" x14ac:dyDescent="0.2">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0</v>
      </c>
    </row>
    <row r="14" spans="1:78" s="65" customFormat="1" x14ac:dyDescent="0.2">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0</v>
      </c>
    </row>
    <row r="15" spans="1:78" s="65" customFormat="1" x14ac:dyDescent="0.2">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0</v>
      </c>
    </row>
    <row r="16" spans="1:78" s="65" customFormat="1" x14ac:dyDescent="0.2">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0</v>
      </c>
    </row>
    <row r="17" spans="1:18" s="65" customFormat="1" x14ac:dyDescent="0.2">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0</v>
      </c>
    </row>
    <row r="18" spans="1:18" s="65" customFormat="1" x14ac:dyDescent="0.2">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0</v>
      </c>
    </row>
    <row r="19" spans="1:18" s="65" customFormat="1" x14ac:dyDescent="0.2">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0</v>
      </c>
    </row>
    <row r="20" spans="1:18" s="65" customFormat="1" x14ac:dyDescent="0.2">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0</v>
      </c>
    </row>
    <row r="21" spans="1:18" s="65" customFormat="1" x14ac:dyDescent="0.2">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0</v>
      </c>
    </row>
    <row r="22" spans="1:18" s="65" customFormat="1" x14ac:dyDescent="0.2">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0</v>
      </c>
    </row>
    <row r="23" spans="1:18" s="65" customFormat="1" x14ac:dyDescent="0.2">
      <c r="A23" s="49"/>
      <c r="B23" s="61"/>
      <c r="C23" s="116"/>
      <c r="D23" s="53"/>
      <c r="E23" s="93"/>
      <c r="F23" s="93"/>
      <c r="G23" s="93"/>
      <c r="H23" s="93"/>
      <c r="I23" s="93"/>
      <c r="J23" s="93"/>
      <c r="K23" s="93"/>
      <c r="L23" s="93"/>
      <c r="M23" s="93"/>
      <c r="N23" s="93"/>
      <c r="O23" s="93"/>
      <c r="P23" s="93"/>
      <c r="Q23" s="93"/>
      <c r="R23" s="93"/>
    </row>
    <row r="24" spans="1:18" s="65" customFormat="1" x14ac:dyDescent="0.2">
      <c r="A24" s="50"/>
      <c r="B24" s="61"/>
      <c r="C24" s="116"/>
      <c r="D24" s="55"/>
      <c r="E24" s="91" t="s">
        <v>321</v>
      </c>
      <c r="F24" s="91"/>
      <c r="G24" s="91" t="s">
        <v>153</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0</v>
      </c>
    </row>
    <row r="25" spans="1:18" s="65" customFormat="1" x14ac:dyDescent="0.2">
      <c r="A25" s="50"/>
      <c r="B25" s="61"/>
      <c r="C25" s="116"/>
      <c r="D25" s="55"/>
      <c r="E25" s="91" t="s">
        <v>322</v>
      </c>
      <c r="F25" s="7"/>
      <c r="G25" s="91" t="s">
        <v>247</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-1</v>
      </c>
    </row>
    <row r="26" spans="1:18" s="65" customFormat="1" x14ac:dyDescent="0.2">
      <c r="A26" s="50"/>
      <c r="B26" s="61"/>
      <c r="C26" s="116"/>
      <c r="D26" s="55"/>
      <c r="E26" s="91"/>
      <c r="F26" s="91"/>
      <c r="G26" s="91"/>
      <c r="H26" s="91"/>
      <c r="I26" s="91"/>
      <c r="J26" s="7"/>
      <c r="K26" s="7"/>
      <c r="L26" s="7"/>
      <c r="M26" s="7"/>
      <c r="N26" s="7"/>
      <c r="O26" s="7"/>
      <c r="P26" s="7"/>
      <c r="Q26" s="7"/>
      <c r="R26" s="7"/>
    </row>
    <row r="27" spans="1:18" s="65" customFormat="1" x14ac:dyDescent="0.2">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0</v>
      </c>
    </row>
    <row r="28" spans="1:18" s="65" customFormat="1" x14ac:dyDescent="0.2">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0</v>
      </c>
    </row>
    <row r="29" spans="1:18" s="65" customFormat="1" x14ac:dyDescent="0.2">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
      <c r="A30" s="50"/>
      <c r="B30" s="61"/>
      <c r="C30" s="116"/>
      <c r="D30" s="55"/>
      <c r="E30" s="168" t="s">
        <v>323</v>
      </c>
      <c r="F30" s="7"/>
      <c r="G30" s="91" t="s">
        <v>247</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
      <c r="A31" s="49"/>
      <c r="B31" s="61"/>
      <c r="C31" s="116"/>
      <c r="D31" s="53"/>
      <c r="E31" s="93"/>
      <c r="F31" s="93"/>
      <c r="G31" s="93"/>
      <c r="H31" s="93"/>
      <c r="I31" s="93"/>
      <c r="J31" s="93"/>
      <c r="K31" s="93"/>
      <c r="L31" s="93"/>
      <c r="M31" s="93"/>
      <c r="N31" s="93"/>
      <c r="O31" s="93"/>
      <c r="P31" s="93"/>
      <c r="Q31" s="93"/>
      <c r="R31" s="93"/>
    </row>
    <row r="32" spans="1:18" s="65" customFormat="1" x14ac:dyDescent="0.2">
      <c r="A32" s="50"/>
      <c r="B32" s="61" t="s">
        <v>177</v>
      </c>
      <c r="C32" s="116"/>
      <c r="D32" s="53"/>
      <c r="E32" s="93"/>
      <c r="F32" s="93"/>
      <c r="G32" s="93"/>
      <c r="H32" s="93"/>
      <c r="I32" s="93"/>
      <c r="J32" s="93"/>
      <c r="K32" s="93"/>
      <c r="L32" s="93"/>
      <c r="M32" s="93"/>
      <c r="N32" s="93"/>
      <c r="O32" s="93"/>
      <c r="P32" s="93"/>
      <c r="Q32" s="93"/>
      <c r="R32" s="93"/>
    </row>
    <row r="33" spans="1:18" s="65" customFormat="1" x14ac:dyDescent="0.2">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0</v>
      </c>
    </row>
    <row r="34" spans="1:18" s="65" customFormat="1" x14ac:dyDescent="0.2">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0</v>
      </c>
    </row>
    <row r="35" spans="1:18" s="65" customFormat="1" x14ac:dyDescent="0.2">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0</v>
      </c>
    </row>
    <row r="36" spans="1:18" s="65" customFormat="1" x14ac:dyDescent="0.2">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0</v>
      </c>
    </row>
    <row r="37" spans="1:18" s="65" customFormat="1" x14ac:dyDescent="0.2">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0</v>
      </c>
    </row>
    <row r="38" spans="1:18" s="65" customFormat="1" x14ac:dyDescent="0.2">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0</v>
      </c>
    </row>
    <row r="39" spans="1:18" s="65" customFormat="1" x14ac:dyDescent="0.2">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0</v>
      </c>
    </row>
    <row r="40" spans="1:18" s="65" customFormat="1" x14ac:dyDescent="0.2">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0</v>
      </c>
    </row>
    <row r="41" spans="1:18" s="65" customFormat="1" x14ac:dyDescent="0.2">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0</v>
      </c>
    </row>
    <row r="42" spans="1:18" s="65" customFormat="1" x14ac:dyDescent="0.2">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0</v>
      </c>
    </row>
    <row r="43" spans="1:18" s="65" customFormat="1" x14ac:dyDescent="0.2">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0</v>
      </c>
    </row>
    <row r="44" spans="1:18" s="65" customFormat="1" x14ac:dyDescent="0.2">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0</v>
      </c>
    </row>
    <row r="45" spans="1:18" s="65" customFormat="1" x14ac:dyDescent="0.2">
      <c r="A45" s="50"/>
      <c r="B45" s="61"/>
      <c r="C45" s="116"/>
      <c r="D45" s="53"/>
      <c r="E45" s="231"/>
      <c r="F45" s="231"/>
      <c r="G45" s="231"/>
      <c r="H45" s="231"/>
      <c r="I45" s="231"/>
      <c r="J45" s="231"/>
      <c r="K45" s="231"/>
      <c r="L45" s="231"/>
      <c r="M45" s="231"/>
      <c r="N45" s="231"/>
      <c r="O45" s="231"/>
      <c r="P45" s="231"/>
      <c r="Q45" s="231"/>
      <c r="R45" s="231"/>
    </row>
    <row r="46" spans="1:18" s="65" customFormat="1" x14ac:dyDescent="0.2">
      <c r="A46" s="50"/>
      <c r="B46" s="61"/>
      <c r="C46" s="116"/>
      <c r="D46" s="55"/>
      <c r="E46" s="91" t="s">
        <v>324</v>
      </c>
      <c r="F46" s="91"/>
      <c r="G46" s="91" t="s">
        <v>153</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0</v>
      </c>
    </row>
    <row r="47" spans="1:18" s="65" customFormat="1" x14ac:dyDescent="0.2">
      <c r="A47" s="50"/>
      <c r="B47" s="61"/>
      <c r="C47" s="116"/>
      <c r="D47" s="55"/>
      <c r="E47" s="237" t="s">
        <v>325</v>
      </c>
      <c r="F47" s="237"/>
      <c r="G47" s="237" t="s">
        <v>247</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0</v>
      </c>
    </row>
    <row r="48" spans="1:18" s="65" customFormat="1" x14ac:dyDescent="0.2">
      <c r="A48" s="50"/>
      <c r="B48" s="61"/>
      <c r="C48" s="116"/>
      <c r="D48" s="55"/>
      <c r="E48" s="91" t="s">
        <v>326</v>
      </c>
      <c r="F48" s="7"/>
      <c r="G48" s="91" t="s">
        <v>247</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v>
      </c>
    </row>
    <row r="49" spans="1:18" s="65" customFormat="1" x14ac:dyDescent="0.2">
      <c r="A49" s="50"/>
      <c r="B49" s="61"/>
      <c r="C49" s="116"/>
      <c r="D49" s="55"/>
      <c r="E49" s="7"/>
      <c r="F49" s="7"/>
      <c r="G49" s="7"/>
      <c r="H49" s="7"/>
      <c r="I49" s="7"/>
      <c r="J49" s="7"/>
      <c r="K49" s="7"/>
      <c r="L49" s="7"/>
      <c r="M49" s="7"/>
      <c r="N49" s="7"/>
      <c r="O49" s="7"/>
      <c r="P49" s="7"/>
      <c r="Q49" s="7"/>
      <c r="R49" s="7"/>
    </row>
    <row r="50" spans="1:18" s="65" customFormat="1" x14ac:dyDescent="0.2">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0</v>
      </c>
    </row>
    <row r="51" spans="1:18" s="65" customFormat="1" x14ac:dyDescent="0.2">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0</v>
      </c>
    </row>
    <row r="52" spans="1:18" s="65" customFormat="1" x14ac:dyDescent="0.2">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
      <c r="A53" s="50"/>
      <c r="B53" s="61"/>
      <c r="C53" s="116"/>
      <c r="D53" s="55"/>
      <c r="E53" s="91" t="s">
        <v>327</v>
      </c>
      <c r="F53" s="7"/>
      <c r="G53" s="91" t="s">
        <v>247</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
      <c r="A54" s="50"/>
      <c r="B54" s="61"/>
      <c r="C54" s="116"/>
      <c r="D54" s="55"/>
      <c r="E54" s="7"/>
      <c r="F54" s="7"/>
      <c r="G54" s="7"/>
      <c r="H54" s="7"/>
      <c r="I54" s="7"/>
      <c r="J54" s="7"/>
      <c r="K54" s="7"/>
      <c r="L54" s="7"/>
      <c r="M54" s="7"/>
      <c r="N54" s="7"/>
      <c r="O54" s="7"/>
      <c r="P54" s="7"/>
      <c r="Q54" s="7"/>
      <c r="R54" s="7"/>
    </row>
    <row r="55" spans="1:18" s="65" customFormat="1" x14ac:dyDescent="0.2">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
      <c r="A57" s="50"/>
      <c r="B57" s="61"/>
      <c r="C57" s="116"/>
      <c r="D57" s="55"/>
      <c r="E57" s="168" t="s">
        <v>328</v>
      </c>
      <c r="F57" s="7"/>
      <c r="G57" s="91" t="s">
        <v>247</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
      <c r="A58" s="50"/>
      <c r="B58" s="61"/>
      <c r="C58" s="116"/>
      <c r="D58" s="55"/>
      <c r="E58" s="7"/>
      <c r="F58" s="7"/>
      <c r="G58" s="7"/>
      <c r="H58" s="7"/>
      <c r="I58" s="7"/>
      <c r="J58" s="234"/>
      <c r="K58" s="234"/>
      <c r="L58" s="234"/>
      <c r="M58" s="234"/>
      <c r="N58" s="234"/>
      <c r="O58" s="234"/>
      <c r="P58" s="234"/>
      <c r="Q58" s="234"/>
      <c r="R58" s="234"/>
    </row>
    <row r="59" spans="1:18" s="65" customFormat="1" x14ac:dyDescent="0.2">
      <c r="A59" s="50"/>
      <c r="B59" s="61" t="s">
        <v>329</v>
      </c>
      <c r="C59" s="116"/>
      <c r="D59" s="55"/>
      <c r="E59" s="7"/>
      <c r="F59" s="7"/>
      <c r="G59" s="7"/>
      <c r="H59" s="7"/>
      <c r="I59" s="7"/>
      <c r="J59" s="234"/>
      <c r="K59" s="234"/>
      <c r="L59" s="234"/>
      <c r="M59" s="234"/>
      <c r="N59" s="234"/>
      <c r="O59" s="234"/>
      <c r="P59" s="234"/>
      <c r="Q59" s="234"/>
      <c r="R59" s="234"/>
    </row>
    <row r="60" spans="1:18" s="65" customFormat="1" x14ac:dyDescent="0.2">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v>
      </c>
    </row>
    <row r="62" spans="1:18" s="65" customFormat="1" x14ac:dyDescent="0.2">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
      <c r="A63" s="50"/>
      <c r="B63" s="61"/>
      <c r="C63" s="116"/>
      <c r="D63" s="55"/>
      <c r="E63" s="168" t="s">
        <v>330</v>
      </c>
      <c r="F63" s="168"/>
      <c r="G63" s="168" t="s">
        <v>247</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
      <c r="A64" s="50"/>
      <c r="B64" s="61"/>
      <c r="C64" s="116"/>
      <c r="D64" s="55"/>
      <c r="E64" s="7"/>
      <c r="F64" s="7"/>
      <c r="G64" s="7"/>
      <c r="H64" s="7"/>
      <c r="I64" s="7"/>
      <c r="J64" s="234"/>
      <c r="K64" s="234"/>
      <c r="L64" s="234"/>
      <c r="M64" s="234"/>
      <c r="N64" s="234"/>
      <c r="O64" s="234"/>
      <c r="P64" s="234"/>
      <c r="Q64" s="234"/>
      <c r="R64" s="234"/>
    </row>
    <row r="65" spans="1:18" s="65" customFormat="1" x14ac:dyDescent="0.2">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-1</v>
      </c>
    </row>
    <row r="67" spans="1:18" s="65" customFormat="1" x14ac:dyDescent="0.2">
      <c r="A67" s="50"/>
      <c r="B67" s="61"/>
      <c r="C67" s="116"/>
      <c r="D67" s="55"/>
      <c r="E67" s="168" t="s">
        <v>331</v>
      </c>
      <c r="F67" s="168"/>
      <c r="G67" s="168" t="s">
        <v>247</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-1</v>
      </c>
    </row>
    <row r="68" spans="1:18" s="65" customFormat="1" x14ac:dyDescent="0.2">
      <c r="A68" s="50"/>
      <c r="B68" s="61"/>
      <c r="C68" s="116"/>
      <c r="D68" s="55"/>
      <c r="E68" s="7"/>
      <c r="F68" s="7"/>
      <c r="G68" s="7"/>
      <c r="H68" s="7"/>
      <c r="I68" s="7"/>
      <c r="J68" s="234"/>
      <c r="K68" s="234"/>
      <c r="L68" s="234"/>
      <c r="M68" s="234"/>
      <c r="N68" s="234"/>
      <c r="O68" s="234"/>
      <c r="P68" s="234"/>
      <c r="Q68" s="234"/>
      <c r="R68" s="234"/>
    </row>
    <row r="69" spans="1:18" s="65" customFormat="1" x14ac:dyDescent="0.2">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-1</v>
      </c>
    </row>
    <row r="70" spans="1:18" s="65" customFormat="1" x14ac:dyDescent="0.2">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v>
      </c>
    </row>
    <row r="71" spans="1:18" s="65" customFormat="1" x14ac:dyDescent="0.2">
      <c r="A71" s="50"/>
      <c r="B71" s="61"/>
      <c r="C71" s="116"/>
      <c r="D71" s="55"/>
      <c r="E71" s="237" t="s">
        <v>332</v>
      </c>
      <c r="F71" s="237"/>
      <c r="G71" s="237" t="s">
        <v>247</v>
      </c>
      <c r="H71" s="237"/>
      <c r="I71" s="237">
        <f>I$167</f>
        <v>0</v>
      </c>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0</v>
      </c>
    </row>
    <row r="72" spans="1:18" s="65" customFormat="1" x14ac:dyDescent="0.2">
      <c r="A72" s="50"/>
      <c r="B72" s="61"/>
      <c r="C72" s="116"/>
      <c r="D72" s="55"/>
      <c r="E72" s="231"/>
      <c r="F72" s="231"/>
      <c r="G72" s="231"/>
      <c r="H72" s="231"/>
      <c r="I72" s="231"/>
      <c r="J72" s="231"/>
      <c r="K72" s="231"/>
      <c r="L72" s="231"/>
      <c r="M72" s="231"/>
      <c r="N72" s="231"/>
      <c r="O72" s="231"/>
      <c r="P72" s="231"/>
      <c r="Q72" s="231"/>
      <c r="R72" s="231"/>
    </row>
    <row r="73" spans="1:18" x14ac:dyDescent="0.2">
      <c r="A73" s="285" t="s">
        <v>202</v>
      </c>
      <c r="B73" s="286"/>
      <c r="C73" s="287"/>
      <c r="D73" s="287"/>
      <c r="E73" s="287"/>
      <c r="F73" s="287"/>
      <c r="G73" s="287"/>
      <c r="H73" s="287"/>
      <c r="I73" s="287"/>
      <c r="J73" s="287"/>
      <c r="K73" s="287"/>
      <c r="L73" s="287"/>
      <c r="M73" s="287"/>
      <c r="N73" s="287"/>
      <c r="O73" s="287"/>
      <c r="P73" s="287"/>
      <c r="Q73" s="287"/>
      <c r="R73" s="287"/>
    </row>
    <row r="74" spans="1:18" s="65" customFormat="1" x14ac:dyDescent="0.2">
      <c r="A74" s="50"/>
      <c r="B74" s="61" t="s">
        <v>203</v>
      </c>
      <c r="C74" s="116"/>
      <c r="D74" s="53"/>
      <c r="E74" s="93"/>
      <c r="F74" s="93"/>
      <c r="G74" s="93"/>
      <c r="H74" s="93"/>
      <c r="I74" s="93"/>
      <c r="J74" s="93"/>
      <c r="K74" s="93"/>
      <c r="L74" s="93"/>
      <c r="M74" s="93"/>
      <c r="N74" s="93"/>
      <c r="O74" s="93"/>
      <c r="P74" s="93"/>
      <c r="Q74" s="93"/>
      <c r="R74" s="93"/>
    </row>
    <row r="75" spans="1:18" s="65" customFormat="1" x14ac:dyDescent="0.2">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x14ac:dyDescent="0.2">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0</v>
      </c>
    </row>
    <row r="77" spans="1:18" s="65" customFormat="1" x14ac:dyDescent="0.2">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376.4</v>
      </c>
      <c r="Q77" s="231">
        <f>InpR!Q$58</f>
        <v>388.8</v>
      </c>
      <c r="R77" s="231">
        <f>InpR!R$58</f>
        <v>0</v>
      </c>
    </row>
    <row r="78" spans="1:18" s="65" customFormat="1" x14ac:dyDescent="0.2">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374.2</v>
      </c>
      <c r="Q78" s="231">
        <f>InpR!Q$59</f>
        <v>386.5</v>
      </c>
      <c r="R78" s="231">
        <f>InpR!R$59</f>
        <v>0</v>
      </c>
    </row>
    <row r="79" spans="1:18" s="65" customFormat="1" x14ac:dyDescent="0.2">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376.6</v>
      </c>
      <c r="Q79" s="231">
        <f>InpR!Q$60</f>
        <v>389</v>
      </c>
      <c r="R79" s="231">
        <f>InpR!R$60</f>
        <v>0</v>
      </c>
    </row>
    <row r="80" spans="1:18" s="65" customFormat="1" x14ac:dyDescent="0.2">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378.4</v>
      </c>
      <c r="Q80" s="231">
        <f>InpR!Q$61</f>
        <v>390.9</v>
      </c>
      <c r="R80" s="231">
        <f>InpR!R$61</f>
        <v>0</v>
      </c>
    </row>
    <row r="81" spans="1:18" s="65" customFormat="1" x14ac:dyDescent="0.2">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377.8</v>
      </c>
      <c r="Q81" s="231">
        <f>InpR!Q$62</f>
        <v>390.3</v>
      </c>
      <c r="R81" s="231">
        <f>InpR!R$62</f>
        <v>0</v>
      </c>
    </row>
    <row r="82" spans="1:18" s="65" customFormat="1" x14ac:dyDescent="0.2">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377.3</v>
      </c>
      <c r="Q82" s="231">
        <f>InpR!Q$63</f>
        <v>389.8</v>
      </c>
      <c r="R82" s="231">
        <f>InpR!R$63</f>
        <v>0</v>
      </c>
    </row>
    <row r="83" spans="1:18" s="65" customFormat="1" x14ac:dyDescent="0.2">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379</v>
      </c>
      <c r="Q83" s="231">
        <f>InpR!Q$64</f>
        <v>391.5</v>
      </c>
      <c r="R83" s="231">
        <f>InpR!R$64</f>
        <v>0</v>
      </c>
    </row>
    <row r="84" spans="1:18" s="65" customFormat="1" x14ac:dyDescent="0.2">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378</v>
      </c>
      <c r="Q84" s="231">
        <f>InpR!Q$65</f>
        <v>389</v>
      </c>
      <c r="R84" s="231">
        <f>InpR!R$65</f>
        <v>0</v>
      </c>
    </row>
    <row r="85" spans="1:18" s="65" customFormat="1" x14ac:dyDescent="0.2">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381</v>
      </c>
      <c r="Q85" s="231">
        <f>InpR!Q$66</f>
        <v>392</v>
      </c>
      <c r="R85" s="231">
        <f>InpR!R$66</f>
        <v>0</v>
      </c>
    </row>
    <row r="86" spans="1:18" s="65" customFormat="1" x14ac:dyDescent="0.2">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383</v>
      </c>
      <c r="Q86" s="231">
        <f>InpR!Q$67</f>
        <v>394.1</v>
      </c>
      <c r="R86" s="231">
        <f>InpR!R$67</f>
        <v>0</v>
      </c>
    </row>
    <row r="87" spans="1:18" s="65" customFormat="1" x14ac:dyDescent="0.2">
      <c r="A87" s="49"/>
      <c r="B87" s="61"/>
      <c r="C87" s="116"/>
      <c r="D87" s="53"/>
      <c r="E87" s="93"/>
      <c r="F87" s="93"/>
      <c r="G87" s="93"/>
      <c r="H87" s="93"/>
      <c r="I87" s="93"/>
      <c r="J87" s="93"/>
      <c r="K87" s="93"/>
      <c r="L87" s="93"/>
      <c r="M87" s="93"/>
      <c r="N87" s="93"/>
      <c r="O87" s="93"/>
      <c r="P87" s="93"/>
      <c r="Q87" s="93"/>
      <c r="R87" s="93"/>
    </row>
    <row r="88" spans="1:18" s="65" customFormat="1" x14ac:dyDescent="0.2">
      <c r="A88" s="50"/>
      <c r="B88" s="61"/>
      <c r="C88" s="116"/>
      <c r="D88" s="55"/>
      <c r="E88" s="91" t="s">
        <v>333</v>
      </c>
      <c r="F88" s="91"/>
      <c r="G88" s="91" t="s">
        <v>153</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389.44166666666678</v>
      </c>
      <c r="R88" s="91">
        <f t="shared" si="24"/>
        <v>0</v>
      </c>
    </row>
    <row r="89" spans="1:18" s="65" customFormat="1" x14ac:dyDescent="0.2">
      <c r="A89" s="50"/>
      <c r="B89" s="61"/>
      <c r="C89" s="116"/>
      <c r="D89" s="55"/>
      <c r="E89" s="91" t="s">
        <v>334</v>
      </c>
      <c r="F89" s="7"/>
      <c r="G89" s="91" t="s">
        <v>247</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3.1679102830147077E-2</v>
      </c>
      <c r="R89" s="232">
        <f t="shared" si="25"/>
        <v>-1</v>
      </c>
    </row>
    <row r="90" spans="1:18" s="65" customFormat="1" x14ac:dyDescent="0.2">
      <c r="A90" s="50"/>
      <c r="B90" s="61"/>
      <c r="C90" s="116"/>
      <c r="D90" s="55"/>
      <c r="E90" s="91"/>
      <c r="F90" s="91"/>
      <c r="G90" s="91"/>
      <c r="H90" s="91"/>
      <c r="I90" s="91"/>
      <c r="J90" s="7"/>
      <c r="K90" s="7"/>
      <c r="L90" s="7"/>
      <c r="M90" s="7"/>
      <c r="N90" s="7"/>
      <c r="O90" s="7"/>
      <c r="P90" s="7"/>
      <c r="Q90" s="7"/>
      <c r="R90" s="7"/>
    </row>
    <row r="91" spans="1:18" s="65" customFormat="1" x14ac:dyDescent="0.2">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394.1</v>
      </c>
      <c r="R91" s="91">
        <f t="shared" si="26"/>
        <v>0</v>
      </c>
    </row>
    <row r="92" spans="1:18" s="65" customFormat="1" x14ac:dyDescent="0.2">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389.44166666666678</v>
      </c>
      <c r="R92" s="91">
        <f t="shared" si="27"/>
        <v>0</v>
      </c>
    </row>
    <row r="93" spans="1:18" s="65" customFormat="1" x14ac:dyDescent="0.2">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
      <c r="A94" s="50"/>
      <c r="B94" s="61"/>
      <c r="C94" s="116"/>
      <c r="D94" s="55"/>
      <c r="E94" s="168" t="s">
        <v>335</v>
      </c>
      <c r="F94" s="7"/>
      <c r="G94" s="91" t="s">
        <v>247</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
      <c r="A95" s="50"/>
      <c r="B95" s="61"/>
      <c r="C95" s="116"/>
      <c r="D95" s="53"/>
      <c r="E95" s="93"/>
      <c r="F95" s="93"/>
      <c r="G95" s="93"/>
      <c r="H95" s="93"/>
      <c r="I95" s="93"/>
      <c r="J95" s="93"/>
      <c r="K95" s="93"/>
      <c r="L95" s="93"/>
      <c r="M95" s="93"/>
      <c r="N95" s="93"/>
      <c r="O95" s="93"/>
      <c r="P95" s="93"/>
      <c r="Q95" s="93"/>
      <c r="R95" s="93"/>
    </row>
    <row r="96" spans="1:18" s="65" customFormat="1" x14ac:dyDescent="0.2">
      <c r="A96" s="50"/>
      <c r="B96" s="61" t="s">
        <v>217</v>
      </c>
      <c r="C96" s="116"/>
      <c r="D96" s="53"/>
      <c r="E96" s="93"/>
      <c r="F96" s="93"/>
      <c r="G96" s="93"/>
      <c r="H96" s="93"/>
      <c r="I96" s="93"/>
      <c r="J96" s="93"/>
      <c r="K96" s="93"/>
      <c r="L96" s="93"/>
      <c r="M96" s="93"/>
      <c r="N96" s="93"/>
      <c r="O96" s="93"/>
      <c r="P96" s="93"/>
      <c r="Q96" s="93"/>
      <c r="R96" s="93"/>
    </row>
    <row r="97" spans="1:18" s="65" customFormat="1" x14ac:dyDescent="0.2">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x14ac:dyDescent="0.2">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0</v>
      </c>
    </row>
    <row r="99" spans="1:18" s="65" customFormat="1" x14ac:dyDescent="0.2">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129.4</v>
      </c>
      <c r="Q99" s="231">
        <f>InpR!Q$72</f>
        <v>133.30000000000001</v>
      </c>
      <c r="R99" s="231">
        <f>InpR!R$72</f>
        <v>0</v>
      </c>
    </row>
    <row r="100" spans="1:18" s="65" customFormat="1" x14ac:dyDescent="0.2">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129</v>
      </c>
      <c r="Q100" s="231">
        <f>InpR!Q$73</f>
        <v>132.19999999999999</v>
      </c>
      <c r="R100" s="231">
        <f>InpR!R$73</f>
        <v>0</v>
      </c>
    </row>
    <row r="101" spans="1:18" s="65" customFormat="1" x14ac:dyDescent="0.2">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129.4</v>
      </c>
      <c r="Q101" s="231">
        <f>InpR!Q$74</f>
        <v>132.6</v>
      </c>
      <c r="R101" s="231">
        <f>InpR!R$74</f>
        <v>0</v>
      </c>
    </row>
    <row r="102" spans="1:18" s="65" customFormat="1" x14ac:dyDescent="0.2">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130.1</v>
      </c>
      <c r="Q102" s="231">
        <f>InpR!Q$75</f>
        <v>133.4</v>
      </c>
      <c r="R102" s="231">
        <f>InpR!R$75</f>
        <v>0</v>
      </c>
    </row>
    <row r="103" spans="1:18" s="65" customFormat="1" x14ac:dyDescent="0.2">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130.19999999999999</v>
      </c>
      <c r="Q103" s="231">
        <f>InpR!Q$76</f>
        <v>133.5</v>
      </c>
      <c r="R103" s="231">
        <f>InpR!R$76</f>
        <v>0</v>
      </c>
    </row>
    <row r="104" spans="1:18" s="65" customFormat="1" x14ac:dyDescent="0.2">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130</v>
      </c>
      <c r="Q104" s="231">
        <f>InpR!Q$77</f>
        <v>133.30000000000001</v>
      </c>
      <c r="R104" s="231">
        <f>InpR!R$77</f>
        <v>0</v>
      </c>
    </row>
    <row r="105" spans="1:18" s="65" customFormat="1" x14ac:dyDescent="0.2">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130.5</v>
      </c>
      <c r="Q105" s="231">
        <f>InpR!Q$78</f>
        <v>133.80000000000001</v>
      </c>
      <c r="R105" s="231">
        <f>InpR!R$78</f>
        <v>0</v>
      </c>
    </row>
    <row r="106" spans="1:18" s="65" customFormat="1" x14ac:dyDescent="0.2">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130</v>
      </c>
      <c r="Q106" s="231">
        <f>InpR!Q$79</f>
        <v>133.30000000000001</v>
      </c>
      <c r="R106" s="231">
        <f>InpR!R$79</f>
        <v>0</v>
      </c>
    </row>
    <row r="107" spans="1:18" s="65" customFormat="1" x14ac:dyDescent="0.2">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130.80000000000001</v>
      </c>
      <c r="Q107" s="231">
        <f>InpR!Q$80</f>
        <v>134.1</v>
      </c>
      <c r="R107" s="231">
        <f>InpR!R$80</f>
        <v>0</v>
      </c>
    </row>
    <row r="108" spans="1:18" s="65" customFormat="1" x14ac:dyDescent="0.2">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131.6</v>
      </c>
      <c r="Q108" s="231">
        <f>InpR!Q$81</f>
        <v>134.9</v>
      </c>
      <c r="R108" s="231">
        <f>InpR!R$81</f>
        <v>0</v>
      </c>
    </row>
    <row r="109" spans="1:18" s="65" customFormat="1" x14ac:dyDescent="0.2">
      <c r="A109" s="48"/>
      <c r="B109" s="59"/>
      <c r="C109" s="108"/>
      <c r="D109" s="53"/>
      <c r="E109" s="93"/>
      <c r="G109" s="37"/>
    </row>
    <row r="110" spans="1:18" s="65" customFormat="1" x14ac:dyDescent="0.2">
      <c r="A110" s="50"/>
      <c r="B110" s="61"/>
      <c r="C110" s="116"/>
      <c r="D110" s="55"/>
      <c r="E110" s="91" t="s">
        <v>336</v>
      </c>
      <c r="F110" s="91"/>
      <c r="G110" s="91" t="s">
        <v>153</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133.27500000000001</v>
      </c>
      <c r="R110" s="230">
        <f t="shared" si="35"/>
        <v>0</v>
      </c>
    </row>
    <row r="111" spans="1:18" s="65" customFormat="1" x14ac:dyDescent="0.2">
      <c r="A111" s="50"/>
      <c r="B111" s="61"/>
      <c r="C111" s="116"/>
      <c r="D111" s="55"/>
      <c r="E111" s="91" t="s">
        <v>337</v>
      </c>
      <c r="F111" s="91"/>
      <c r="G111" s="91" t="s">
        <v>247</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1.2788261634415483</v>
      </c>
      <c r="R111" s="232">
        <f t="shared" si="36"/>
        <v>0</v>
      </c>
    </row>
    <row r="112" spans="1:18" s="65" customFormat="1" x14ac:dyDescent="0.2">
      <c r="A112" s="50"/>
      <c r="B112" s="61"/>
      <c r="C112" s="116"/>
      <c r="D112" s="55"/>
      <c r="E112" s="91" t="s">
        <v>338</v>
      </c>
      <c r="F112" s="7"/>
      <c r="G112" s="91" t="s">
        <v>247</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2.6244866529774313E-2</v>
      </c>
      <c r="R112" s="232">
        <f t="shared" si="37"/>
        <v>-1</v>
      </c>
    </row>
    <row r="113" spans="1:18" s="65" customFormat="1" x14ac:dyDescent="0.2">
      <c r="A113" s="50"/>
      <c r="B113" s="61"/>
      <c r="C113" s="116"/>
      <c r="D113" s="55"/>
      <c r="E113" s="7"/>
      <c r="F113" s="7"/>
      <c r="G113" s="7"/>
      <c r="H113" s="7"/>
      <c r="I113" s="7"/>
      <c r="J113" s="7"/>
      <c r="K113" s="7"/>
      <c r="L113" s="7"/>
      <c r="M113" s="7"/>
      <c r="N113" s="7"/>
      <c r="O113" s="7"/>
      <c r="P113" s="7"/>
      <c r="Q113" s="7"/>
      <c r="R113" s="7"/>
    </row>
    <row r="114" spans="1:18" s="65" customFormat="1" x14ac:dyDescent="0.2">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134.9</v>
      </c>
      <c r="R114" s="91">
        <f t="shared" si="39"/>
        <v>0</v>
      </c>
    </row>
    <row r="115" spans="1:18" s="65" customFormat="1" x14ac:dyDescent="0.2">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133.27500000000001</v>
      </c>
      <c r="R115" s="91">
        <f t="shared" si="41"/>
        <v>0</v>
      </c>
    </row>
    <row r="116" spans="1:18" s="65" customFormat="1" x14ac:dyDescent="0.2">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
      <c r="A117" s="50"/>
      <c r="B117" s="61"/>
      <c r="C117" s="116"/>
      <c r="D117" s="55"/>
      <c r="E117" s="91" t="s">
        <v>339</v>
      </c>
      <c r="F117" s="7"/>
      <c r="G117" s="91" t="s">
        <v>247</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
      <c r="A118" s="50"/>
      <c r="B118" s="61"/>
      <c r="C118" s="116"/>
      <c r="D118" s="55"/>
      <c r="E118" s="7"/>
      <c r="F118" s="7"/>
      <c r="G118" s="7"/>
      <c r="H118" s="7"/>
      <c r="I118" s="7"/>
      <c r="J118" s="7"/>
      <c r="K118" s="7"/>
      <c r="L118" s="7"/>
      <c r="M118" s="7"/>
      <c r="N118" s="7"/>
      <c r="O118" s="7"/>
      <c r="P118" s="7"/>
      <c r="Q118" s="7"/>
      <c r="R118" s="7"/>
    </row>
    <row r="119" spans="1:18" s="65" customFormat="1" x14ac:dyDescent="0.2">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
      <c r="A121" s="50"/>
      <c r="B121" s="61"/>
      <c r="C121" s="116"/>
      <c r="D121" s="55"/>
      <c r="E121" s="168" t="s">
        <v>340</v>
      </c>
      <c r="F121" s="7"/>
      <c r="G121" s="91" t="s">
        <v>247</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
      <c r="A122" s="50"/>
      <c r="B122" s="61"/>
      <c r="C122" s="116"/>
      <c r="D122" s="55"/>
      <c r="E122" s="7"/>
      <c r="F122" s="7"/>
      <c r="G122" s="7"/>
      <c r="H122" s="7"/>
      <c r="I122" s="7"/>
      <c r="J122" s="234"/>
      <c r="K122" s="234"/>
      <c r="L122" s="234"/>
      <c r="M122" s="234"/>
      <c r="N122" s="234"/>
      <c r="O122" s="234"/>
      <c r="P122" s="234"/>
      <c r="Q122" s="234"/>
      <c r="R122" s="234"/>
    </row>
    <row r="123" spans="1:18" s="65" customFormat="1" x14ac:dyDescent="0.2">
      <c r="A123" s="50"/>
      <c r="B123" s="61" t="s">
        <v>329</v>
      </c>
      <c r="C123" s="116"/>
      <c r="D123" s="55"/>
      <c r="E123" s="7"/>
      <c r="F123" s="7"/>
      <c r="G123" s="7"/>
      <c r="H123" s="7"/>
      <c r="I123" s="7"/>
      <c r="J123" s="234"/>
      <c r="K123" s="234"/>
      <c r="L123" s="234"/>
      <c r="M123" s="234"/>
      <c r="N123" s="234"/>
      <c r="O123" s="234"/>
      <c r="P123" s="234"/>
      <c r="Q123" s="234"/>
      <c r="R123" s="234"/>
    </row>
    <row r="124" spans="1:18" s="65" customFormat="1" x14ac:dyDescent="0.2">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2.6244866529774313E-2</v>
      </c>
      <c r="R125" s="232">
        <f t="shared" si="53"/>
        <v>-1</v>
      </c>
    </row>
    <row r="126" spans="1:18" s="65" customFormat="1" x14ac:dyDescent="0.2">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
      <c r="A127" s="50"/>
      <c r="B127" s="61"/>
      <c r="C127" s="116"/>
      <c r="D127" s="55"/>
      <c r="E127" s="168" t="s">
        <v>341</v>
      </c>
      <c r="F127" s="168"/>
      <c r="G127" s="168" t="s">
        <v>247</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
      <c r="A128" s="50"/>
      <c r="B128" s="61"/>
      <c r="C128" s="116"/>
      <c r="D128" s="55"/>
      <c r="E128" s="7"/>
      <c r="F128" s="7"/>
      <c r="G128" s="7"/>
      <c r="H128" s="7"/>
      <c r="I128" s="7"/>
      <c r="J128" s="234"/>
      <c r="K128" s="234"/>
      <c r="L128" s="234"/>
      <c r="M128" s="234"/>
      <c r="N128" s="234"/>
      <c r="O128" s="234"/>
      <c r="P128" s="234"/>
      <c r="Q128" s="234"/>
      <c r="R128" s="234"/>
    </row>
    <row r="129" spans="1:18" s="65" customFormat="1" x14ac:dyDescent="0.2">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3.1679102830147077E-2</v>
      </c>
      <c r="R130" s="235">
        <f t="shared" si="56"/>
        <v>-1</v>
      </c>
    </row>
    <row r="131" spans="1:18" s="65" customFormat="1" x14ac:dyDescent="0.2">
      <c r="A131" s="50"/>
      <c r="B131" s="61"/>
      <c r="C131" s="116"/>
      <c r="D131" s="55"/>
      <c r="E131" s="168" t="s">
        <v>342</v>
      </c>
      <c r="F131" s="168"/>
      <c r="G131" s="168" t="s">
        <v>247</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3.1679102830147077E-2</v>
      </c>
      <c r="R131" s="236">
        <f t="shared" si="57"/>
        <v>-1</v>
      </c>
    </row>
    <row r="132" spans="1:18" s="65" customFormat="1" x14ac:dyDescent="0.2">
      <c r="A132" s="50"/>
      <c r="B132" s="61"/>
      <c r="C132" s="116"/>
      <c r="D132" s="55"/>
      <c r="E132" s="7"/>
      <c r="F132" s="7"/>
      <c r="G132" s="7"/>
      <c r="H132" s="7"/>
      <c r="I132" s="7"/>
      <c r="J132" s="234"/>
      <c r="K132" s="234"/>
      <c r="L132" s="234"/>
      <c r="M132" s="234"/>
      <c r="N132" s="234"/>
      <c r="O132" s="234"/>
      <c r="P132" s="234"/>
      <c r="Q132" s="234"/>
      <c r="R132" s="234"/>
    </row>
    <row r="133" spans="1:18" s="65" customFormat="1" x14ac:dyDescent="0.2">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3.1679102830147077E-2</v>
      </c>
      <c r="R133" s="235">
        <f t="shared" si="58"/>
        <v>-1</v>
      </c>
    </row>
    <row r="134" spans="1:18" s="65" customFormat="1" x14ac:dyDescent="0.2">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2.6244866529774313E-2</v>
      </c>
      <c r="R134" s="235">
        <f t="shared" si="59"/>
        <v>-1</v>
      </c>
    </row>
    <row r="135" spans="1:18" s="65" customFormat="1" x14ac:dyDescent="0.2">
      <c r="A135" s="50"/>
      <c r="B135" s="61"/>
      <c r="C135" s="116"/>
      <c r="D135" s="55"/>
      <c r="E135" s="237" t="s">
        <v>343</v>
      </c>
      <c r="F135" s="237"/>
      <c r="G135" s="237" t="s">
        <v>247</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5.4342363003727634E-3</v>
      </c>
      <c r="R135" s="238">
        <f t="shared" si="60"/>
        <v>0</v>
      </c>
    </row>
    <row r="136" spans="1:18" s="65" customFormat="1" x14ac:dyDescent="0.2">
      <c r="A136" s="48"/>
      <c r="B136" s="59"/>
      <c r="C136" s="108"/>
      <c r="D136" s="53"/>
      <c r="E136" s="93"/>
      <c r="G136" s="37"/>
      <c r="K136" s="239"/>
      <c r="L136" s="239"/>
      <c r="M136" s="239"/>
      <c r="N136" s="239"/>
      <c r="O136" s="239"/>
      <c r="P136" s="239"/>
      <c r="Q136" s="239"/>
      <c r="R136" s="239"/>
    </row>
    <row r="137" spans="1:18" x14ac:dyDescent="0.2">
      <c r="A137" s="49"/>
      <c r="D137" s="57"/>
      <c r="E137" s="92"/>
    </row>
    <row r="138" spans="1:18" x14ac:dyDescent="0.2">
      <c r="A138" s="10" t="s">
        <v>114</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130"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344</v>
      </c>
      <c r="B8" s="286"/>
      <c r="C8" s="287"/>
      <c r="D8" s="287"/>
      <c r="E8" s="287"/>
      <c r="F8" s="287"/>
      <c r="G8" s="287"/>
      <c r="H8" s="287"/>
      <c r="I8" s="287"/>
      <c r="J8" s="287"/>
      <c r="K8" s="287"/>
      <c r="L8" s="287"/>
      <c r="M8" s="287"/>
      <c r="N8" s="287"/>
      <c r="O8" s="287"/>
      <c r="P8" s="287"/>
      <c r="Q8" s="287"/>
      <c r="R8" s="287"/>
    </row>
    <row r="10" spans="1:26" x14ac:dyDescent="0.2">
      <c r="C10" s="110" t="s">
        <v>345</v>
      </c>
    </row>
    <row r="12" spans="1:26" x14ac:dyDescent="0.2">
      <c r="B12" s="61" t="s">
        <v>346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0</v>
      </c>
    </row>
    <row r="15" spans="1:26" s="172" customFormat="1" x14ac:dyDescent="0.2">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-1</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v>
      </c>
    </row>
    <row r="19" spans="1:16383" s="216" customFormat="1" x14ac:dyDescent="0.2">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0</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349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69.397842562853171</v>
      </c>
      <c r="N22" s="241">
        <f t="shared" si="3"/>
        <v>69.290052973773072</v>
      </c>
      <c r="O22" s="241">
        <f t="shared" si="3"/>
        <v>69.54241011405945</v>
      </c>
      <c r="P22" s="241">
        <f t="shared" si="3"/>
        <v>69.925574221338394</v>
      </c>
      <c r="Q22" s="241">
        <f t="shared" si="3"/>
        <v>70.34468014299145</v>
      </c>
      <c r="R22" s="241">
        <f t="shared" si="3"/>
        <v>70.766298017896474</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-1</v>
      </c>
      <c r="S23" s="177"/>
      <c r="T23" s="177"/>
      <c r="U23" s="177"/>
      <c r="V23" s="177"/>
      <c r="W23" s="177"/>
      <c r="X23" s="177"/>
      <c r="Y23" s="177"/>
      <c r="Z23" s="177"/>
    </row>
    <row r="24" spans="1:16383" s="91" customFormat="1" x14ac:dyDescent="0.2">
      <c r="A24" s="170"/>
      <c r="B24" s="165"/>
      <c r="C24" s="166"/>
      <c r="D24" s="171"/>
      <c r="E24" s="172" t="s">
        <v>350</v>
      </c>
      <c r="G24" s="91" t="s">
        <v>235</v>
      </c>
      <c r="J24" s="184">
        <f>J22*J23</f>
        <v>0</v>
      </c>
      <c r="K24" s="184">
        <f t="shared" ref="K24:R24" si="5">K22*K23</f>
        <v>0</v>
      </c>
      <c r="L24" s="184">
        <f t="shared" si="5"/>
        <v>0</v>
      </c>
      <c r="M24" s="184">
        <f>M22*M23</f>
        <v>1.6834592157404529</v>
      </c>
      <c r="N24" s="184">
        <f t="shared" si="5"/>
        <v>2.0501297447942832</v>
      </c>
      <c r="O24" s="184">
        <f t="shared" si="5"/>
        <v>2.190842062118628</v>
      </c>
      <c r="P24" s="184">
        <f t="shared" si="5"/>
        <v>2.2376183750828771</v>
      </c>
      <c r="Q24" s="184">
        <f t="shared" si="5"/>
        <v>2.2510297645757129</v>
      </c>
      <c r="R24" s="184">
        <f t="shared" si="5"/>
        <v>-70.766298017896474</v>
      </c>
      <c r="S24" s="92"/>
      <c r="T24" s="92"/>
      <c r="U24" s="92"/>
      <c r="V24" s="92"/>
      <c r="W24" s="92"/>
      <c r="X24" s="92"/>
      <c r="Y24" s="92"/>
      <c r="Z24" s="92"/>
    </row>
    <row r="26" spans="1:16383" s="205" customFormat="1" x14ac:dyDescent="0.2">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2.52E-2</v>
      </c>
      <c r="N26" s="205">
        <f xml:space="preserve"> InpR!N$94</f>
        <v>2.52E-2</v>
      </c>
      <c r="O26" s="205">
        <f xml:space="preserve"> InpR!O$94</f>
        <v>2.52E-2</v>
      </c>
      <c r="P26" s="205">
        <f xml:space="preserve"> InpR!P$94</f>
        <v>2.52E-2</v>
      </c>
      <c r="Q26" s="205">
        <f xml:space="preserve"> InpR!Q$94</f>
        <v>2.52E-2</v>
      </c>
      <c r="R26" s="205">
        <f xml:space="preserve"> InpR!R$94</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69.397842562853171</v>
      </c>
      <c r="N27" s="241">
        <f t="shared" si="6"/>
        <v>69.290052973773072</v>
      </c>
      <c r="O27" s="241">
        <f t="shared" si="6"/>
        <v>69.54241011405945</v>
      </c>
      <c r="P27" s="241">
        <f t="shared" si="6"/>
        <v>69.925574221338394</v>
      </c>
      <c r="Q27" s="241">
        <f t="shared" si="6"/>
        <v>70.34468014299145</v>
      </c>
      <c r="R27" s="241">
        <f t="shared" si="6"/>
        <v>70.766298017896474</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1.6834592157404529</v>
      </c>
      <c r="N28" s="184">
        <f t="shared" si="7"/>
        <v>2.0501297447942832</v>
      </c>
      <c r="O28" s="184">
        <f t="shared" si="7"/>
        <v>2.190842062118628</v>
      </c>
      <c r="P28" s="184">
        <f t="shared" si="7"/>
        <v>2.2376183750828771</v>
      </c>
      <c r="Q28" s="184">
        <f t="shared" si="7"/>
        <v>2.2510297645757129</v>
      </c>
      <c r="R28" s="184">
        <f t="shared" si="7"/>
        <v>-70.766298017896474</v>
      </c>
    </row>
    <row r="29" spans="1:16383" x14ac:dyDescent="0.2">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1.7912488048205595</v>
      </c>
      <c r="N29" s="184">
        <f t="shared" si="8"/>
        <v>1.7977726045078972</v>
      </c>
      <c r="O29" s="184">
        <f t="shared" si="8"/>
        <v>1.8076779548396877</v>
      </c>
      <c r="P29" s="184">
        <f t="shared" si="8"/>
        <v>1.818512453429816</v>
      </c>
      <c r="Q29" s="184">
        <f t="shared" si="8"/>
        <v>1.8294118896706926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InpR!$E$87</f>
        <v>RCV - CPI(H) + RPI wedge initial balance - nominal - WR</v>
      </c>
      <c r="F31" s="250">
        <f>InpR!$F$87</f>
        <v>69.397842562853171</v>
      </c>
      <c r="G31" s="200" t="str">
        <f>InpR!$G$87</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352</v>
      </c>
      <c r="G34" s="92" t="s">
        <v>235</v>
      </c>
      <c r="J34" s="242">
        <f t="shared" ref="J34:R34" si="9" xml:space="preserve"> I37</f>
        <v>0</v>
      </c>
      <c r="K34" s="242">
        <f t="shared" si="9"/>
        <v>0</v>
      </c>
      <c r="L34" s="242">
        <f t="shared" si="9"/>
        <v>0</v>
      </c>
      <c r="M34" s="242">
        <f t="shared" si="9"/>
        <v>69.397842562853171</v>
      </c>
      <c r="N34" s="242">
        <f t="shared" si="9"/>
        <v>69.290052973773072</v>
      </c>
      <c r="O34" s="242">
        <f t="shared" si="9"/>
        <v>69.54241011405945</v>
      </c>
      <c r="P34" s="242">
        <f t="shared" si="9"/>
        <v>69.925574221338394</v>
      </c>
      <c r="Q34" s="242">
        <f t="shared" si="9"/>
        <v>70.34468014299145</v>
      </c>
      <c r="R34" s="242">
        <f t="shared" si="9"/>
        <v>70.766298017896474</v>
      </c>
    </row>
    <row r="35" spans="1:26" x14ac:dyDescent="0.2">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1.6834592157404529</v>
      </c>
      <c r="N35" s="242">
        <f t="shared" si="10"/>
        <v>2.0501297447942832</v>
      </c>
      <c r="O35" s="242">
        <f t="shared" si="10"/>
        <v>2.190842062118628</v>
      </c>
      <c r="P35" s="242">
        <f t="shared" si="10"/>
        <v>2.2376183750828771</v>
      </c>
      <c r="Q35" s="242">
        <f t="shared" si="10"/>
        <v>2.2510297645757129</v>
      </c>
      <c r="R35" s="242">
        <f t="shared" si="10"/>
        <v>-70.766298017896474</v>
      </c>
    </row>
    <row r="36" spans="1:26" x14ac:dyDescent="0.2">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1.7912488048205595</v>
      </c>
      <c r="N36" s="242">
        <f t="shared" si="11"/>
        <v>1.7977726045078972</v>
      </c>
      <c r="O36" s="242">
        <f t="shared" si="11"/>
        <v>1.8076779548396877</v>
      </c>
      <c r="P36" s="242">
        <f t="shared" si="11"/>
        <v>1.818512453429816</v>
      </c>
      <c r="Q36" s="242">
        <f t="shared" si="11"/>
        <v>1.8294118896706926</v>
      </c>
      <c r="R36" s="242">
        <f t="shared" si="11"/>
        <v>0</v>
      </c>
    </row>
    <row r="37" spans="1:26" s="138" customFormat="1" x14ac:dyDescent="0.2">
      <c r="A37" s="134"/>
      <c r="B37" s="135"/>
      <c r="C37" s="136"/>
      <c r="D37" s="137"/>
      <c r="E37" s="138" t="s">
        <v>355</v>
      </c>
      <c r="G37" s="163" t="s">
        <v>235</v>
      </c>
      <c r="J37" s="243">
        <f t="shared" ref="J37:R37" si="12" xml:space="preserve"> IF( J32 = 1, $F31, J34 + J35 - J36)</f>
        <v>0</v>
      </c>
      <c r="K37" s="243">
        <f t="shared" si="12"/>
        <v>0</v>
      </c>
      <c r="L37" s="243">
        <f t="shared" si="12"/>
        <v>69.397842562853171</v>
      </c>
      <c r="M37" s="243">
        <f t="shared" si="12"/>
        <v>69.290052973773072</v>
      </c>
      <c r="N37" s="243">
        <f t="shared" si="12"/>
        <v>69.54241011405945</v>
      </c>
      <c r="O37" s="243">
        <f t="shared" si="12"/>
        <v>69.925574221338394</v>
      </c>
      <c r="P37" s="243">
        <f t="shared" si="12"/>
        <v>70.34468014299145</v>
      </c>
      <c r="Q37" s="243">
        <f t="shared" si="12"/>
        <v>70.766298017896474</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69.397842562853171</v>
      </c>
      <c r="N39" s="185">
        <f t="shared" si="13"/>
        <v>69.290052973773072</v>
      </c>
      <c r="O39" s="185">
        <f t="shared" si="13"/>
        <v>69.54241011405945</v>
      </c>
      <c r="P39" s="185">
        <f t="shared" si="13"/>
        <v>69.925574221338394</v>
      </c>
      <c r="Q39" s="185">
        <f t="shared" si="13"/>
        <v>70.34468014299145</v>
      </c>
      <c r="R39" s="185">
        <f t="shared" si="13"/>
        <v>70.766298017896474</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1.6834592157404529</v>
      </c>
      <c r="N40" s="242">
        <f t="shared" si="14"/>
        <v>2.0501297447942832</v>
      </c>
      <c r="O40" s="242">
        <f t="shared" si="14"/>
        <v>2.190842062118628</v>
      </c>
      <c r="P40" s="242">
        <f t="shared" si="14"/>
        <v>2.2376183750828771</v>
      </c>
      <c r="Q40" s="242">
        <f t="shared" si="14"/>
        <v>2.2510297645757129</v>
      </c>
      <c r="R40" s="242">
        <f t="shared" si="14"/>
        <v>-70.766298017896474</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69.397842562853171</v>
      </c>
      <c r="M41" s="185">
        <f t="shared" si="15"/>
        <v>69.290052973773072</v>
      </c>
      <c r="N41" s="185">
        <f t="shared" si="15"/>
        <v>69.54241011405945</v>
      </c>
      <c r="O41" s="185">
        <f t="shared" si="15"/>
        <v>69.925574221338394</v>
      </c>
      <c r="P41" s="185">
        <f t="shared" si="15"/>
        <v>70.34468014299145</v>
      </c>
      <c r="Q41" s="185">
        <f t="shared" si="15"/>
        <v>70.766298017896474</v>
      </c>
      <c r="R41" s="185">
        <f t="shared" si="15"/>
        <v>0</v>
      </c>
    </row>
    <row r="42" spans="1:26" s="92" customFormat="1" x14ac:dyDescent="0.2">
      <c r="A42" s="164"/>
      <c r="B42" s="165"/>
      <c r="C42" s="166"/>
      <c r="D42" s="167"/>
      <c r="E42" s="92" t="s">
        <v>356</v>
      </c>
      <c r="G42" s="92" t="s">
        <v>235</v>
      </c>
      <c r="J42" s="185">
        <f t="shared" ref="J42:L42" si="16" xml:space="preserve"> ( (J39+J40) + J41) / 2</f>
        <v>0</v>
      </c>
      <c r="K42" s="185">
        <f t="shared" si="16"/>
        <v>0</v>
      </c>
      <c r="L42" s="185">
        <f t="shared" si="16"/>
        <v>34.698921281426585</v>
      </c>
      <c r="M42" s="185">
        <f xml:space="preserve"> ( (M39+M40) + M41) / 2</f>
        <v>70.185677376183349</v>
      </c>
      <c r="N42" s="185">
        <f t="shared" ref="N42:R42" si="17" xml:space="preserve"> ( (N39+N40) + N41) / 2</f>
        <v>70.441296416313406</v>
      </c>
      <c r="O42" s="185">
        <f t="shared" si="17"/>
        <v>70.829413198758232</v>
      </c>
      <c r="P42" s="185">
        <f t="shared" si="17"/>
        <v>71.253936369706366</v>
      </c>
      <c r="Q42" s="185">
        <f t="shared" si="17"/>
        <v>71.681003962731822</v>
      </c>
      <c r="R42" s="185">
        <f t="shared" si="17"/>
        <v>0</v>
      </c>
    </row>
    <row r="43" spans="1:26" s="92" customFormat="1" x14ac:dyDescent="0.2">
      <c r="A43" s="164"/>
      <c r="B43" s="165"/>
      <c r="C43" s="166"/>
      <c r="D43" s="167"/>
    </row>
    <row r="44" spans="1:26" x14ac:dyDescent="0.2">
      <c r="B44" s="61" t="s">
        <v>357</v>
      </c>
    </row>
    <row r="45" spans="1:26" s="205" customFormat="1" x14ac:dyDescent="0.2">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1.920357193840716E-2</v>
      </c>
      <c r="N45" s="205">
        <f xml:space="preserve"> InpR!N$101</f>
        <v>1.920357193840716E-2</v>
      </c>
      <c r="O45" s="205">
        <f xml:space="preserve"> InpR!O$101</f>
        <v>1.920357193840716E-2</v>
      </c>
      <c r="P45" s="205">
        <f xml:space="preserve"> InpR!P$101</f>
        <v>1.920357193840716E-2</v>
      </c>
      <c r="Q45" s="205">
        <f xml:space="preserve"> InpR!Q$101</f>
        <v>1.920357193840716E-2</v>
      </c>
      <c r="R45" s="205">
        <f xml:space="preserve"> InpR!R$101</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34.698921281426585</v>
      </c>
      <c r="M47" s="184">
        <f t="shared" si="18"/>
        <v>70.185677376183349</v>
      </c>
      <c r="N47" s="184">
        <f t="shared" si="18"/>
        <v>70.441296416313406</v>
      </c>
      <c r="O47" s="184">
        <f t="shared" si="18"/>
        <v>70.829413198758232</v>
      </c>
      <c r="P47" s="184">
        <f t="shared" si="18"/>
        <v>71.253936369706366</v>
      </c>
      <c r="Q47" s="184">
        <f t="shared" si="18"/>
        <v>71.681003962731822</v>
      </c>
      <c r="R47" s="184">
        <f t="shared" si="18"/>
        <v>0</v>
      </c>
      <c r="S47" s="92"/>
      <c r="T47" s="92"/>
      <c r="U47" s="92"/>
      <c r="V47" s="92"/>
      <c r="W47" s="92"/>
      <c r="X47" s="92"/>
      <c r="Y47" s="92"/>
      <c r="Z47" s="92"/>
    </row>
    <row r="48" spans="1:26" s="91" customFormat="1" x14ac:dyDescent="0.2">
      <c r="A48" s="170"/>
      <c r="B48" s="165"/>
      <c r="C48" s="166"/>
      <c r="D48" s="171"/>
      <c r="E48" s="172" t="s">
        <v>358</v>
      </c>
      <c r="G48" s="91" t="s">
        <v>235</v>
      </c>
      <c r="H48" s="184"/>
      <c r="I48" s="184"/>
      <c r="J48" s="184">
        <f t="shared" ref="J48:K48" si="19">J45*J47*J46</f>
        <v>0</v>
      </c>
      <c r="K48" s="184">
        <f t="shared" si="19"/>
        <v>0</v>
      </c>
      <c r="L48" s="184">
        <f>L45*L47*L46</f>
        <v>0</v>
      </c>
      <c r="M48" s="184">
        <f>M45*M47*M46</f>
        <v>1.3478157045393728</v>
      </c>
      <c r="N48" s="184">
        <f t="shared" ref="N48:R48" si="20">N45*N47*N46</f>
        <v>1.352724503165337</v>
      </c>
      <c r="O48" s="184">
        <f t="shared" si="20"/>
        <v>1.3601777317175192</v>
      </c>
      <c r="P48" s="184">
        <f t="shared" si="20"/>
        <v>1.3683300929703426</v>
      </c>
      <c r="Q48" s="184">
        <f t="shared" si="20"/>
        <v>1.3765313162155692</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359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1.7912488048205595</v>
      </c>
      <c r="N51" s="184">
        <f t="shared" si="21"/>
        <v>1.7977726045078972</v>
      </c>
      <c r="O51" s="184">
        <f t="shared" si="21"/>
        <v>1.8076779548396877</v>
      </c>
      <c r="P51" s="184">
        <f t="shared" si="21"/>
        <v>1.818512453429816</v>
      </c>
      <c r="Q51" s="184">
        <f t="shared" si="21"/>
        <v>1.8294118896706926</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1.3478157045393728</v>
      </c>
      <c r="N52" s="184">
        <f t="shared" si="22"/>
        <v>1.352724503165337</v>
      </c>
      <c r="O52" s="184">
        <f t="shared" si="22"/>
        <v>1.3601777317175192</v>
      </c>
      <c r="P52" s="184">
        <f t="shared" si="22"/>
        <v>1.3683300929703426</v>
      </c>
      <c r="Q52" s="184">
        <f t="shared" si="22"/>
        <v>1.3765313162155692</v>
      </c>
      <c r="R52" s="184">
        <f t="shared" si="22"/>
        <v>0</v>
      </c>
      <c r="S52" s="92"/>
      <c r="T52" s="92"/>
      <c r="U52" s="92"/>
      <c r="V52" s="92"/>
      <c r="W52" s="92"/>
      <c r="X52" s="92"/>
      <c r="Y52" s="92"/>
      <c r="Z52" s="92"/>
    </row>
    <row r="53" spans="1:26" s="91" customFormat="1" x14ac:dyDescent="0.2">
      <c r="A53" s="170"/>
      <c r="B53" s="165"/>
      <c r="C53" s="166"/>
      <c r="D53" s="171"/>
      <c r="E53" s="172" t="s">
        <v>360</v>
      </c>
      <c r="G53" s="91" t="str">
        <f xml:space="preserve"> G$48</f>
        <v>£m</v>
      </c>
      <c r="H53" s="184">
        <f>SUM(J53:R53)</f>
        <v>15.850203055876795</v>
      </c>
      <c r="I53" s="184"/>
      <c r="J53" s="184">
        <f t="shared" ref="J53:R53" si="23">SUM(J51:J52)</f>
        <v>0</v>
      </c>
      <c r="K53" s="184">
        <f t="shared" si="23"/>
        <v>0</v>
      </c>
      <c r="L53" s="184">
        <f>SUM(L51:L52)</f>
        <v>0</v>
      </c>
      <c r="M53" s="185">
        <f t="shared" si="23"/>
        <v>3.1390645093599323</v>
      </c>
      <c r="N53" s="185">
        <f t="shared" si="23"/>
        <v>3.1504971076732344</v>
      </c>
      <c r="O53" s="184">
        <f t="shared" si="23"/>
        <v>3.167855686557207</v>
      </c>
      <c r="P53" s="184">
        <f t="shared" si="23"/>
        <v>3.1868425464001584</v>
      </c>
      <c r="Q53" s="184">
        <f t="shared" si="23"/>
        <v>3.2059432058862618</v>
      </c>
      <c r="R53" s="184">
        <f t="shared" si="23"/>
        <v>0</v>
      </c>
      <c r="S53" s="92"/>
      <c r="T53" s="92"/>
      <c r="U53" s="92"/>
      <c r="V53" s="92"/>
      <c r="W53" s="92"/>
      <c r="X53" s="92"/>
      <c r="Y53" s="92"/>
      <c r="Z53" s="92"/>
    </row>
    <row r="55" spans="1:26" x14ac:dyDescent="0.2">
      <c r="A55" s="285" t="s">
        <v>361</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362</v>
      </c>
      <c r="M57" s="177"/>
      <c r="N57" s="177"/>
      <c r="O57" s="177"/>
      <c r="P57" s="177"/>
      <c r="Q57" s="177"/>
    </row>
    <row r="58" spans="1:26" x14ac:dyDescent="0.2">
      <c r="C58" s="110" t="s">
        <v>363</v>
      </c>
      <c r="M58" s="177"/>
      <c r="N58" s="177"/>
      <c r="O58" s="177"/>
      <c r="P58" s="177"/>
      <c r="Q58" s="177"/>
    </row>
    <row r="59" spans="1:26" x14ac:dyDescent="0.2">
      <c r="C59" s="110" t="s">
        <v>364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365</v>
      </c>
      <c r="G61" s="91" t="s">
        <v>235</v>
      </c>
      <c r="J61" s="184">
        <f t="shared" ref="J61:R61" si="24" xml:space="preserve"> J53</f>
        <v>0</v>
      </c>
      <c r="K61" s="184">
        <f t="shared" si="24"/>
        <v>0</v>
      </c>
      <c r="L61" s="184">
        <f t="shared" si="24"/>
        <v>0</v>
      </c>
      <c r="M61" s="184">
        <f t="shared" si="24"/>
        <v>3.1390645093599323</v>
      </c>
      <c r="N61" s="184">
        <f t="shared" si="24"/>
        <v>3.1504971076732344</v>
      </c>
      <c r="O61" s="184">
        <f t="shared" si="24"/>
        <v>3.167855686557207</v>
      </c>
      <c r="P61" s="184">
        <f t="shared" si="24"/>
        <v>3.1868425464001584</v>
      </c>
      <c r="Q61" s="184">
        <f t="shared" si="24"/>
        <v>3.2059432058862618</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366</v>
      </c>
      <c r="B63" s="286"/>
      <c r="C63" s="287"/>
      <c r="D63" s="287"/>
      <c r="E63" s="287"/>
      <c r="F63" s="287"/>
      <c r="G63" s="287"/>
      <c r="H63" s="287"/>
      <c r="I63" s="287"/>
      <c r="J63" s="287"/>
      <c r="K63" s="287"/>
      <c r="L63" s="287"/>
      <c r="M63" s="287"/>
      <c r="N63" s="287"/>
      <c r="O63" s="287"/>
      <c r="P63" s="287"/>
      <c r="Q63" s="287"/>
      <c r="R63" s="287"/>
    </row>
    <row r="65" spans="1:16383" x14ac:dyDescent="0.2">
      <c r="C65" s="110" t="s">
        <v>367</v>
      </c>
    </row>
    <row r="67" spans="1:16383" x14ac:dyDescent="0.2">
      <c r="B67" s="61" t="s">
        <v>368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5.4342363003727634E-3</v>
      </c>
      <c r="R69" s="205">
        <f>Index!R$135</f>
        <v>0</v>
      </c>
    </row>
    <row r="70" spans="1:16383" s="172" customFormat="1" x14ac:dyDescent="0.2">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2.6434236300374003E-2</v>
      </c>
      <c r="R70" s="172">
        <f t="shared" si="26"/>
        <v>-1</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370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69.397842562853171</v>
      </c>
      <c r="N73" s="241">
        <f t="shared" si="27"/>
        <v>69.036456276376583</v>
      </c>
      <c r="O73" s="241">
        <f t="shared" si="27"/>
        <v>70.060401593542153</v>
      </c>
      <c r="P73" s="241">
        <f t="shared" si="27"/>
        <v>72.512045206737767</v>
      </c>
      <c r="Q73" s="241">
        <f t="shared" si="27"/>
        <v>73.534653499945406</v>
      </c>
      <c r="R73" s="241">
        <f t="shared" si="27"/>
        <v>73.576428061976998</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2.6434236300374003E-2</v>
      </c>
      <c r="R74" s="172">
        <f t="shared" si="28"/>
        <v>-1</v>
      </c>
      <c r="S74" s="177"/>
      <c r="T74" s="177"/>
      <c r="U74" s="177"/>
      <c r="V74" s="177"/>
      <c r="W74" s="177"/>
      <c r="X74" s="177"/>
      <c r="Y74" s="177"/>
      <c r="Z74" s="177"/>
    </row>
    <row r="75" spans="1:16383" x14ac:dyDescent="0.2">
      <c r="E75" s="7" t="s">
        <v>371</v>
      </c>
      <c r="G75" s="162" t="s">
        <v>235</v>
      </c>
      <c r="J75" s="184">
        <f t="shared" ref="J75:L75" si="29">J73*J74</f>
        <v>0</v>
      </c>
      <c r="K75" s="184">
        <f t="shared" si="29"/>
        <v>0</v>
      </c>
      <c r="L75" s="184">
        <f t="shared" si="29"/>
        <v>0</v>
      </c>
      <c r="M75" s="184">
        <f>M73*M74</f>
        <v>1.4233066742996692</v>
      </c>
      <c r="N75" s="184">
        <f t="shared" ref="N75:R75" si="30">N73*N74</f>
        <v>2.8351087559809862</v>
      </c>
      <c r="O75" s="184">
        <f t="shared" si="30"/>
        <v>4.326185610743619</v>
      </c>
      <c r="P75" s="184">
        <f t="shared" si="30"/>
        <v>2.9235862047778287</v>
      </c>
      <c r="Q75" s="184">
        <f t="shared" si="30"/>
        <v>1.9438324068836812</v>
      </c>
      <c r="R75" s="184">
        <f t="shared" si="30"/>
        <v>-73.576428061976998</v>
      </c>
    </row>
    <row r="77" spans="1:16383" s="205" customFormat="1" x14ac:dyDescent="0.2">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2.52E-2</v>
      </c>
      <c r="N77" s="205">
        <f xml:space="preserve"> InpR!N$94</f>
        <v>2.52E-2</v>
      </c>
      <c r="O77" s="205">
        <f xml:space="preserve"> InpR!O$94</f>
        <v>2.52E-2</v>
      </c>
      <c r="P77" s="205">
        <f xml:space="preserve"> InpR!P$94</f>
        <v>2.52E-2</v>
      </c>
      <c r="Q77" s="205">
        <f xml:space="preserve"> InpR!Q$94</f>
        <v>2.52E-2</v>
      </c>
      <c r="R77" s="205">
        <f xml:space="preserve"> InpR!R$94</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69.397842562853171</v>
      </c>
      <c r="N78" s="241">
        <f t="shared" si="31"/>
        <v>69.036456276376583</v>
      </c>
      <c r="O78" s="241">
        <f t="shared" si="31"/>
        <v>70.060401593542153</v>
      </c>
      <c r="P78" s="241">
        <f t="shared" si="31"/>
        <v>72.512045206737767</v>
      </c>
      <c r="Q78" s="241">
        <f t="shared" si="31"/>
        <v>73.534653499945406</v>
      </c>
      <c r="R78" s="241">
        <f t="shared" si="31"/>
        <v>73.576428061976998</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1.4233066742996692</v>
      </c>
      <c r="N79" s="184">
        <f t="shared" si="32"/>
        <v>2.8351087559809862</v>
      </c>
      <c r="O79" s="184">
        <f t="shared" si="32"/>
        <v>4.326185610743619</v>
      </c>
      <c r="P79" s="184">
        <f t="shared" si="32"/>
        <v>2.9235862047778287</v>
      </c>
      <c r="Q79" s="184">
        <f t="shared" si="32"/>
        <v>1.9438324068836812</v>
      </c>
      <c r="R79" s="184">
        <f t="shared" si="32"/>
        <v>-73.576428061976998</v>
      </c>
    </row>
    <row r="80" spans="1:16383" x14ac:dyDescent="0.2">
      <c r="E80" s="7" t="s">
        <v>372</v>
      </c>
      <c r="F80" s="244"/>
      <c r="G80" s="244" t="s">
        <v>235</v>
      </c>
      <c r="H80" s="244"/>
      <c r="I80" s="244"/>
      <c r="J80" s="184">
        <f t="shared" ref="J80:R80" si="33" xml:space="preserve"> (J78+J79) * J77</f>
        <v>0</v>
      </c>
      <c r="K80" s="184">
        <f t="shared" si="33"/>
        <v>0</v>
      </c>
      <c r="L80" s="184">
        <f t="shared" si="33"/>
        <v>0</v>
      </c>
      <c r="M80" s="184">
        <f t="shared" si="33"/>
        <v>1.7846929607762516</v>
      </c>
      <c r="N80" s="184">
        <f xml:space="preserve"> (N78+N79) * N77</f>
        <v>1.8111634388154108</v>
      </c>
      <c r="O80" s="184">
        <f t="shared" si="33"/>
        <v>1.8745419975480015</v>
      </c>
      <c r="P80" s="184">
        <f t="shared" si="33"/>
        <v>1.9009779115701932</v>
      </c>
      <c r="Q80" s="184">
        <f t="shared" si="33"/>
        <v>1.9020578448520931</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InpR!$E$87</f>
        <v>RCV - CPI(H) + RPI wedge initial balance - nominal - WR</v>
      </c>
      <c r="F82" s="250">
        <f>InpR!$F$87</f>
        <v>69.397842562853171</v>
      </c>
      <c r="G82" s="200" t="str">
        <f>InpR!$G$87</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373</v>
      </c>
      <c r="G85" s="162" t="s">
        <v>235</v>
      </c>
      <c r="J85" s="242">
        <f t="shared" ref="J85:R85" si="34" xml:space="preserve"> I88</f>
        <v>0</v>
      </c>
      <c r="K85" s="242">
        <f t="shared" si="34"/>
        <v>0</v>
      </c>
      <c r="L85" s="242">
        <f t="shared" si="34"/>
        <v>0</v>
      </c>
      <c r="M85" s="242">
        <f t="shared" si="34"/>
        <v>69.397842562853171</v>
      </c>
      <c r="N85" s="242">
        <f t="shared" si="34"/>
        <v>69.036456276376583</v>
      </c>
      <c r="O85" s="242">
        <f t="shared" si="34"/>
        <v>70.060401593542153</v>
      </c>
      <c r="P85" s="242">
        <f t="shared" si="34"/>
        <v>72.512045206737767</v>
      </c>
      <c r="Q85" s="242">
        <f t="shared" si="34"/>
        <v>73.534653499945406</v>
      </c>
      <c r="R85" s="242">
        <f t="shared" si="34"/>
        <v>73.576428061976998</v>
      </c>
    </row>
    <row r="86" spans="1:18" x14ac:dyDescent="0.2">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1.4233066742996692</v>
      </c>
      <c r="N86" s="242">
        <f t="shared" si="35"/>
        <v>2.8351087559809862</v>
      </c>
      <c r="O86" s="242">
        <f t="shared" si="35"/>
        <v>4.326185610743619</v>
      </c>
      <c r="P86" s="242">
        <f t="shared" si="35"/>
        <v>2.9235862047778287</v>
      </c>
      <c r="Q86" s="242">
        <f t="shared" si="35"/>
        <v>1.9438324068836812</v>
      </c>
      <c r="R86" s="242">
        <f t="shared" si="35"/>
        <v>-73.576428061976998</v>
      </c>
    </row>
    <row r="87" spans="1:18" x14ac:dyDescent="0.2">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1.7846929607762516</v>
      </c>
      <c r="N87" s="242">
        <f t="shared" si="36"/>
        <v>1.8111634388154108</v>
      </c>
      <c r="O87" s="242">
        <f t="shared" si="36"/>
        <v>1.8745419975480015</v>
      </c>
      <c r="P87" s="242">
        <f t="shared" si="36"/>
        <v>1.9009779115701932</v>
      </c>
      <c r="Q87" s="242">
        <f t="shared" si="36"/>
        <v>1.9020578448520931</v>
      </c>
      <c r="R87" s="242">
        <f t="shared" si="36"/>
        <v>0</v>
      </c>
    </row>
    <row r="88" spans="1:18" s="138" customFormat="1" x14ac:dyDescent="0.2">
      <c r="A88" s="134"/>
      <c r="B88" s="135"/>
      <c r="C88" s="136"/>
      <c r="D88" s="137"/>
      <c r="E88" s="138" t="s">
        <v>374</v>
      </c>
      <c r="G88" s="163" t="s">
        <v>235</v>
      </c>
      <c r="J88" s="243">
        <f t="shared" ref="J88:R88" si="37" xml:space="preserve"> IF( J83 = 1, $F82, J85 + J86 - J87)</f>
        <v>0</v>
      </c>
      <c r="K88" s="243">
        <f t="shared" si="37"/>
        <v>0</v>
      </c>
      <c r="L88" s="243">
        <f t="shared" si="37"/>
        <v>69.397842562853171</v>
      </c>
      <c r="M88" s="243">
        <f t="shared" si="37"/>
        <v>69.036456276376583</v>
      </c>
      <c r="N88" s="243">
        <f t="shared" si="37"/>
        <v>70.060401593542153</v>
      </c>
      <c r="O88" s="243">
        <f t="shared" si="37"/>
        <v>72.512045206737767</v>
      </c>
      <c r="P88" s="243">
        <f t="shared" si="37"/>
        <v>73.534653499945406</v>
      </c>
      <c r="Q88" s="243">
        <f t="shared" si="37"/>
        <v>73.576428061976998</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69.397842562853171</v>
      </c>
      <c r="N90" s="185">
        <f t="shared" si="38"/>
        <v>69.036456276376583</v>
      </c>
      <c r="O90" s="185">
        <f t="shared" si="38"/>
        <v>70.060401593542153</v>
      </c>
      <c r="P90" s="185">
        <f t="shared" si="38"/>
        <v>72.512045206737767</v>
      </c>
      <c r="Q90" s="185">
        <f t="shared" si="38"/>
        <v>73.534653499945406</v>
      </c>
      <c r="R90" s="185">
        <f t="shared" si="38"/>
        <v>73.576428061976998</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1.4233066742996692</v>
      </c>
      <c r="N91" s="242">
        <f t="shared" si="39"/>
        <v>2.8351087559809862</v>
      </c>
      <c r="O91" s="242">
        <f t="shared" si="39"/>
        <v>4.326185610743619</v>
      </c>
      <c r="P91" s="242">
        <f t="shared" si="39"/>
        <v>2.9235862047778287</v>
      </c>
      <c r="Q91" s="242">
        <f t="shared" si="39"/>
        <v>1.9438324068836812</v>
      </c>
      <c r="R91" s="242">
        <f t="shared" si="39"/>
        <v>-73.576428061976998</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69.397842562853171</v>
      </c>
      <c r="M92" s="185">
        <f t="shared" si="40"/>
        <v>69.036456276376583</v>
      </c>
      <c r="N92" s="185">
        <f t="shared" si="40"/>
        <v>70.060401593542153</v>
      </c>
      <c r="O92" s="185">
        <f t="shared" si="40"/>
        <v>72.512045206737767</v>
      </c>
      <c r="P92" s="185">
        <f t="shared" si="40"/>
        <v>73.534653499945406</v>
      </c>
      <c r="Q92" s="185">
        <f t="shared" si="40"/>
        <v>73.576428061976998</v>
      </c>
      <c r="R92" s="185">
        <f t="shared" si="40"/>
        <v>0</v>
      </c>
    </row>
    <row r="93" spans="1:18" x14ac:dyDescent="0.2">
      <c r="A93" s="49"/>
      <c r="D93" s="57"/>
      <c r="E93" s="7" t="s">
        <v>375</v>
      </c>
      <c r="G93" s="92" t="s">
        <v>235</v>
      </c>
      <c r="H93" s="244"/>
      <c r="I93" s="244"/>
      <c r="J93" s="185">
        <f t="shared" ref="J93:K93" si="41" xml:space="preserve"> ( (J90+J91) + J92) / 2</f>
        <v>0</v>
      </c>
      <c r="K93" s="185">
        <f t="shared" si="41"/>
        <v>0</v>
      </c>
      <c r="L93" s="185">
        <f xml:space="preserve"> ( (L90+L91) + L92) / 2</f>
        <v>34.698921281426585</v>
      </c>
      <c r="M93" s="185">
        <f xml:space="preserve"> ( (M90+M91) + M92) / 2</f>
        <v>69.928802756764711</v>
      </c>
      <c r="N93" s="185">
        <f t="shared" ref="N93:P93" si="42" xml:space="preserve"> ( (N90+N91) + N92) / 2</f>
        <v>70.965983312949859</v>
      </c>
      <c r="O93" s="185">
        <f t="shared" si="42"/>
        <v>73.449316205511764</v>
      </c>
      <c r="P93" s="185">
        <f t="shared" si="42"/>
        <v>74.485142455730511</v>
      </c>
      <c r="Q93" s="185">
        <f xml:space="preserve"> ( (Q90+Q91) + Q92) / 2</f>
        <v>74.527456984403045</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376</v>
      </c>
    </row>
    <row r="96" spans="1:18" s="205" customFormat="1" x14ac:dyDescent="0.2">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1.920357193840716E-2</v>
      </c>
      <c r="N96" s="205">
        <f xml:space="preserve"> InpR!N$101</f>
        <v>1.920357193840716E-2</v>
      </c>
      <c r="O96" s="205">
        <f xml:space="preserve"> InpR!O$101</f>
        <v>1.920357193840716E-2</v>
      </c>
      <c r="P96" s="205">
        <f xml:space="preserve"> InpR!P$101</f>
        <v>1.920357193840716E-2</v>
      </c>
      <c r="Q96" s="205">
        <f xml:space="preserve"> InpR!Q$101</f>
        <v>1.920357193840716E-2</v>
      </c>
      <c r="R96" s="205">
        <f xml:space="preserve"> InpR!R$101</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34.698921281426585</v>
      </c>
      <c r="M98" s="184">
        <f t="shared" si="44"/>
        <v>69.928802756764711</v>
      </c>
      <c r="N98" s="184">
        <f t="shared" si="44"/>
        <v>70.965983312949859</v>
      </c>
      <c r="O98" s="184">
        <f t="shared" si="44"/>
        <v>73.449316205511764</v>
      </c>
      <c r="P98" s="184">
        <f t="shared" si="44"/>
        <v>74.485142455730511</v>
      </c>
      <c r="Q98" s="184">
        <f t="shared" si="44"/>
        <v>74.527456984403045</v>
      </c>
      <c r="R98" s="184">
        <f t="shared" si="44"/>
        <v>0</v>
      </c>
    </row>
    <row r="99" spans="1:26" x14ac:dyDescent="0.2">
      <c r="E99" s="7" t="s">
        <v>377</v>
      </c>
      <c r="F99" s="244"/>
      <c r="G99" s="184" t="s">
        <v>235</v>
      </c>
      <c r="H99" s="244"/>
      <c r="I99" s="244"/>
      <c r="J99" s="244">
        <f t="shared" ref="J99:K99" si="45">J96*J97*J98</f>
        <v>0</v>
      </c>
      <c r="K99" s="244">
        <f t="shared" si="45"/>
        <v>0</v>
      </c>
      <c r="L99" s="244">
        <f>L96*L97*L98</f>
        <v>0</v>
      </c>
      <c r="M99" s="244">
        <f>M96*M97*M98</f>
        <v>1.342882794306216</v>
      </c>
      <c r="N99" s="244">
        <f t="shared" ref="N99:R99" si="46">N96*N97*N98</f>
        <v>1.3628003657300347</v>
      </c>
      <c r="O99" s="244">
        <f t="shared" si="46"/>
        <v>1.4104892275793599</v>
      </c>
      <c r="P99" s="244">
        <f t="shared" si="46"/>
        <v>1.4303807914911262</v>
      </c>
      <c r="Q99" s="244">
        <f t="shared" si="46"/>
        <v>1.431193381586529</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69.397842562853171</v>
      </c>
      <c r="M102" s="185">
        <f t="shared" si="47"/>
        <v>69.036456276376583</v>
      </c>
      <c r="N102" s="185">
        <f t="shared" si="47"/>
        <v>70.060401593542153</v>
      </c>
      <c r="O102" s="185">
        <f t="shared" si="47"/>
        <v>72.512045206737767</v>
      </c>
      <c r="P102" s="185">
        <f t="shared" si="47"/>
        <v>73.534653499945406</v>
      </c>
      <c r="Q102" s="185">
        <f t="shared" si="47"/>
        <v>73.576428061976998</v>
      </c>
      <c r="R102" s="185">
        <f t="shared" si="47"/>
        <v>0</v>
      </c>
    </row>
    <row r="103" spans="1:26" x14ac:dyDescent="0.2">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73.576428061976998</v>
      </c>
      <c r="R103" s="184">
        <f t="shared" si="48"/>
        <v>0</v>
      </c>
    </row>
    <row r="104" spans="1:26" x14ac:dyDescent="0.2">
      <c r="J104" s="91"/>
      <c r="K104" s="91"/>
      <c r="L104" s="91"/>
      <c r="M104" s="91"/>
      <c r="N104" s="91"/>
      <c r="O104" s="91"/>
      <c r="P104" s="91"/>
      <c r="Q104" s="91"/>
      <c r="R104" s="91"/>
    </row>
    <row r="105" spans="1:26" x14ac:dyDescent="0.2">
      <c r="B105" s="61" t="s">
        <v>379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1.7846929607762516</v>
      </c>
      <c r="N106" s="184">
        <f t="shared" si="49"/>
        <v>1.8111634388154108</v>
      </c>
      <c r="O106" s="184">
        <f t="shared" si="49"/>
        <v>1.8745419975480015</v>
      </c>
      <c r="P106" s="184">
        <f t="shared" si="49"/>
        <v>1.9009779115701932</v>
      </c>
      <c r="Q106" s="184">
        <f t="shared" si="49"/>
        <v>1.9020578448520931</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1.342882794306216</v>
      </c>
      <c r="N107" s="184">
        <f t="shared" si="50"/>
        <v>1.3628003657300347</v>
      </c>
      <c r="O107" s="184">
        <f t="shared" si="50"/>
        <v>1.4104892275793599</v>
      </c>
      <c r="P107" s="184">
        <f t="shared" si="50"/>
        <v>1.4303807914911262</v>
      </c>
      <c r="Q107" s="184">
        <f t="shared" si="50"/>
        <v>1.431193381586529</v>
      </c>
      <c r="R107" s="184">
        <f t="shared" si="50"/>
        <v>0</v>
      </c>
      <c r="S107" s="92"/>
      <c r="T107" s="92"/>
      <c r="U107" s="92"/>
      <c r="V107" s="92"/>
      <c r="W107" s="92"/>
      <c r="X107" s="92"/>
      <c r="Y107" s="92"/>
      <c r="Z107" s="92"/>
    </row>
    <row r="108" spans="1:26" x14ac:dyDescent="0.2">
      <c r="E108" s="7" t="s">
        <v>380</v>
      </c>
      <c r="F108" s="244"/>
      <c r="G108" s="184" t="str">
        <f t="shared" si="50"/>
        <v>£m</v>
      </c>
      <c r="H108" s="244">
        <f>SUM(J108:R108)</f>
        <v>16.251180714255216</v>
      </c>
      <c r="I108" s="244"/>
      <c r="J108" s="244">
        <f t="shared" ref="J108:R108" si="51">SUM(J106:J107)</f>
        <v>0</v>
      </c>
      <c r="K108" s="244">
        <f t="shared" si="51"/>
        <v>0</v>
      </c>
      <c r="L108" s="244">
        <f t="shared" si="51"/>
        <v>0</v>
      </c>
      <c r="M108" s="244">
        <f t="shared" si="51"/>
        <v>3.1275757550824679</v>
      </c>
      <c r="N108" s="244">
        <f t="shared" si="51"/>
        <v>3.1739638045454455</v>
      </c>
      <c r="O108" s="244">
        <f t="shared" si="51"/>
        <v>3.2850312251273612</v>
      </c>
      <c r="P108" s="244">
        <f t="shared" si="51"/>
        <v>3.3313587030613192</v>
      </c>
      <c r="Q108" s="244">
        <f t="shared" si="51"/>
        <v>3.3332512264386223</v>
      </c>
      <c r="R108" s="244">
        <f t="shared" si="51"/>
        <v>0</v>
      </c>
    </row>
    <row r="110" spans="1:26" x14ac:dyDescent="0.2">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382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3.1390645093599323</v>
      </c>
      <c r="N114" s="184">
        <f t="shared" si="52"/>
        <v>3.1504971076732344</v>
      </c>
      <c r="O114" s="184">
        <f t="shared" si="52"/>
        <v>3.167855686557207</v>
      </c>
      <c r="P114" s="184">
        <f t="shared" si="52"/>
        <v>3.1868425464001584</v>
      </c>
      <c r="Q114" s="184">
        <f t="shared" si="52"/>
        <v>3.2059432058862618</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16.251180714255216</v>
      </c>
      <c r="I115" s="184">
        <f t="shared" si="53"/>
        <v>0</v>
      </c>
      <c r="J115" s="184">
        <f t="shared" si="53"/>
        <v>0</v>
      </c>
      <c r="K115" s="184">
        <f t="shared" si="53"/>
        <v>0</v>
      </c>
      <c r="L115" s="184">
        <f t="shared" si="53"/>
        <v>0</v>
      </c>
      <c r="M115" s="184">
        <f t="shared" si="53"/>
        <v>3.1275757550824679</v>
      </c>
      <c r="N115" s="184">
        <f t="shared" si="53"/>
        <v>3.1739638045454455</v>
      </c>
      <c r="O115" s="184">
        <f t="shared" si="53"/>
        <v>3.2850312251273612</v>
      </c>
      <c r="P115" s="184">
        <f t="shared" si="53"/>
        <v>3.3313587030613192</v>
      </c>
      <c r="Q115" s="184">
        <f t="shared" si="53"/>
        <v>3.3332512264386223</v>
      </c>
      <c r="R115" s="184">
        <f t="shared" si="53"/>
        <v>0</v>
      </c>
    </row>
    <row r="116" spans="1:26" s="184" customFormat="1" x14ac:dyDescent="0.2">
      <c r="A116" s="180"/>
      <c r="B116" s="181"/>
      <c r="C116" s="182"/>
      <c r="D116" s="183"/>
      <c r="E116" s="7" t="s">
        <v>383</v>
      </c>
      <c r="G116" s="184" t="str">
        <f t="shared" ref="G116" si="54" xml:space="preserve"> G$99</f>
        <v>£m</v>
      </c>
      <c r="H116" s="244">
        <f>SUM(J116:R116)</f>
        <v>0.40097765837842214</v>
      </c>
      <c r="M116" s="184">
        <f>M115-M114</f>
        <v>-1.148875427746443E-2</v>
      </c>
      <c r="N116" s="184">
        <f t="shared" ref="N116:Q116" si="55">N115-N114</f>
        <v>2.3466696872211035E-2</v>
      </c>
      <c r="O116" s="184">
        <f t="shared" si="55"/>
        <v>0.11717553857015428</v>
      </c>
      <c r="P116" s="184">
        <f t="shared" si="55"/>
        <v>0.1445161566611608</v>
      </c>
      <c r="Q116" s="184">
        <f t="shared" si="55"/>
        <v>0.12730802055236046</v>
      </c>
      <c r="S116" s="185"/>
      <c r="T116" s="185"/>
      <c r="U116" s="185"/>
      <c r="V116" s="185"/>
      <c r="W116" s="185"/>
      <c r="X116" s="185"/>
      <c r="Y116" s="185"/>
      <c r="Z116" s="185"/>
    </row>
    <row r="118" spans="1:26" x14ac:dyDescent="0.2">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385</v>
      </c>
    </row>
    <row r="121" spans="1:26" x14ac:dyDescent="0.2">
      <c r="C121" s="110" t="s">
        <v>386</v>
      </c>
    </row>
    <row r="122" spans="1:26" x14ac:dyDescent="0.2">
      <c r="C122" s="110" t="s">
        <v>387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0</v>
      </c>
    </row>
    <row r="126" spans="1:26" s="172" customFormat="1" x14ac:dyDescent="0.2">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-1</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69.397842562853171</v>
      </c>
      <c r="N128" s="245">
        <f t="shared" si="58"/>
        <v>69.290052973773072</v>
      </c>
      <c r="O128" s="245">
        <f t="shared" si="58"/>
        <v>69.54241011405945</v>
      </c>
      <c r="P128" s="245">
        <f t="shared" si="58"/>
        <v>69.925574221338394</v>
      </c>
      <c r="Q128" s="245">
        <f t="shared" si="58"/>
        <v>70.34468014299145</v>
      </c>
      <c r="R128" s="245">
        <f t="shared" si="58"/>
        <v>70.766298017896474</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-1</v>
      </c>
    </row>
    <row r="130" spans="1:16383" x14ac:dyDescent="0.2">
      <c r="C130" s="278"/>
      <c r="E130" s="7" t="s">
        <v>389</v>
      </c>
      <c r="G130" s="91" t="s">
        <v>235</v>
      </c>
      <c r="J130" s="246">
        <f>J128*J129</f>
        <v>0</v>
      </c>
      <c r="K130" s="246">
        <f t="shared" ref="K130:L130" si="60">K128*K129</f>
        <v>0</v>
      </c>
      <c r="L130" s="246">
        <f t="shared" si="60"/>
        <v>0</v>
      </c>
      <c r="M130" s="246">
        <f>M128*M129</f>
        <v>1.6834592157404529</v>
      </c>
      <c r="N130" s="246">
        <f t="shared" ref="N130:R130" si="61">N128*N129</f>
        <v>2.0501297447942832</v>
      </c>
      <c r="O130" s="246">
        <f t="shared" si="61"/>
        <v>2.190842062118628</v>
      </c>
      <c r="P130" s="246">
        <f t="shared" si="61"/>
        <v>2.2376183750828771</v>
      </c>
      <c r="Q130" s="246">
        <f t="shared" si="61"/>
        <v>2.2510297645757129</v>
      </c>
      <c r="R130" s="246">
        <f t="shared" si="61"/>
        <v>-70.766298017896474</v>
      </c>
    </row>
    <row r="132" spans="1:16383" s="205" customFormat="1" x14ac:dyDescent="0.2">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2.52E-2</v>
      </c>
      <c r="N132" s="205">
        <f xml:space="preserve"> InpR!N$94</f>
        <v>2.52E-2</v>
      </c>
      <c r="O132" s="205">
        <f xml:space="preserve"> InpR!O$94</f>
        <v>2.52E-2</v>
      </c>
      <c r="P132" s="205">
        <f xml:space="preserve"> InpR!P$94</f>
        <v>2.52E-2</v>
      </c>
      <c r="Q132" s="205">
        <f xml:space="preserve"> InpR!Q$94</f>
        <v>2.52E-2</v>
      </c>
      <c r="R132" s="205">
        <f xml:space="preserve"> InpR!R$94</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69.397842562853171</v>
      </c>
      <c r="N133" s="245">
        <f t="shared" si="62"/>
        <v>69.290052973773072</v>
      </c>
      <c r="O133" s="245">
        <f t="shared" si="62"/>
        <v>69.54241011405945</v>
      </c>
      <c r="P133" s="245">
        <f t="shared" si="62"/>
        <v>69.925574221338394</v>
      </c>
      <c r="Q133" s="245">
        <f t="shared" si="62"/>
        <v>70.34468014299145</v>
      </c>
      <c r="R133" s="245">
        <f t="shared" si="62"/>
        <v>70.766298017896474</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1.6834592157404529</v>
      </c>
      <c r="N134" s="246">
        <f t="shared" si="63"/>
        <v>2.0501297447942832</v>
      </c>
      <c r="O134" s="246">
        <f t="shared" si="63"/>
        <v>2.190842062118628</v>
      </c>
      <c r="P134" s="246">
        <f t="shared" si="63"/>
        <v>2.2376183750828771</v>
      </c>
      <c r="Q134" s="246">
        <f t="shared" si="63"/>
        <v>2.2510297645757129</v>
      </c>
      <c r="R134" s="246">
        <f t="shared" si="63"/>
        <v>-70.766298017896474</v>
      </c>
      <c r="S134" s="92"/>
      <c r="T134" s="92"/>
      <c r="U134" s="92"/>
      <c r="V134" s="92"/>
      <c r="W134" s="92"/>
      <c r="X134" s="92"/>
      <c r="Y134" s="92"/>
      <c r="Z134" s="92"/>
    </row>
    <row r="135" spans="1:16383" x14ac:dyDescent="0.2">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1.7912488048205595</v>
      </c>
      <c r="N135" s="246">
        <f t="shared" si="64"/>
        <v>1.7977726045078972</v>
      </c>
      <c r="O135" s="246">
        <f t="shared" si="64"/>
        <v>1.8076779548396877</v>
      </c>
      <c r="P135" s="246">
        <f t="shared" si="64"/>
        <v>1.818512453429816</v>
      </c>
      <c r="Q135" s="246">
        <f t="shared" si="64"/>
        <v>1.8294118896706926</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InpR!$E$87</f>
        <v>RCV - CPI(H) + RPI wedge initial balance - nominal - WR</v>
      </c>
      <c r="F137" s="250">
        <f>InpR!$F$87</f>
        <v>69.397842562853171</v>
      </c>
      <c r="G137" s="200" t="str">
        <f>InpR!$G$87</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391</v>
      </c>
      <c r="G140" s="162" t="s">
        <v>235</v>
      </c>
      <c r="J140" s="242">
        <f t="shared" ref="J140:R140" si="65" xml:space="preserve"> I143</f>
        <v>0</v>
      </c>
      <c r="K140" s="242">
        <f t="shared" si="65"/>
        <v>0</v>
      </c>
      <c r="L140" s="242">
        <f t="shared" si="65"/>
        <v>0</v>
      </c>
      <c r="M140" s="242">
        <f t="shared" si="65"/>
        <v>69.397842562853171</v>
      </c>
      <c r="N140" s="242">
        <f t="shared" si="65"/>
        <v>69.290052973773072</v>
      </c>
      <c r="O140" s="242">
        <f t="shared" si="65"/>
        <v>69.54241011405945</v>
      </c>
      <c r="P140" s="242">
        <f t="shared" si="65"/>
        <v>69.925574221338394</v>
      </c>
      <c r="Q140" s="242">
        <f t="shared" si="65"/>
        <v>70.34468014299145</v>
      </c>
      <c r="R140" s="242">
        <f t="shared" si="65"/>
        <v>70.766298017896474</v>
      </c>
    </row>
    <row r="141" spans="1:16383" x14ac:dyDescent="0.2">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1.6834592157404529</v>
      </c>
      <c r="N141" s="242">
        <f t="shared" si="66"/>
        <v>2.0501297447942832</v>
      </c>
      <c r="O141" s="242">
        <f t="shared" si="66"/>
        <v>2.190842062118628</v>
      </c>
      <c r="P141" s="242">
        <f t="shared" si="66"/>
        <v>2.2376183750828771</v>
      </c>
      <c r="Q141" s="242">
        <f t="shared" si="66"/>
        <v>2.2510297645757129</v>
      </c>
      <c r="R141" s="242">
        <f t="shared" si="66"/>
        <v>-70.766298017896474</v>
      </c>
    </row>
    <row r="142" spans="1:16383" x14ac:dyDescent="0.2">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1.7912488048205595</v>
      </c>
      <c r="N142" s="242">
        <f t="shared" si="67"/>
        <v>1.7977726045078972</v>
      </c>
      <c r="O142" s="242">
        <f t="shared" si="67"/>
        <v>1.8076779548396877</v>
      </c>
      <c r="P142" s="242">
        <f t="shared" si="67"/>
        <v>1.818512453429816</v>
      </c>
      <c r="Q142" s="242">
        <f t="shared" si="67"/>
        <v>1.8294118896706926</v>
      </c>
      <c r="R142" s="242">
        <f t="shared" si="67"/>
        <v>0</v>
      </c>
    </row>
    <row r="143" spans="1:16383" s="138" customFormat="1" x14ac:dyDescent="0.2">
      <c r="A143" s="134"/>
      <c r="B143" s="135"/>
      <c r="C143" s="279"/>
      <c r="D143" s="137"/>
      <c r="E143" s="138" t="s">
        <v>392</v>
      </c>
      <c r="G143" s="163" t="s">
        <v>235</v>
      </c>
      <c r="J143" s="243">
        <f t="shared" ref="J143:R143" si="68" xml:space="preserve"> IF( J138 = 1, $F137, J140 + J141 - J142)</f>
        <v>0</v>
      </c>
      <c r="K143" s="243">
        <f t="shared" si="68"/>
        <v>0</v>
      </c>
      <c r="L143" s="243">
        <f t="shared" si="68"/>
        <v>69.397842562853171</v>
      </c>
      <c r="M143" s="243">
        <f t="shared" si="68"/>
        <v>69.290052973773072</v>
      </c>
      <c r="N143" s="243">
        <f t="shared" si="68"/>
        <v>69.54241011405945</v>
      </c>
      <c r="O143" s="243">
        <f t="shared" si="68"/>
        <v>69.925574221338394</v>
      </c>
      <c r="P143" s="243">
        <f t="shared" si="68"/>
        <v>70.34468014299145</v>
      </c>
      <c r="Q143" s="243">
        <f t="shared" si="68"/>
        <v>70.766298017896474</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69.397842562853171</v>
      </c>
      <c r="N145" s="185">
        <f t="shared" si="69"/>
        <v>69.290052973773072</v>
      </c>
      <c r="O145" s="185">
        <f t="shared" si="69"/>
        <v>69.54241011405945</v>
      </c>
      <c r="P145" s="185">
        <f t="shared" si="69"/>
        <v>69.925574221338394</v>
      </c>
      <c r="Q145" s="185">
        <f t="shared" si="69"/>
        <v>70.34468014299145</v>
      </c>
      <c r="R145" s="185">
        <f t="shared" si="69"/>
        <v>70.766298017896474</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1.6834592157404529</v>
      </c>
      <c r="N146" s="184">
        <f t="shared" si="70"/>
        <v>2.0501297447942832</v>
      </c>
      <c r="O146" s="184">
        <f t="shared" si="70"/>
        <v>2.190842062118628</v>
      </c>
      <c r="P146" s="184">
        <f t="shared" si="70"/>
        <v>2.2376183750828771</v>
      </c>
      <c r="Q146" s="184">
        <f t="shared" si="70"/>
        <v>2.2510297645757129</v>
      </c>
      <c r="R146" s="184">
        <f t="shared" si="70"/>
        <v>-70.766298017896474</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69.397842562853171</v>
      </c>
      <c r="M147" s="185">
        <f t="shared" si="71"/>
        <v>69.290052973773072</v>
      </c>
      <c r="N147" s="185">
        <f t="shared" si="71"/>
        <v>69.54241011405945</v>
      </c>
      <c r="O147" s="185">
        <f t="shared" si="71"/>
        <v>69.925574221338394</v>
      </c>
      <c r="P147" s="185">
        <f t="shared" si="71"/>
        <v>70.34468014299145</v>
      </c>
      <c r="Q147" s="185">
        <f t="shared" si="71"/>
        <v>70.766298017896474</v>
      </c>
      <c r="R147" s="185">
        <f t="shared" si="71"/>
        <v>0</v>
      </c>
    </row>
    <row r="148" spans="1:26" x14ac:dyDescent="0.2">
      <c r="A148" s="49"/>
      <c r="C148" s="278"/>
      <c r="D148" s="57"/>
      <c r="E148" s="7" t="s">
        <v>393</v>
      </c>
      <c r="F148" s="244"/>
      <c r="G148" s="185" t="s">
        <v>235</v>
      </c>
      <c r="H148" s="244"/>
      <c r="I148" s="244"/>
      <c r="J148" s="185">
        <f t="shared" ref="J148:L148" si="72" xml:space="preserve"> ( (J145+J146) + J147) / 2</f>
        <v>0</v>
      </c>
      <c r="K148" s="185">
        <f t="shared" si="72"/>
        <v>0</v>
      </c>
      <c r="L148" s="185">
        <f t="shared" si="72"/>
        <v>34.698921281426585</v>
      </c>
      <c r="M148" s="185">
        <f xml:space="preserve"> ( (M145+M146) + M147) / 2</f>
        <v>70.185677376183349</v>
      </c>
      <c r="N148" s="185">
        <f t="shared" ref="N148:R148" si="73" xml:space="preserve"> ( (N145+N146) + N147) / 2</f>
        <v>70.441296416313406</v>
      </c>
      <c r="O148" s="185">
        <f t="shared" si="73"/>
        <v>70.829413198758232</v>
      </c>
      <c r="P148" s="185">
        <f t="shared" si="73"/>
        <v>71.253936369706366</v>
      </c>
      <c r="Q148" s="185">
        <f t="shared" si="73"/>
        <v>71.681003962731822</v>
      </c>
      <c r="R148" s="185">
        <f t="shared" si="73"/>
        <v>0</v>
      </c>
    </row>
    <row r="150" spans="1:26" s="205" customFormat="1" x14ac:dyDescent="0.2">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1.920357193840716E-2</v>
      </c>
      <c r="N150" s="205">
        <f xml:space="preserve"> InpR!N$101</f>
        <v>1.920357193840716E-2</v>
      </c>
      <c r="O150" s="205">
        <f xml:space="preserve"> InpR!O$101</f>
        <v>1.920357193840716E-2</v>
      </c>
      <c r="P150" s="205">
        <f xml:space="preserve"> InpR!P$101</f>
        <v>1.920357193840716E-2</v>
      </c>
      <c r="Q150" s="205">
        <f xml:space="preserve"> InpR!Q$101</f>
        <v>1.920357193840716E-2</v>
      </c>
      <c r="R150" s="205">
        <f xml:space="preserve"> InpR!R$101</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34.698921281426585</v>
      </c>
      <c r="M152" s="246">
        <f t="shared" si="74"/>
        <v>70.185677376183349</v>
      </c>
      <c r="N152" s="246">
        <f t="shared" si="74"/>
        <v>70.441296416313406</v>
      </c>
      <c r="O152" s="246">
        <f t="shared" si="74"/>
        <v>70.829413198758232</v>
      </c>
      <c r="P152" s="246">
        <f t="shared" si="74"/>
        <v>71.253936369706366</v>
      </c>
      <c r="Q152" s="246">
        <f t="shared" si="74"/>
        <v>71.681003962731822</v>
      </c>
      <c r="R152" s="246">
        <f t="shared" si="74"/>
        <v>0</v>
      </c>
    </row>
    <row r="153" spans="1:26" x14ac:dyDescent="0.2">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1.3478157045393728</v>
      </c>
      <c r="N153" s="246">
        <f t="shared" si="76"/>
        <v>1.352724503165337</v>
      </c>
      <c r="O153" s="246">
        <f t="shared" si="76"/>
        <v>1.3601777317175192</v>
      </c>
      <c r="P153" s="246">
        <f t="shared" si="76"/>
        <v>1.3683300929703426</v>
      </c>
      <c r="Q153" s="246">
        <f t="shared" si="76"/>
        <v>1.3765313162155692</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1.7912488048205595</v>
      </c>
      <c r="N155" s="184">
        <f t="shared" si="77"/>
        <v>1.7977726045078972</v>
      </c>
      <c r="O155" s="184">
        <f t="shared" si="77"/>
        <v>1.8076779548396877</v>
      </c>
      <c r="P155" s="184">
        <f t="shared" si="77"/>
        <v>1.818512453429816</v>
      </c>
      <c r="Q155" s="184">
        <f t="shared" si="77"/>
        <v>1.8294118896706926</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1.3478157045393728</v>
      </c>
      <c r="N156" s="184">
        <f t="shared" si="78"/>
        <v>1.352724503165337</v>
      </c>
      <c r="O156" s="184">
        <f t="shared" si="78"/>
        <v>1.3601777317175192</v>
      </c>
      <c r="P156" s="184">
        <f t="shared" si="78"/>
        <v>1.3683300929703426</v>
      </c>
      <c r="Q156" s="184">
        <f t="shared" si="78"/>
        <v>1.3765313162155692</v>
      </c>
      <c r="R156" s="184">
        <f t="shared" si="78"/>
        <v>0</v>
      </c>
    </row>
    <row r="157" spans="1:26" x14ac:dyDescent="0.2">
      <c r="C157" s="278"/>
      <c r="E157" s="7" t="s">
        <v>395</v>
      </c>
      <c r="F157" s="244"/>
      <c r="G157" s="184" t="str">
        <f t="shared" ref="G157" si="79">G$155</f>
        <v>£m</v>
      </c>
      <c r="H157" s="244">
        <f>SUM(J157:R157)</f>
        <v>15.850203055876795</v>
      </c>
      <c r="I157" s="244"/>
      <c r="J157" s="244">
        <f t="shared" ref="J157:R157" si="80">SUM(J155:J156)</f>
        <v>0</v>
      </c>
      <c r="K157" s="244">
        <f t="shared" si="80"/>
        <v>0</v>
      </c>
      <c r="L157" s="244">
        <f>SUM(L155:L156)</f>
        <v>0</v>
      </c>
      <c r="M157" s="244">
        <f t="shared" si="80"/>
        <v>3.1390645093599323</v>
      </c>
      <c r="N157" s="244">
        <f t="shared" si="80"/>
        <v>3.1504971076732344</v>
      </c>
      <c r="O157" s="244">
        <f t="shared" si="80"/>
        <v>3.167855686557207</v>
      </c>
      <c r="P157" s="244">
        <f t="shared" si="80"/>
        <v>3.1868425464001584</v>
      </c>
      <c r="Q157" s="244">
        <f t="shared" si="80"/>
        <v>3.2059432058862618</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15.850203055876795</v>
      </c>
      <c r="I159" s="184">
        <f t="shared" si="81"/>
        <v>0</v>
      </c>
      <c r="J159" s="184">
        <f t="shared" si="81"/>
        <v>0</v>
      </c>
      <c r="K159" s="184">
        <f t="shared" si="81"/>
        <v>0</v>
      </c>
      <c r="L159" s="184">
        <f t="shared" si="81"/>
        <v>0</v>
      </c>
      <c r="M159" s="184">
        <f t="shared" si="81"/>
        <v>3.1390645093599323</v>
      </c>
      <c r="N159" s="184">
        <f t="shared" si="81"/>
        <v>3.1504971076732344</v>
      </c>
      <c r="O159" s="184">
        <f t="shared" si="81"/>
        <v>3.167855686557207</v>
      </c>
      <c r="P159" s="184">
        <f t="shared" si="81"/>
        <v>3.1868425464001584</v>
      </c>
      <c r="Q159" s="184">
        <f t="shared" si="81"/>
        <v>3.2059432058862618</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16.251180714255216</v>
      </c>
      <c r="I160" s="184">
        <f t="shared" si="82"/>
        <v>0</v>
      </c>
      <c r="J160" s="184">
        <f t="shared" si="82"/>
        <v>0</v>
      </c>
      <c r="K160" s="184">
        <f t="shared" si="82"/>
        <v>0</v>
      </c>
      <c r="L160" s="184">
        <f t="shared" si="82"/>
        <v>0</v>
      </c>
      <c r="M160" s="184">
        <f t="shared" si="82"/>
        <v>3.1275757550824679</v>
      </c>
      <c r="N160" s="184">
        <f t="shared" si="82"/>
        <v>3.1739638045454455</v>
      </c>
      <c r="O160" s="184">
        <f t="shared" si="82"/>
        <v>3.2850312251273612</v>
      </c>
      <c r="P160" s="184">
        <f t="shared" si="82"/>
        <v>3.3313587030613192</v>
      </c>
      <c r="Q160" s="184">
        <f t="shared" si="82"/>
        <v>3.3332512264386223</v>
      </c>
      <c r="R160" s="184">
        <f t="shared" si="82"/>
        <v>0</v>
      </c>
    </row>
    <row r="161" spans="1:16383" s="185" customFormat="1" x14ac:dyDescent="0.2">
      <c r="A161" s="252"/>
      <c r="B161" s="181"/>
      <c r="C161" s="182"/>
      <c r="D161" s="253"/>
      <c r="E161" s="7" t="s">
        <v>396</v>
      </c>
      <c r="G161" s="185" t="str">
        <f t="shared" ref="G161" si="83" xml:space="preserve"> G$153</f>
        <v>£m</v>
      </c>
      <c r="H161" s="185">
        <f xml:space="preserve"> SUM(J161:R161)</f>
        <v>0.40097765837842214</v>
      </c>
      <c r="J161" s="185">
        <f t="shared" ref="J161:K161" si="84">J160-J159</f>
        <v>0</v>
      </c>
      <c r="K161" s="185">
        <f t="shared" si="84"/>
        <v>0</v>
      </c>
      <c r="L161" s="185">
        <f>L160-L159</f>
        <v>0</v>
      </c>
      <c r="M161" s="185">
        <f>M160-M159</f>
        <v>-1.148875427746443E-2</v>
      </c>
      <c r="N161" s="185">
        <f t="shared" ref="N161:R161" si="85">N160-N159</f>
        <v>2.3466696872211035E-2</v>
      </c>
      <c r="O161" s="185">
        <f t="shared" si="85"/>
        <v>0.11717553857015428</v>
      </c>
      <c r="P161" s="185">
        <f t="shared" si="85"/>
        <v>0.1445161566611608</v>
      </c>
      <c r="Q161" s="185">
        <f t="shared" si="85"/>
        <v>0.12730802055236046</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0.40097765837842214</v>
      </c>
      <c r="I163" s="248">
        <f t="shared" si="86"/>
        <v>0</v>
      </c>
      <c r="J163" s="248">
        <f t="shared" si="86"/>
        <v>0</v>
      </c>
      <c r="K163" s="248">
        <f t="shared" si="86"/>
        <v>0</v>
      </c>
      <c r="L163" s="248">
        <f t="shared" si="86"/>
        <v>0</v>
      </c>
      <c r="M163" s="248">
        <f t="shared" si="86"/>
        <v>-1.148875427746443E-2</v>
      </c>
      <c r="N163" s="248">
        <f t="shared" si="86"/>
        <v>2.3466696872211035E-2</v>
      </c>
      <c r="O163" s="248">
        <f t="shared" si="86"/>
        <v>0.11717553857015428</v>
      </c>
      <c r="P163" s="248">
        <f t="shared" si="86"/>
        <v>0.1445161566611608</v>
      </c>
      <c r="Q163" s="248">
        <f t="shared" si="86"/>
        <v>0.12730802055236046</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0.40097765837842214</v>
      </c>
      <c r="I164" s="248">
        <f t="shared" si="87"/>
        <v>0</v>
      </c>
      <c r="J164" s="248">
        <f t="shared" si="87"/>
        <v>0</v>
      </c>
      <c r="K164" s="248">
        <f t="shared" si="87"/>
        <v>0</v>
      </c>
      <c r="L164" s="248">
        <f t="shared" si="87"/>
        <v>0</v>
      </c>
      <c r="M164" s="248">
        <f t="shared" si="87"/>
        <v>-1.148875427746443E-2</v>
      </c>
      <c r="N164" s="248">
        <f t="shared" si="87"/>
        <v>2.3466696872211035E-2</v>
      </c>
      <c r="O164" s="248">
        <f t="shared" si="87"/>
        <v>0.11717553857015428</v>
      </c>
      <c r="P164" s="248">
        <f t="shared" si="87"/>
        <v>0.1445161566611608</v>
      </c>
      <c r="Q164" s="248">
        <f t="shared" si="87"/>
        <v>0.12730802055236046</v>
      </c>
      <c r="R164" s="248">
        <f t="shared" si="87"/>
        <v>0</v>
      </c>
      <c r="S164" s="92"/>
      <c r="T164" s="92"/>
      <c r="U164" s="92"/>
      <c r="V164" s="92"/>
      <c r="W164" s="92"/>
      <c r="X164" s="92"/>
      <c r="Y164" s="92"/>
      <c r="Z164" s="92"/>
    </row>
    <row r="165" spans="1:16383" s="211" customFormat="1" x14ac:dyDescent="0.2">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398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34.698921281426585</v>
      </c>
      <c r="M169" s="185">
        <f t="shared" si="90"/>
        <v>70.185677376183349</v>
      </c>
      <c r="N169" s="184">
        <f t="shared" si="90"/>
        <v>70.441296416313406</v>
      </c>
      <c r="O169" s="184">
        <f t="shared" si="90"/>
        <v>70.829413198758232</v>
      </c>
      <c r="P169" s="184">
        <f t="shared" si="90"/>
        <v>71.253936369706366</v>
      </c>
      <c r="Q169" s="184">
        <f t="shared" si="90"/>
        <v>71.681003962731822</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34.698921281426585</v>
      </c>
      <c r="M170" s="185">
        <f t="shared" si="91"/>
        <v>69.928802756764711</v>
      </c>
      <c r="N170" s="184">
        <f t="shared" si="91"/>
        <v>70.965983312949859</v>
      </c>
      <c r="O170" s="184">
        <f t="shared" si="91"/>
        <v>73.449316205511764</v>
      </c>
      <c r="P170" s="184">
        <f t="shared" si="91"/>
        <v>74.485142455730511</v>
      </c>
      <c r="Q170" s="184">
        <f t="shared" si="91"/>
        <v>74.527456984403045</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0</v>
      </c>
    </row>
    <row r="172" spans="1:16383" s="91" customFormat="1" x14ac:dyDescent="0.2">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33.313003074523252</v>
      </c>
      <c r="M172" s="184">
        <f t="shared" si="92"/>
        <v>66.071927005534263</v>
      </c>
      <c r="N172" s="184">
        <f t="shared" si="92"/>
        <v>65.009641466381396</v>
      </c>
      <c r="O172" s="184">
        <f t="shared" si="92"/>
        <v>64.038942755211906</v>
      </c>
      <c r="P172" s="184">
        <f t="shared" si="92"/>
        <v>63.097714556816427</v>
      </c>
      <c r="Q172" s="184">
        <f t="shared" si="92"/>
        <v>62.17032029263865</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33.313003074523252</v>
      </c>
      <c r="M173" s="184">
        <f t="shared" si="92"/>
        <v>65.830108421767747</v>
      </c>
      <c r="N173" s="184">
        <f t="shared" si="92"/>
        <v>65.49387030326784</v>
      </c>
      <c r="O173" s="184">
        <f t="shared" si="92"/>
        <v>66.407673641106626</v>
      </c>
      <c r="P173" s="184">
        <f t="shared" si="92"/>
        <v>65.959054290137885</v>
      </c>
      <c r="Q173" s="184">
        <f t="shared" si="92"/>
        <v>64.639104018760236</v>
      </c>
      <c r="R173" s="184">
        <f t="shared" si="92"/>
        <v>0</v>
      </c>
      <c r="S173" s="92"/>
      <c r="T173" s="92"/>
      <c r="U173" s="92"/>
      <c r="V173" s="92"/>
      <c r="W173" s="92"/>
      <c r="X173" s="92"/>
      <c r="Y173" s="92"/>
      <c r="Z173" s="92"/>
    </row>
    <row r="174" spans="1:16383" s="91" customFormat="1" x14ac:dyDescent="0.2">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-0.24181858376651633</v>
      </c>
      <c r="N174" s="185">
        <f t="shared" si="93"/>
        <v>0.48422883688644447</v>
      </c>
      <c r="O174" s="185">
        <f t="shared" si="93"/>
        <v>2.3687308858947205</v>
      </c>
      <c r="P174" s="185">
        <f t="shared" si="93"/>
        <v>2.8613397333214579</v>
      </c>
      <c r="Q174" s="185">
        <f t="shared" si="93"/>
        <v>2.4687837261215861</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-0.24181858376651633</v>
      </c>
      <c r="N176" s="185">
        <f t="shared" si="94"/>
        <v>0.48422883688644447</v>
      </c>
      <c r="O176" s="185">
        <f t="shared" si="94"/>
        <v>2.3687308858947205</v>
      </c>
      <c r="P176" s="185">
        <f t="shared" si="94"/>
        <v>2.8613397333214579</v>
      </c>
      <c r="Q176" s="185">
        <f t="shared" si="94"/>
        <v>2.4687837261215861</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400</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2.4687837261215861</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401</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1.7912488048205595</v>
      </c>
      <c r="N182" s="184">
        <f t="shared" si="96"/>
        <v>1.7977726045078972</v>
      </c>
      <c r="O182" s="184">
        <f t="shared" si="96"/>
        <v>1.8076779548396877</v>
      </c>
      <c r="P182" s="184">
        <f t="shared" si="96"/>
        <v>1.818512453429816</v>
      </c>
      <c r="Q182" s="184">
        <f t="shared" si="96"/>
        <v>1.8294118896706926</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1.3478157045393728</v>
      </c>
      <c r="N183" s="184">
        <f t="shared" si="97"/>
        <v>1.352724503165337</v>
      </c>
      <c r="O183" s="184">
        <f t="shared" si="97"/>
        <v>1.3601777317175192</v>
      </c>
      <c r="P183" s="184">
        <f t="shared" si="97"/>
        <v>1.3683300929703426</v>
      </c>
      <c r="Q183" s="184">
        <f t="shared" si="97"/>
        <v>1.3765313162155692</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15.850203055876795</v>
      </c>
      <c r="I184" s="184">
        <f t="shared" si="98"/>
        <v>0</v>
      </c>
      <c r="J184" s="184">
        <f t="shared" si="98"/>
        <v>0</v>
      </c>
      <c r="K184" s="184">
        <f t="shared" si="98"/>
        <v>0</v>
      </c>
      <c r="L184" s="184">
        <f t="shared" si="98"/>
        <v>0</v>
      </c>
      <c r="M184" s="184">
        <f t="shared" si="98"/>
        <v>3.1390645093599323</v>
      </c>
      <c r="N184" s="184">
        <f t="shared" si="98"/>
        <v>3.1504971076732344</v>
      </c>
      <c r="O184" s="184">
        <f t="shared" si="98"/>
        <v>3.167855686557207</v>
      </c>
      <c r="P184" s="184">
        <f t="shared" si="98"/>
        <v>3.1868425464001584</v>
      </c>
      <c r="Q184" s="184">
        <f t="shared" si="98"/>
        <v>3.2059432058862618</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1.7846929607762516</v>
      </c>
      <c r="N185" s="184">
        <f t="shared" si="99"/>
        <v>1.8111634388154108</v>
      </c>
      <c r="O185" s="184">
        <f t="shared" si="99"/>
        <v>1.8745419975480015</v>
      </c>
      <c r="P185" s="184">
        <f t="shared" si="99"/>
        <v>1.9009779115701932</v>
      </c>
      <c r="Q185" s="184">
        <f t="shared" si="99"/>
        <v>1.9020578448520931</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1.342882794306216</v>
      </c>
      <c r="N186" s="184">
        <f t="shared" si="100"/>
        <v>1.3628003657300347</v>
      </c>
      <c r="O186" s="184">
        <f t="shared" si="100"/>
        <v>1.4104892275793599</v>
      </c>
      <c r="P186" s="184">
        <f t="shared" si="100"/>
        <v>1.4303807914911262</v>
      </c>
      <c r="Q186" s="184">
        <f t="shared" si="100"/>
        <v>1.431193381586529</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16.251180714255216</v>
      </c>
      <c r="I187" s="184">
        <f t="shared" si="101"/>
        <v>0</v>
      </c>
      <c r="J187" s="184">
        <f t="shared" si="101"/>
        <v>0</v>
      </c>
      <c r="K187" s="184">
        <f t="shared" si="101"/>
        <v>0</v>
      </c>
      <c r="L187" s="184">
        <f t="shared" si="101"/>
        <v>0</v>
      </c>
      <c r="M187" s="184">
        <f t="shared" si="101"/>
        <v>3.1275757550824679</v>
      </c>
      <c r="N187" s="184">
        <f t="shared" si="101"/>
        <v>3.1739638045454455</v>
      </c>
      <c r="O187" s="184">
        <f t="shared" si="101"/>
        <v>3.2850312251273612</v>
      </c>
      <c r="P187" s="184">
        <f t="shared" si="101"/>
        <v>3.3313587030613192</v>
      </c>
      <c r="Q187" s="184">
        <f t="shared" si="101"/>
        <v>3.3332512264386223</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0</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8.1768192841096656</v>
      </c>
      <c r="I189" s="184"/>
      <c r="J189" s="184">
        <f t="shared" ref="J189:R194" si="105" xml:space="preserve"> IF(J$188 = 0, 0, J182 / J$188)</f>
        <v>0</v>
      </c>
      <c r="K189" s="184">
        <f t="shared" si="105"/>
        <v>0</v>
      </c>
      <c r="L189" s="184">
        <f t="shared" si="105"/>
        <v>0</v>
      </c>
      <c r="M189" s="185">
        <f t="shared" si="105"/>
        <v>1.6862594293492643</v>
      </c>
      <c r="N189" s="184">
        <f t="shared" si="105"/>
        <v>1.6591482326846376</v>
      </c>
      <c r="O189" s="184">
        <f t="shared" si="105"/>
        <v>1.6343744758267575</v>
      </c>
      <c r="P189" s="184">
        <f t="shared" si="105"/>
        <v>1.610352852776761</v>
      </c>
      <c r="Q189" s="184">
        <f t="shared" si="105"/>
        <v>1.586684293472244</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6.1526044928233325</v>
      </c>
      <c r="I190" s="184"/>
      <c r="J190" s="184">
        <f t="shared" si="105"/>
        <v>0</v>
      </c>
      <c r="K190" s="184">
        <f t="shared" si="105"/>
        <v>0</v>
      </c>
      <c r="L190" s="184">
        <f t="shared" si="105"/>
        <v>0</v>
      </c>
      <c r="M190" s="185">
        <f t="shared" si="105"/>
        <v>1.2688170033599639</v>
      </c>
      <c r="N190" s="184">
        <f xml:space="preserve"> IF(N$188 = 0, 0, N183 / N$188)</f>
        <v>1.2484173265897125</v>
      </c>
      <c r="O190" s="184">
        <f t="shared" si="105"/>
        <v>1.2297764440592498</v>
      </c>
      <c r="P190" s="184">
        <f t="shared" si="105"/>
        <v>1.2117015006409049</v>
      </c>
      <c r="Q190" s="184">
        <f t="shared" si="105"/>
        <v>1.1938922181735008</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14.329423776932996</v>
      </c>
      <c r="I191" s="184"/>
      <c r="J191" s="184">
        <f t="shared" si="105"/>
        <v>0</v>
      </c>
      <c r="K191" s="184">
        <f t="shared" si="105"/>
        <v>0</v>
      </c>
      <c r="L191" s="184">
        <f t="shared" si="105"/>
        <v>0</v>
      </c>
      <c r="M191" s="185">
        <f t="shared" si="105"/>
        <v>2.9550764327092285</v>
      </c>
      <c r="N191" s="184">
        <f t="shared" si="105"/>
        <v>2.9075655592743503</v>
      </c>
      <c r="O191" s="184">
        <f t="shared" si="105"/>
        <v>2.8641509198860073</v>
      </c>
      <c r="P191" s="184">
        <f t="shared" si="105"/>
        <v>2.8220543534176659</v>
      </c>
      <c r="Q191" s="184">
        <f t="shared" si="105"/>
        <v>2.7805765116457448</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8.3794928387796404</v>
      </c>
      <c r="I192" s="184"/>
      <c r="J192" s="184">
        <f t="shared" si="105"/>
        <v>0</v>
      </c>
      <c r="K192" s="184">
        <f t="shared" si="105"/>
        <v>0</v>
      </c>
      <c r="L192" s="184">
        <f t="shared" si="105"/>
        <v>0</v>
      </c>
      <c r="M192" s="185">
        <f t="shared" si="105"/>
        <v>1.6800878389999465</v>
      </c>
      <c r="N192" s="184">
        <f t="shared" si="105"/>
        <v>1.6715065137151606</v>
      </c>
      <c r="O192" s="184">
        <f t="shared" si="105"/>
        <v>1.6948282112172242</v>
      </c>
      <c r="P192" s="184">
        <f t="shared" si="105"/>
        <v>1.6833787402384794</v>
      </c>
      <c r="Q192" s="184">
        <f t="shared" si="105"/>
        <v>1.649691534608829</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6.3051051388217392</v>
      </c>
      <c r="I193" s="184"/>
      <c r="J193" s="184">
        <f t="shared" si="105"/>
        <v>0</v>
      </c>
      <c r="K193" s="184">
        <f t="shared" si="105"/>
        <v>0</v>
      </c>
      <c r="L193" s="184">
        <f t="shared" si="105"/>
        <v>0</v>
      </c>
      <c r="M193" s="185">
        <f t="shared" si="105"/>
        <v>1.26417322279056</v>
      </c>
      <c r="N193" s="184">
        <f t="shared" si="105"/>
        <v>1.2577162498935124</v>
      </c>
      <c r="O193" s="184">
        <f t="shared" si="105"/>
        <v>1.2752645380292558</v>
      </c>
      <c r="P193" s="184">
        <f t="shared" si="105"/>
        <v>1.266649444049966</v>
      </c>
      <c r="Q193" s="184">
        <f t="shared" si="105"/>
        <v>1.2413016840584454</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14.68459797760138</v>
      </c>
      <c r="I194" s="184"/>
      <c r="J194" s="184">
        <f t="shared" si="105"/>
        <v>0</v>
      </c>
      <c r="K194" s="184">
        <f t="shared" si="105"/>
        <v>0</v>
      </c>
      <c r="L194" s="184">
        <f t="shared" si="105"/>
        <v>0</v>
      </c>
      <c r="M194" s="185">
        <f t="shared" si="105"/>
        <v>2.9442610617905065</v>
      </c>
      <c r="N194" s="184">
        <f t="shared" si="105"/>
        <v>2.929222763608673</v>
      </c>
      <c r="O194" s="184">
        <f t="shared" si="105"/>
        <v>2.9700927492464797</v>
      </c>
      <c r="P194" s="184">
        <f t="shared" si="105"/>
        <v>2.9500281842884455</v>
      </c>
      <c r="Q194" s="184">
        <f t="shared" si="105"/>
        <v>2.8909932186672744</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8.1768192841096656</v>
      </c>
      <c r="I196" s="247">
        <f t="shared" si="106"/>
        <v>0</v>
      </c>
      <c r="J196" s="184">
        <f t="shared" si="106"/>
        <v>0</v>
      </c>
      <c r="K196" s="184">
        <f t="shared" si="106"/>
        <v>0</v>
      </c>
      <c r="L196" s="184">
        <f t="shared" si="106"/>
        <v>0</v>
      </c>
      <c r="M196" s="185">
        <f t="shared" si="106"/>
        <v>1.6862594293492643</v>
      </c>
      <c r="N196" s="184">
        <f t="shared" si="106"/>
        <v>1.6591482326846376</v>
      </c>
      <c r="O196" s="184">
        <f t="shared" si="106"/>
        <v>1.6343744758267575</v>
      </c>
      <c r="P196" s="184">
        <f t="shared" si="106"/>
        <v>1.610352852776761</v>
      </c>
      <c r="Q196" s="184">
        <f t="shared" si="106"/>
        <v>1.586684293472244</v>
      </c>
      <c r="R196" s="184">
        <f t="shared" si="106"/>
        <v>0</v>
      </c>
    </row>
    <row r="197" spans="1:26" x14ac:dyDescent="0.2">
      <c r="E197" s="7" t="str">
        <f>E$192</f>
        <v>RCV run-off company should have received- real</v>
      </c>
      <c r="F197" s="184">
        <f t="shared" ref="F197:R197" si="107">F$192</f>
        <v>0</v>
      </c>
      <c r="G197" s="7" t="str">
        <f t="shared" si="107"/>
        <v>£m</v>
      </c>
      <c r="H197" s="247">
        <f t="shared" si="107"/>
        <v>8.3794928387796404</v>
      </c>
      <c r="I197" s="247">
        <f t="shared" si="107"/>
        <v>0</v>
      </c>
      <c r="J197" s="184">
        <f t="shared" si="107"/>
        <v>0</v>
      </c>
      <c r="K197" s="184">
        <f t="shared" si="107"/>
        <v>0</v>
      </c>
      <c r="L197" s="184">
        <f t="shared" si="107"/>
        <v>0</v>
      </c>
      <c r="M197" s="185">
        <f t="shared" si="107"/>
        <v>1.6800878389999465</v>
      </c>
      <c r="N197" s="184">
        <f t="shared" si="107"/>
        <v>1.6715065137151606</v>
      </c>
      <c r="O197" s="184">
        <f t="shared" si="107"/>
        <v>1.6948282112172242</v>
      </c>
      <c r="P197" s="184">
        <f t="shared" si="107"/>
        <v>1.6833787402384794</v>
      </c>
      <c r="Q197" s="184">
        <f t="shared" si="107"/>
        <v>1.649691534608829</v>
      </c>
      <c r="R197" s="184">
        <f t="shared" si="107"/>
        <v>0</v>
      </c>
    </row>
    <row r="198" spans="1:26" x14ac:dyDescent="0.2">
      <c r="C198" s="278"/>
      <c r="E198" s="7" t="s">
        <v>402</v>
      </c>
      <c r="G198" s="7" t="s">
        <v>235</v>
      </c>
      <c r="H198" s="185">
        <f xml:space="preserve"> SUM(J198:R198)</f>
        <v>0.20267355466997516</v>
      </c>
      <c r="I198" s="185"/>
      <c r="J198" s="184">
        <f t="shared" ref="J198:K198" si="108">J197-J196</f>
        <v>0</v>
      </c>
      <c r="K198" s="184">
        <f t="shared" si="108"/>
        <v>0</v>
      </c>
      <c r="L198" s="184">
        <f>L197-L196</f>
        <v>0</v>
      </c>
      <c r="M198" s="185">
        <f>M197-M196</f>
        <v>-6.1715903493178015E-3</v>
      </c>
      <c r="N198" s="184">
        <f t="shared" ref="N198:R198" si="109">N197-N196</f>
        <v>1.2358281030522944E-2</v>
      </c>
      <c r="O198" s="184">
        <f t="shared" si="109"/>
        <v>6.0453735390466612E-2</v>
      </c>
      <c r="P198" s="184">
        <f t="shared" si="109"/>
        <v>7.3025887461718453E-2</v>
      </c>
      <c r="Q198" s="184">
        <f t="shared" si="109"/>
        <v>6.3007241136584957E-2</v>
      </c>
      <c r="R198" s="184">
        <f t="shared" si="109"/>
        <v>0</v>
      </c>
    </row>
    <row r="200" spans="1:26" x14ac:dyDescent="0.2">
      <c r="E200" s="7" t="str">
        <f>E$190</f>
        <v>True up Nominal return- real</v>
      </c>
      <c r="F200" s="184">
        <f t="shared" ref="F200:R200" si="110">F$190</f>
        <v>0</v>
      </c>
      <c r="G200" s="7" t="str">
        <f t="shared" si="110"/>
        <v>£m</v>
      </c>
      <c r="H200" s="247">
        <f t="shared" si="110"/>
        <v>6.1526044928233325</v>
      </c>
      <c r="I200" s="247">
        <f t="shared" si="110"/>
        <v>0</v>
      </c>
      <c r="J200" s="184">
        <f t="shared" si="110"/>
        <v>0</v>
      </c>
      <c r="K200" s="184">
        <f t="shared" si="110"/>
        <v>0</v>
      </c>
      <c r="L200" s="184">
        <f t="shared" si="110"/>
        <v>0</v>
      </c>
      <c r="M200" s="185">
        <f t="shared" si="110"/>
        <v>1.2688170033599639</v>
      </c>
      <c r="N200" s="184">
        <f t="shared" si="110"/>
        <v>1.2484173265897125</v>
      </c>
      <c r="O200" s="184">
        <f t="shared" si="110"/>
        <v>1.2297764440592498</v>
      </c>
      <c r="P200" s="184">
        <f t="shared" si="110"/>
        <v>1.2117015006409049</v>
      </c>
      <c r="Q200" s="184">
        <f t="shared" si="110"/>
        <v>1.1938922181735008</v>
      </c>
      <c r="R200" s="184">
        <f t="shared" si="110"/>
        <v>0</v>
      </c>
    </row>
    <row r="201" spans="1:26" x14ac:dyDescent="0.2">
      <c r="E201" s="7" t="str">
        <f>E$193</f>
        <v>Nominal return company should have received- real</v>
      </c>
      <c r="F201" s="184">
        <f t="shared" ref="F201:R201" si="111">F$193</f>
        <v>0</v>
      </c>
      <c r="G201" s="7" t="str">
        <f t="shared" si="111"/>
        <v>£m</v>
      </c>
      <c r="H201" s="247">
        <f t="shared" si="111"/>
        <v>6.3051051388217392</v>
      </c>
      <c r="I201" s="247">
        <f t="shared" si="111"/>
        <v>0</v>
      </c>
      <c r="J201" s="184">
        <f t="shared" si="111"/>
        <v>0</v>
      </c>
      <c r="K201" s="184">
        <f t="shared" si="111"/>
        <v>0</v>
      </c>
      <c r="L201" s="184">
        <f t="shared" si="111"/>
        <v>0</v>
      </c>
      <c r="M201" s="185">
        <f t="shared" si="111"/>
        <v>1.26417322279056</v>
      </c>
      <c r="N201" s="184">
        <f t="shared" si="111"/>
        <v>1.2577162498935124</v>
      </c>
      <c r="O201" s="184">
        <f t="shared" si="111"/>
        <v>1.2752645380292558</v>
      </c>
      <c r="P201" s="184">
        <f t="shared" si="111"/>
        <v>1.266649444049966</v>
      </c>
      <c r="Q201" s="184">
        <f t="shared" si="111"/>
        <v>1.2413016840584454</v>
      </c>
      <c r="R201" s="184">
        <f t="shared" si="111"/>
        <v>0</v>
      </c>
    </row>
    <row r="202" spans="1:26" x14ac:dyDescent="0.2">
      <c r="C202" s="278"/>
      <c r="E202" s="7" t="s">
        <v>403</v>
      </c>
      <c r="G202" s="7" t="s">
        <v>235</v>
      </c>
      <c r="H202" s="185">
        <f xml:space="preserve"> SUM(J202:R202)</f>
        <v>0.15250064599840774</v>
      </c>
      <c r="I202" s="185"/>
      <c r="J202" s="184">
        <f t="shared" ref="J202:K202" si="112">J201-J200</f>
        <v>0</v>
      </c>
      <c r="K202" s="184">
        <f t="shared" si="112"/>
        <v>0</v>
      </c>
      <c r="L202" s="184">
        <f>L201-L200</f>
        <v>0</v>
      </c>
      <c r="M202" s="185">
        <f>M201-M200</f>
        <v>-4.6437805694039547E-3</v>
      </c>
      <c r="N202" s="184">
        <f t="shared" ref="N202:R202" si="113">N201-N200</f>
        <v>9.2989233037998886E-3</v>
      </c>
      <c r="O202" s="184">
        <f>O201-O200</f>
        <v>4.5488093970005972E-2</v>
      </c>
      <c r="P202" s="184">
        <f t="shared" si="113"/>
        <v>5.4947943409061173E-2</v>
      </c>
      <c r="Q202" s="184">
        <f t="shared" si="113"/>
        <v>4.7409465884944657E-2</v>
      </c>
      <c r="R202" s="184">
        <f t="shared" si="113"/>
        <v>0</v>
      </c>
    </row>
    <row r="204" spans="1:26" x14ac:dyDescent="0.2">
      <c r="E204" s="7" t="str">
        <f>E$191</f>
        <v>Total True up Nominal revenue to company- real</v>
      </c>
      <c r="F204" s="184">
        <f t="shared" ref="F204:R204" si="114">F$191</f>
        <v>0</v>
      </c>
      <c r="G204" s="7" t="str">
        <f t="shared" si="114"/>
        <v>£m</v>
      </c>
      <c r="H204" s="247">
        <f t="shared" si="114"/>
        <v>14.329423776932996</v>
      </c>
      <c r="I204" s="247"/>
      <c r="J204" s="184">
        <f t="shared" si="114"/>
        <v>0</v>
      </c>
      <c r="K204" s="184">
        <f t="shared" si="114"/>
        <v>0</v>
      </c>
      <c r="L204" s="184">
        <f t="shared" si="114"/>
        <v>0</v>
      </c>
      <c r="M204" s="185">
        <f t="shared" si="114"/>
        <v>2.9550764327092285</v>
      </c>
      <c r="N204" s="184">
        <f t="shared" si="114"/>
        <v>2.9075655592743503</v>
      </c>
      <c r="O204" s="184">
        <f t="shared" si="114"/>
        <v>2.8641509198860073</v>
      </c>
      <c r="P204" s="184">
        <f t="shared" si="114"/>
        <v>2.8220543534176659</v>
      </c>
      <c r="Q204" s="184">
        <f t="shared" si="114"/>
        <v>2.7805765116457448</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14.68459797760138</v>
      </c>
      <c r="I205" s="247"/>
      <c r="J205" s="184">
        <f t="shared" si="115"/>
        <v>0</v>
      </c>
      <c r="K205" s="184">
        <f t="shared" si="115"/>
        <v>0</v>
      </c>
      <c r="L205" s="184">
        <f t="shared" si="115"/>
        <v>0</v>
      </c>
      <c r="M205" s="185">
        <f t="shared" si="115"/>
        <v>2.9442610617905065</v>
      </c>
      <c r="N205" s="184">
        <f t="shared" si="115"/>
        <v>2.929222763608673</v>
      </c>
      <c r="O205" s="184">
        <f t="shared" si="115"/>
        <v>2.9700927492464797</v>
      </c>
      <c r="P205" s="184">
        <f t="shared" si="115"/>
        <v>2.9500281842884455</v>
      </c>
      <c r="Q205" s="184">
        <f t="shared" si="115"/>
        <v>2.8909932186672744</v>
      </c>
      <c r="R205" s="184">
        <f t="shared" si="115"/>
        <v>0</v>
      </c>
    </row>
    <row r="206" spans="1:26" x14ac:dyDescent="0.2">
      <c r="C206" s="278"/>
      <c r="E206" s="7" t="s">
        <v>404</v>
      </c>
      <c r="G206" s="7" t="s">
        <v>235</v>
      </c>
      <c r="H206" s="185">
        <f xml:space="preserve"> SUM(J206:R206)</f>
        <v>0.35517420066838223</v>
      </c>
      <c r="I206" s="185"/>
      <c r="J206" s="184">
        <f t="shared" ref="J206:K206" si="116">J205-J204</f>
        <v>0</v>
      </c>
      <c r="K206" s="184">
        <f t="shared" si="116"/>
        <v>0</v>
      </c>
      <c r="L206" s="184">
        <f>L205-L204</f>
        <v>0</v>
      </c>
      <c r="M206" s="185">
        <f>M205-M204</f>
        <v>-1.0815370918721978E-2</v>
      </c>
      <c r="N206" s="184">
        <f t="shared" ref="N206:R206" si="117">N205-N204</f>
        <v>2.1657204334322611E-2</v>
      </c>
      <c r="O206" s="184">
        <f t="shared" si="117"/>
        <v>0.10594182936047236</v>
      </c>
      <c r="P206" s="184">
        <f t="shared" si="117"/>
        <v>0.12797383087077963</v>
      </c>
      <c r="Q206" s="184">
        <f t="shared" si="117"/>
        <v>0.11041670702152961</v>
      </c>
      <c r="R206" s="184">
        <f t="shared" si="117"/>
        <v>0</v>
      </c>
    </row>
    <row r="208" spans="1:26" x14ac:dyDescent="0.2">
      <c r="B208" s="61" t="s">
        <v>405</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2.9195763820156317E-2</v>
      </c>
      <c r="N210" s="205">
        <f>InpR!N$108</f>
        <v>2.9195763820156317E-2</v>
      </c>
      <c r="O210" s="205">
        <f>InpR!O$108</f>
        <v>2.9195763820156317E-2</v>
      </c>
      <c r="P210" s="205">
        <f>InpR!P$108</f>
        <v>2.9195763820156317E-2</v>
      </c>
      <c r="Q210" s="205">
        <f>InpR!Q$108</f>
        <v>2.9195763820156317E-2</v>
      </c>
      <c r="R210" s="205">
        <f>InpR!R$108</f>
        <v>0</v>
      </c>
    </row>
    <row r="211" spans="1:18" x14ac:dyDescent="0.2">
      <c r="E211" s="7" t="s">
        <v>406</v>
      </c>
      <c r="G211" s="7" t="s">
        <v>407</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
      <c r="B213" s="61" t="s">
        <v>408</v>
      </c>
    </row>
    <row r="214" spans="1:18" x14ac:dyDescent="0.2">
      <c r="E214" s="7" t="str">
        <f>E$198</f>
        <v>Value of True up run-off - real</v>
      </c>
      <c r="F214" s="184">
        <f t="shared" ref="F214:R214" si="119">F$198</f>
        <v>0</v>
      </c>
      <c r="G214" s="7" t="str">
        <f t="shared" si="119"/>
        <v>£m</v>
      </c>
      <c r="H214" s="247">
        <f t="shared" si="119"/>
        <v>0.20267355466997516</v>
      </c>
      <c r="I214" s="247">
        <f t="shared" si="119"/>
        <v>0</v>
      </c>
      <c r="J214" s="184">
        <f t="shared" si="119"/>
        <v>0</v>
      </c>
      <c r="K214" s="184">
        <f t="shared" si="119"/>
        <v>0</v>
      </c>
      <c r="L214" s="184">
        <f t="shared" si="119"/>
        <v>0</v>
      </c>
      <c r="M214" s="185">
        <f t="shared" si="119"/>
        <v>-6.1715903493178015E-3</v>
      </c>
      <c r="N214" s="184">
        <f t="shared" si="119"/>
        <v>1.2358281030522944E-2</v>
      </c>
      <c r="O214" s="184">
        <f t="shared" si="119"/>
        <v>6.0453735390466612E-2</v>
      </c>
      <c r="P214" s="184">
        <f t="shared" si="119"/>
        <v>7.3025887461718453E-2</v>
      </c>
      <c r="Q214" s="184">
        <f t="shared" si="119"/>
        <v>6.3007241136584957E-2</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
      <c r="A216" s="265"/>
      <c r="B216" s="266"/>
      <c r="C216" s="267"/>
      <c r="D216" s="268"/>
      <c r="E216" s="34" t="s">
        <v>409</v>
      </c>
      <c r="G216" s="34" t="s">
        <v>235</v>
      </c>
      <c r="H216" s="271">
        <f xml:space="preserve"> SUM(J216:R216)</f>
        <v>0.20874853602830365</v>
      </c>
      <c r="J216" s="271">
        <f xml:space="preserve"> J214 * J215</f>
        <v>0</v>
      </c>
      <c r="K216" s="271">
        <f t="shared" ref="K216:R216" si="121" xml:space="preserve"> K214 * K215</f>
        <v>0</v>
      </c>
      <c r="L216" s="271">
        <f t="shared" si="121"/>
        <v>0</v>
      </c>
      <c r="M216" s="277">
        <f t="shared" si="121"/>
        <v>-6.9245100700090836E-3</v>
      </c>
      <c r="N216" s="271">
        <f t="shared" si="121"/>
        <v>1.3472619267237395E-2</v>
      </c>
      <c r="O216" s="271">
        <f t="shared" si="121"/>
        <v>6.4035251669682283E-2</v>
      </c>
      <c r="P216" s="271">
        <f t="shared" si="121"/>
        <v>7.5157934024808096E-2</v>
      </c>
      <c r="Q216" s="271">
        <f t="shared" si="121"/>
        <v>6.3007241136584957E-2</v>
      </c>
      <c r="R216" s="271">
        <f t="shared" si="121"/>
        <v>0</v>
      </c>
    </row>
    <row r="218" spans="1:18" x14ac:dyDescent="0.2">
      <c r="B218" s="61" t="s">
        <v>410</v>
      </c>
    </row>
    <row r="219" spans="1:18" x14ac:dyDescent="0.2">
      <c r="E219" s="7" t="str">
        <f>E202</f>
        <v>Value of True up return - real</v>
      </c>
      <c r="F219" s="184">
        <f t="shared" ref="F219:R219" si="122">F202</f>
        <v>0</v>
      </c>
      <c r="G219" s="7" t="str">
        <f t="shared" si="122"/>
        <v>£m</v>
      </c>
      <c r="H219" s="247">
        <f t="shared" si="122"/>
        <v>0.15250064599840774</v>
      </c>
      <c r="I219" s="247">
        <f t="shared" si="122"/>
        <v>0</v>
      </c>
      <c r="J219" s="184">
        <f t="shared" si="122"/>
        <v>0</v>
      </c>
      <c r="K219" s="184">
        <f t="shared" si="122"/>
        <v>0</v>
      </c>
      <c r="L219" s="184">
        <f t="shared" si="122"/>
        <v>0</v>
      </c>
      <c r="M219" s="185">
        <f t="shared" si="122"/>
        <v>-4.6437805694039547E-3</v>
      </c>
      <c r="N219" s="184">
        <f t="shared" si="122"/>
        <v>9.2989233037998886E-3</v>
      </c>
      <c r="O219" s="184">
        <f t="shared" si="122"/>
        <v>4.5488093970005972E-2</v>
      </c>
      <c r="P219" s="184">
        <f t="shared" si="122"/>
        <v>5.4947943409061173E-2</v>
      </c>
      <c r="Q219" s="184">
        <f t="shared" si="122"/>
        <v>4.7409465884944657E-2</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
      <c r="A221" s="265"/>
      <c r="B221" s="266"/>
      <c r="C221" s="267"/>
      <c r="D221" s="268"/>
      <c r="E221" s="34" t="s">
        <v>411</v>
      </c>
      <c r="G221" s="34" t="s">
        <v>235</v>
      </c>
      <c r="H221" s="271">
        <f xml:space="preserve"> SUM(J221:R221)</f>
        <v>0.15707173364268354</v>
      </c>
      <c r="J221" s="271">
        <f xml:space="preserve"> J219 * J220</f>
        <v>0</v>
      </c>
      <c r="K221" s="271">
        <f t="shared" ref="K221:M221" si="124" xml:space="preserve"> K219 * K220</f>
        <v>0</v>
      </c>
      <c r="L221" s="271">
        <f t="shared" si="124"/>
        <v>0</v>
      </c>
      <c r="M221" s="277">
        <f t="shared" si="124"/>
        <v>-5.2103110374629238E-3</v>
      </c>
      <c r="N221" s="271">
        <f xml:space="preserve"> N219 * N220</f>
        <v>1.0137401225778395E-2</v>
      </c>
      <c r="O221" s="271">
        <f t="shared" ref="O221:R221" si="125" xml:space="preserve"> O219 * O220</f>
        <v>4.8182986982187981E-2</v>
      </c>
      <c r="P221" s="271">
        <f t="shared" si="125"/>
        <v>5.6552190587235436E-2</v>
      </c>
      <c r="Q221" s="271">
        <f t="shared" si="125"/>
        <v>4.7409465884944657E-2</v>
      </c>
      <c r="R221" s="271">
        <f t="shared" si="125"/>
        <v>0</v>
      </c>
    </row>
    <row r="223" spans="1:18" x14ac:dyDescent="0.2">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344</v>
      </c>
      <c r="B8" s="286"/>
      <c r="C8" s="287"/>
      <c r="D8" s="287"/>
      <c r="E8" s="287"/>
      <c r="F8" s="287"/>
      <c r="G8" s="287"/>
      <c r="H8" s="287"/>
      <c r="I8" s="287"/>
      <c r="J8" s="287"/>
      <c r="K8" s="287"/>
      <c r="L8" s="287"/>
      <c r="M8" s="287"/>
      <c r="N8" s="287"/>
      <c r="O8" s="287"/>
      <c r="P8" s="287"/>
      <c r="Q8" s="287"/>
      <c r="R8" s="287"/>
    </row>
    <row r="10" spans="1:26" x14ac:dyDescent="0.2">
      <c r="C10" s="110" t="s">
        <v>345</v>
      </c>
    </row>
    <row r="12" spans="1:26" x14ac:dyDescent="0.2">
      <c r="B12" s="61" t="s">
        <v>346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0</v>
      </c>
    </row>
    <row r="15" spans="1:26" s="172" customFormat="1" x14ac:dyDescent="0.2">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-1</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v>
      </c>
    </row>
    <row r="19" spans="1:16383" s="216" customFormat="1" x14ac:dyDescent="0.2">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0</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349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713.63233774396952</v>
      </c>
      <c r="N22" s="241">
        <f t="shared" si="3"/>
        <v>696.58934257396845</v>
      </c>
      <c r="O22" s="241">
        <f t="shared" si="3"/>
        <v>683.4913935041285</v>
      </c>
      <c r="P22" s="241">
        <f t="shared" si="3"/>
        <v>671.88776705885437</v>
      </c>
      <c r="Q22" s="241">
        <f t="shared" si="3"/>
        <v>660.79893135131545</v>
      </c>
      <c r="R22" s="241">
        <f t="shared" si="3"/>
        <v>649.89310578829327</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-1</v>
      </c>
      <c r="S23" s="177"/>
      <c r="T23" s="177"/>
      <c r="U23" s="177"/>
      <c r="V23" s="177"/>
      <c r="W23" s="177"/>
      <c r="X23" s="177"/>
      <c r="Y23" s="177"/>
      <c r="Z23" s="177"/>
    </row>
    <row r="24" spans="1:16383" s="91" customFormat="1" x14ac:dyDescent="0.2">
      <c r="A24" s="170"/>
      <c r="B24" s="165"/>
      <c r="C24" s="166"/>
      <c r="D24" s="171"/>
      <c r="E24" s="172" t="s">
        <v>350</v>
      </c>
      <c r="G24" s="91" t="s">
        <v>235</v>
      </c>
      <c r="J24" s="184">
        <f>J22*J23</f>
        <v>0</v>
      </c>
      <c r="K24" s="184">
        <f t="shared" ref="K24:R24" si="5">K22*K23</f>
        <v>0</v>
      </c>
      <c r="L24" s="184">
        <f t="shared" si="5"/>
        <v>0</v>
      </c>
      <c r="M24" s="184">
        <f>M22*M23</f>
        <v>17.311358556102302</v>
      </c>
      <c r="N24" s="184">
        <f t="shared" si="5"/>
        <v>20.610440746208351</v>
      </c>
      <c r="O24" s="184">
        <f t="shared" si="5"/>
        <v>21.532496379244474</v>
      </c>
      <c r="P24" s="184">
        <f t="shared" si="5"/>
        <v>21.500408545883808</v>
      </c>
      <c r="Q24" s="184">
        <f t="shared" si="5"/>
        <v>21.145565803241965</v>
      </c>
      <c r="R24" s="184">
        <f t="shared" si="5"/>
        <v>-649.89310578829327</v>
      </c>
      <c r="S24" s="92"/>
      <c r="T24" s="92"/>
      <c r="U24" s="92"/>
      <c r="V24" s="92"/>
      <c r="W24" s="92"/>
      <c r="X24" s="92"/>
      <c r="Y24" s="92"/>
      <c r="Z24" s="92"/>
    </row>
    <row r="26" spans="1:16383" s="205" customFormat="1" x14ac:dyDescent="0.2">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4.7E-2</v>
      </c>
      <c r="N26" s="205">
        <f xml:space="preserve"> InpR!N$95</f>
        <v>4.7E-2</v>
      </c>
      <c r="O26" s="205">
        <f xml:space="preserve"> InpR!O$95</f>
        <v>4.7E-2</v>
      </c>
      <c r="P26" s="205">
        <f xml:space="preserve"> InpR!P$95</f>
        <v>4.7E-2</v>
      </c>
      <c r="Q26" s="205">
        <f xml:space="preserve"> InpR!Q$95</f>
        <v>4.7E-2</v>
      </c>
      <c r="R26" s="205">
        <f xml:space="preserve"> InpR!R$95</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713.63233774396952</v>
      </c>
      <c r="N27" s="241">
        <f t="shared" si="6"/>
        <v>696.58934257396845</v>
      </c>
      <c r="O27" s="241">
        <f t="shared" si="6"/>
        <v>683.4913935041285</v>
      </c>
      <c r="P27" s="241">
        <f t="shared" si="6"/>
        <v>671.88776705885437</v>
      </c>
      <c r="Q27" s="241">
        <f t="shared" si="6"/>
        <v>660.79893135131545</v>
      </c>
      <c r="R27" s="241">
        <f t="shared" si="6"/>
        <v>649.89310578829327</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17.311358556102302</v>
      </c>
      <c r="N28" s="184">
        <f t="shared" si="7"/>
        <v>20.610440746208351</v>
      </c>
      <c r="O28" s="184">
        <f t="shared" si="7"/>
        <v>21.532496379244474</v>
      </c>
      <c r="P28" s="184">
        <f t="shared" si="7"/>
        <v>21.500408545883808</v>
      </c>
      <c r="Q28" s="184">
        <f t="shared" si="7"/>
        <v>21.145565803241965</v>
      </c>
      <c r="R28" s="184">
        <f t="shared" si="7"/>
        <v>-649.89310578829327</v>
      </c>
    </row>
    <row r="29" spans="1:16383" x14ac:dyDescent="0.2">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34.354353726103376</v>
      </c>
      <c r="N29" s="184">
        <f t="shared" si="8"/>
        <v>33.70838981604831</v>
      </c>
      <c r="O29" s="184">
        <f t="shared" si="8"/>
        <v>33.13612282451853</v>
      </c>
      <c r="P29" s="184">
        <f t="shared" si="8"/>
        <v>32.589244253422699</v>
      </c>
      <c r="Q29" s="184">
        <f t="shared" si="8"/>
        <v>32.051391366264198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InpR!$E$88</f>
        <v>RCV - CPI(H) + RPI wedge initial balance - nominal - WN</v>
      </c>
      <c r="F31" s="250">
        <f>InpR!$F$88</f>
        <v>713.63233774396952</v>
      </c>
      <c r="G31" s="250" t="str">
        <f>InpR!$G$88</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352</v>
      </c>
      <c r="G34" s="92" t="s">
        <v>235</v>
      </c>
      <c r="J34" s="242">
        <f t="shared" ref="J34:R34" si="9" xml:space="preserve"> I37</f>
        <v>0</v>
      </c>
      <c r="K34" s="242">
        <f t="shared" si="9"/>
        <v>0</v>
      </c>
      <c r="L34" s="242">
        <f t="shared" si="9"/>
        <v>0</v>
      </c>
      <c r="M34" s="242">
        <f t="shared" si="9"/>
        <v>713.63233774396952</v>
      </c>
      <c r="N34" s="242">
        <f t="shared" si="9"/>
        <v>696.58934257396845</v>
      </c>
      <c r="O34" s="242">
        <f t="shared" si="9"/>
        <v>683.4913935041285</v>
      </c>
      <c r="P34" s="242">
        <f t="shared" si="9"/>
        <v>671.88776705885437</v>
      </c>
      <c r="Q34" s="242">
        <f t="shared" si="9"/>
        <v>660.79893135131545</v>
      </c>
      <c r="R34" s="242">
        <f t="shared" si="9"/>
        <v>649.89310578829327</v>
      </c>
    </row>
    <row r="35" spans="1:26" x14ac:dyDescent="0.2">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17.311358556102302</v>
      </c>
      <c r="N35" s="242">
        <f t="shared" si="10"/>
        <v>20.610440746208351</v>
      </c>
      <c r="O35" s="242">
        <f t="shared" si="10"/>
        <v>21.532496379244474</v>
      </c>
      <c r="P35" s="242">
        <f t="shared" si="10"/>
        <v>21.500408545883808</v>
      </c>
      <c r="Q35" s="242">
        <f t="shared" si="10"/>
        <v>21.145565803241965</v>
      </c>
      <c r="R35" s="242">
        <f t="shared" si="10"/>
        <v>-649.89310578829327</v>
      </c>
    </row>
    <row r="36" spans="1:26" x14ac:dyDescent="0.2">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34.354353726103376</v>
      </c>
      <c r="N36" s="242">
        <f t="shared" si="11"/>
        <v>33.70838981604831</v>
      </c>
      <c r="O36" s="242">
        <f t="shared" si="11"/>
        <v>33.13612282451853</v>
      </c>
      <c r="P36" s="242">
        <f t="shared" si="11"/>
        <v>32.589244253422699</v>
      </c>
      <c r="Q36" s="242">
        <f t="shared" si="11"/>
        <v>32.051391366264198</v>
      </c>
      <c r="R36" s="242">
        <f t="shared" si="11"/>
        <v>0</v>
      </c>
    </row>
    <row r="37" spans="1:26" s="138" customFormat="1" x14ac:dyDescent="0.2">
      <c r="A37" s="134"/>
      <c r="B37" s="135"/>
      <c r="C37" s="136"/>
      <c r="D37" s="137"/>
      <c r="E37" s="138" t="s">
        <v>355</v>
      </c>
      <c r="G37" s="163" t="s">
        <v>235</v>
      </c>
      <c r="J37" s="243">
        <f t="shared" ref="J37:R37" si="12" xml:space="preserve"> IF( J32 = 1, $F31, J34 + J35 - J36)</f>
        <v>0</v>
      </c>
      <c r="K37" s="243">
        <f t="shared" si="12"/>
        <v>0</v>
      </c>
      <c r="L37" s="243">
        <f t="shared" si="12"/>
        <v>713.63233774396952</v>
      </c>
      <c r="M37" s="243">
        <f t="shared" si="12"/>
        <v>696.58934257396845</v>
      </c>
      <c r="N37" s="243">
        <f t="shared" si="12"/>
        <v>683.4913935041285</v>
      </c>
      <c r="O37" s="243">
        <f t="shared" si="12"/>
        <v>671.88776705885437</v>
      </c>
      <c r="P37" s="243">
        <f t="shared" si="12"/>
        <v>660.79893135131545</v>
      </c>
      <c r="Q37" s="243">
        <f t="shared" si="12"/>
        <v>649.89310578829327</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713.63233774396952</v>
      </c>
      <c r="N39" s="185">
        <f t="shared" si="13"/>
        <v>696.58934257396845</v>
      </c>
      <c r="O39" s="185">
        <f t="shared" si="13"/>
        <v>683.4913935041285</v>
      </c>
      <c r="P39" s="185">
        <f t="shared" si="13"/>
        <v>671.88776705885437</v>
      </c>
      <c r="Q39" s="185">
        <f t="shared" si="13"/>
        <v>660.79893135131545</v>
      </c>
      <c r="R39" s="185">
        <f t="shared" si="13"/>
        <v>649.89310578829327</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17.311358556102302</v>
      </c>
      <c r="N40" s="242">
        <f t="shared" si="14"/>
        <v>20.610440746208351</v>
      </c>
      <c r="O40" s="242">
        <f t="shared" si="14"/>
        <v>21.532496379244474</v>
      </c>
      <c r="P40" s="242">
        <f t="shared" si="14"/>
        <v>21.500408545883808</v>
      </c>
      <c r="Q40" s="242">
        <f t="shared" si="14"/>
        <v>21.145565803241965</v>
      </c>
      <c r="R40" s="242">
        <f t="shared" si="14"/>
        <v>-649.89310578829327</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713.63233774396952</v>
      </c>
      <c r="M41" s="185">
        <f t="shared" si="15"/>
        <v>696.58934257396845</v>
      </c>
      <c r="N41" s="185">
        <f t="shared" si="15"/>
        <v>683.4913935041285</v>
      </c>
      <c r="O41" s="185">
        <f t="shared" si="15"/>
        <v>671.88776705885437</v>
      </c>
      <c r="P41" s="185">
        <f t="shared" si="15"/>
        <v>660.79893135131545</v>
      </c>
      <c r="Q41" s="185">
        <f t="shared" si="15"/>
        <v>649.89310578829327</v>
      </c>
      <c r="R41" s="185">
        <f t="shared" si="15"/>
        <v>0</v>
      </c>
    </row>
    <row r="42" spans="1:26" s="92" customFormat="1" x14ac:dyDescent="0.2">
      <c r="A42" s="164"/>
      <c r="B42" s="165"/>
      <c r="C42" s="166"/>
      <c r="D42" s="167"/>
      <c r="E42" s="92" t="s">
        <v>356</v>
      </c>
      <c r="G42" s="92" t="s">
        <v>235</v>
      </c>
      <c r="J42" s="185">
        <f t="shared" ref="J42:L42" si="16" xml:space="preserve"> ( (J39+J40) + J41) / 2</f>
        <v>0</v>
      </c>
      <c r="K42" s="185">
        <f t="shared" si="16"/>
        <v>0</v>
      </c>
      <c r="L42" s="185">
        <f t="shared" si="16"/>
        <v>356.81616887198476</v>
      </c>
      <c r="M42" s="185">
        <f xml:space="preserve"> ( (M39+M40) + M41) / 2</f>
        <v>713.76651943702018</v>
      </c>
      <c r="N42" s="185">
        <f t="shared" ref="N42:R42" si="17" xml:space="preserve"> ( (N39+N40) + N41) / 2</f>
        <v>700.34558841215267</v>
      </c>
      <c r="O42" s="185">
        <f t="shared" si="17"/>
        <v>688.45582847111359</v>
      </c>
      <c r="P42" s="185">
        <f t="shared" si="17"/>
        <v>677.09355347802682</v>
      </c>
      <c r="Q42" s="185">
        <f t="shared" si="17"/>
        <v>665.91880147142535</v>
      </c>
      <c r="R42" s="185">
        <f t="shared" si="17"/>
        <v>0</v>
      </c>
    </row>
    <row r="43" spans="1:26" s="92" customFormat="1" x14ac:dyDescent="0.2">
      <c r="A43" s="164"/>
      <c r="B43" s="165"/>
      <c r="C43" s="166"/>
      <c r="D43" s="167"/>
    </row>
    <row r="44" spans="1:26" x14ac:dyDescent="0.2">
      <c r="B44" s="61" t="s">
        <v>357</v>
      </c>
    </row>
    <row r="45" spans="1:26" s="205" customFormat="1" x14ac:dyDescent="0.2">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1.920357193840716E-2</v>
      </c>
      <c r="N45" s="205">
        <f xml:space="preserve"> InpR!N$102</f>
        <v>1.920357193840716E-2</v>
      </c>
      <c r="O45" s="205">
        <f xml:space="preserve"> InpR!O$102</f>
        <v>1.920357193840716E-2</v>
      </c>
      <c r="P45" s="205">
        <f xml:space="preserve"> InpR!P$102</f>
        <v>1.920357193840716E-2</v>
      </c>
      <c r="Q45" s="205">
        <f xml:space="preserve"> InpR!Q$102</f>
        <v>1.920357193840716E-2</v>
      </c>
      <c r="R45" s="205">
        <f xml:space="preserve"> InpR!R$102</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356.81616887198476</v>
      </c>
      <c r="M47" s="184">
        <f t="shared" si="18"/>
        <v>713.76651943702018</v>
      </c>
      <c r="N47" s="184">
        <f t="shared" si="18"/>
        <v>700.34558841215267</v>
      </c>
      <c r="O47" s="184">
        <f t="shared" si="18"/>
        <v>688.45582847111359</v>
      </c>
      <c r="P47" s="184">
        <f t="shared" si="18"/>
        <v>677.09355347802682</v>
      </c>
      <c r="Q47" s="184">
        <f t="shared" si="18"/>
        <v>665.91880147142535</v>
      </c>
      <c r="R47" s="184">
        <f t="shared" si="18"/>
        <v>0</v>
      </c>
      <c r="S47" s="92"/>
      <c r="T47" s="92"/>
      <c r="U47" s="92"/>
      <c r="V47" s="92"/>
      <c r="W47" s="92"/>
      <c r="X47" s="92"/>
      <c r="Y47" s="92"/>
      <c r="Z47" s="92"/>
    </row>
    <row r="48" spans="1:26" s="91" customFormat="1" x14ac:dyDescent="0.2">
      <c r="A48" s="170"/>
      <c r="B48" s="165"/>
      <c r="C48" s="166"/>
      <c r="D48" s="171"/>
      <c r="E48" s="172" t="s">
        <v>358</v>
      </c>
      <c r="G48" s="91" t="s">
        <v>235</v>
      </c>
      <c r="H48" s="184"/>
      <c r="I48" s="184"/>
      <c r="J48" s="184">
        <f t="shared" ref="J48:K48" si="19">J45*J47*J46</f>
        <v>0</v>
      </c>
      <c r="K48" s="184">
        <f t="shared" si="19"/>
        <v>0</v>
      </c>
      <c r="L48" s="184">
        <f>L45*L47*L46</f>
        <v>0</v>
      </c>
      <c r="M48" s="184">
        <f>M45*M47*M46</f>
        <v>13.70686670323531</v>
      </c>
      <c r="N48" s="184">
        <f t="shared" ref="N48:R48" si="20">N45*N47*N46</f>
        <v>13.449136888818865</v>
      </c>
      <c r="O48" s="184">
        <f t="shared" si="20"/>
        <v>13.22081102846073</v>
      </c>
      <c r="P48" s="184">
        <f t="shared" si="20"/>
        <v>13.002614763247024</v>
      </c>
      <c r="Q48" s="184">
        <f t="shared" si="20"/>
        <v>12.788019609194393</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359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34.354353726103376</v>
      </c>
      <c r="N51" s="184">
        <f t="shared" si="21"/>
        <v>33.70838981604831</v>
      </c>
      <c r="O51" s="184">
        <f t="shared" si="21"/>
        <v>33.13612282451853</v>
      </c>
      <c r="P51" s="184">
        <f t="shared" si="21"/>
        <v>32.589244253422699</v>
      </c>
      <c r="Q51" s="184">
        <f t="shared" si="21"/>
        <v>32.051391366264198</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13.70686670323531</v>
      </c>
      <c r="N52" s="184">
        <f t="shared" si="22"/>
        <v>13.449136888818865</v>
      </c>
      <c r="O52" s="184">
        <f t="shared" si="22"/>
        <v>13.22081102846073</v>
      </c>
      <c r="P52" s="184">
        <f t="shared" si="22"/>
        <v>13.002614763247024</v>
      </c>
      <c r="Q52" s="184">
        <f t="shared" si="22"/>
        <v>12.788019609194393</v>
      </c>
      <c r="R52" s="184">
        <f t="shared" si="22"/>
        <v>0</v>
      </c>
      <c r="S52" s="92"/>
      <c r="T52" s="92"/>
      <c r="U52" s="92"/>
      <c r="V52" s="92"/>
      <c r="W52" s="92"/>
      <c r="X52" s="92"/>
      <c r="Y52" s="92"/>
      <c r="Z52" s="92"/>
    </row>
    <row r="53" spans="1:26" s="91" customFormat="1" x14ac:dyDescent="0.2">
      <c r="A53" s="170"/>
      <c r="B53" s="165"/>
      <c r="C53" s="166"/>
      <c r="D53" s="171"/>
      <c r="E53" s="172" t="s">
        <v>360</v>
      </c>
      <c r="G53" s="91" t="str">
        <f xml:space="preserve"> G$48</f>
        <v>£m</v>
      </c>
      <c r="H53" s="184">
        <f>SUM(J53:R53)</f>
        <v>232.00695097931344</v>
      </c>
      <c r="I53" s="184"/>
      <c r="J53" s="184">
        <f t="shared" ref="J53:R53" si="23">SUM(J51:J52)</f>
        <v>0</v>
      </c>
      <c r="K53" s="184">
        <f t="shared" si="23"/>
        <v>0</v>
      </c>
      <c r="L53" s="184">
        <f>SUM(L51:L52)</f>
        <v>0</v>
      </c>
      <c r="M53" s="185">
        <f t="shared" si="23"/>
        <v>48.06122042933869</v>
      </c>
      <c r="N53" s="185">
        <f t="shared" si="23"/>
        <v>47.157526704867173</v>
      </c>
      <c r="O53" s="184">
        <f t="shared" si="23"/>
        <v>46.35693385297926</v>
      </c>
      <c r="P53" s="184">
        <f t="shared" si="23"/>
        <v>45.591859016669723</v>
      </c>
      <c r="Q53" s="184">
        <f t="shared" si="23"/>
        <v>44.839410975458591</v>
      </c>
      <c r="R53" s="184">
        <f t="shared" si="23"/>
        <v>0</v>
      </c>
      <c r="S53" s="92"/>
      <c r="T53" s="92"/>
      <c r="U53" s="92"/>
      <c r="V53" s="92"/>
      <c r="W53" s="92"/>
      <c r="X53" s="92"/>
      <c r="Y53" s="92"/>
      <c r="Z53" s="92"/>
    </row>
    <row r="55" spans="1:26" x14ac:dyDescent="0.2">
      <c r="A55" s="285" t="s">
        <v>361</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362</v>
      </c>
      <c r="M57" s="177"/>
      <c r="N57" s="177"/>
      <c r="O57" s="177"/>
      <c r="P57" s="177"/>
      <c r="Q57" s="177"/>
    </row>
    <row r="58" spans="1:26" x14ac:dyDescent="0.2">
      <c r="C58" s="110" t="s">
        <v>363</v>
      </c>
      <c r="M58" s="177"/>
      <c r="N58" s="177"/>
      <c r="O58" s="177"/>
      <c r="P58" s="177"/>
      <c r="Q58" s="177"/>
    </row>
    <row r="59" spans="1:26" x14ac:dyDescent="0.2">
      <c r="C59" s="110" t="s">
        <v>364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365</v>
      </c>
      <c r="G61" s="91" t="s">
        <v>235</v>
      </c>
      <c r="J61" s="184">
        <f t="shared" ref="J61:R61" si="24" xml:space="preserve"> J53</f>
        <v>0</v>
      </c>
      <c r="K61" s="184">
        <f t="shared" si="24"/>
        <v>0</v>
      </c>
      <c r="L61" s="184">
        <f t="shared" si="24"/>
        <v>0</v>
      </c>
      <c r="M61" s="184">
        <f t="shared" si="24"/>
        <v>48.06122042933869</v>
      </c>
      <c r="N61" s="184">
        <f t="shared" si="24"/>
        <v>47.157526704867173</v>
      </c>
      <c r="O61" s="184">
        <f t="shared" si="24"/>
        <v>46.35693385297926</v>
      </c>
      <c r="P61" s="184">
        <f t="shared" si="24"/>
        <v>45.591859016669723</v>
      </c>
      <c r="Q61" s="184">
        <f t="shared" si="24"/>
        <v>44.839410975458591</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366</v>
      </c>
      <c r="B63" s="286"/>
      <c r="C63" s="287"/>
      <c r="D63" s="287"/>
      <c r="E63" s="287"/>
      <c r="F63" s="287"/>
      <c r="G63" s="287"/>
      <c r="H63" s="287"/>
      <c r="I63" s="287"/>
      <c r="J63" s="287"/>
      <c r="K63" s="287"/>
      <c r="L63" s="287"/>
      <c r="M63" s="287"/>
      <c r="N63" s="287"/>
      <c r="O63" s="287"/>
      <c r="P63" s="287"/>
      <c r="Q63" s="287"/>
      <c r="R63" s="287"/>
    </row>
    <row r="65" spans="1:16383" x14ac:dyDescent="0.2">
      <c r="C65" s="110" t="s">
        <v>367</v>
      </c>
    </row>
    <row r="67" spans="1:16383" x14ac:dyDescent="0.2">
      <c r="B67" s="61" t="s">
        <v>368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5.4342363003727634E-3</v>
      </c>
      <c r="R69" s="205">
        <f>Index!R$135</f>
        <v>0</v>
      </c>
    </row>
    <row r="70" spans="1:16383" s="172" customFormat="1" x14ac:dyDescent="0.2">
      <c r="A70" s="173"/>
      <c r="B70" s="174"/>
      <c r="C70" s="175"/>
      <c r="D70" s="176"/>
      <c r="E70" s="172" t="s">
        <v>369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4.0318628393978484E-2</v>
      </c>
      <c r="Q70" s="172">
        <f t="shared" ref="Q70" si="31">SUM(Q68:Q69)</f>
        <v>2.6434236300374003E-2</v>
      </c>
      <c r="R70" s="172">
        <f t="shared" ref="R70" si="32">SUM(R68:R69)</f>
        <v>-1</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370</v>
      </c>
    </row>
    <row r="73" spans="1:16383" s="161" customFormat="1" x14ac:dyDescent="0.2">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713.63233774396952</v>
      </c>
      <c r="N73" s="241">
        <f t="shared" si="33"/>
        <v>694.03987480569867</v>
      </c>
      <c r="O73" s="241">
        <f t="shared" si="33"/>
        <v>688.58242669602146</v>
      </c>
      <c r="P73" s="241">
        <f t="shared" si="33"/>
        <v>696.74016525928573</v>
      </c>
      <c r="Q73" s="241">
        <f t="shared" si="33"/>
        <v>690.76467973526599</v>
      </c>
      <c r="R73" s="241">
        <f t="shared" si="33"/>
        <v>675.7003642314952</v>
      </c>
    </row>
    <row r="74" spans="1:16383" s="172" customFormat="1" x14ac:dyDescent="0.2">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4.0318628393978484E-2</v>
      </c>
      <c r="Q74" s="172">
        <f t="shared" si="34"/>
        <v>2.6434236300374003E-2</v>
      </c>
      <c r="R74" s="172">
        <f t="shared" si="34"/>
        <v>-1</v>
      </c>
      <c r="S74" s="177"/>
      <c r="T74" s="177"/>
      <c r="U74" s="177"/>
      <c r="V74" s="177"/>
      <c r="W74" s="177"/>
      <c r="X74" s="177"/>
      <c r="Y74" s="177"/>
      <c r="Z74" s="177"/>
    </row>
    <row r="75" spans="1:16383" x14ac:dyDescent="0.2">
      <c r="E75" s="7" t="s">
        <v>371</v>
      </c>
      <c r="G75" s="162" t="s">
        <v>235</v>
      </c>
      <c r="J75" s="184">
        <f t="shared" ref="J75:L75" si="35">J73*J74</f>
        <v>0</v>
      </c>
      <c r="K75" s="184">
        <f t="shared" si="35"/>
        <v>0</v>
      </c>
      <c r="L75" s="184">
        <f t="shared" si="35"/>
        <v>0</v>
      </c>
      <c r="M75" s="184">
        <f>M73*M74</f>
        <v>14.636156280897906</v>
      </c>
      <c r="N75" s="184">
        <f t="shared" ref="N75:R75" si="36">N73*N74</f>
        <v>28.502020992854742</v>
      </c>
      <c r="O75" s="184">
        <f t="shared" si="36"/>
        <v>42.51953055401605</v>
      </c>
      <c r="P75" s="184">
        <f t="shared" si="36"/>
        <v>28.091607810248298</v>
      </c>
      <c r="Q75" s="184">
        <f t="shared" si="36"/>
        <v>18.259836772074191</v>
      </c>
      <c r="R75" s="184">
        <f t="shared" si="36"/>
        <v>-675.7003642314952</v>
      </c>
    </row>
    <row r="77" spans="1:16383" s="205" customFormat="1" x14ac:dyDescent="0.2">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4.7E-2</v>
      </c>
      <c r="N77" s="205">
        <f xml:space="preserve"> InpR!N$95</f>
        <v>4.7E-2</v>
      </c>
      <c r="O77" s="205">
        <f xml:space="preserve"> InpR!O$95</f>
        <v>4.7E-2</v>
      </c>
      <c r="P77" s="205">
        <f xml:space="preserve"> InpR!P$95</f>
        <v>4.7E-2</v>
      </c>
      <c r="Q77" s="205">
        <f xml:space="preserve"> InpR!Q$95</f>
        <v>4.7E-2</v>
      </c>
      <c r="R77" s="205">
        <f xml:space="preserve"> InpR!R$95</f>
        <v>0</v>
      </c>
    </row>
    <row r="78" spans="1:16383" s="161" customFormat="1" x14ac:dyDescent="0.2">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713.63233774396952</v>
      </c>
      <c r="N78" s="241">
        <f t="shared" si="37"/>
        <v>694.03987480569867</v>
      </c>
      <c r="O78" s="241">
        <f t="shared" si="37"/>
        <v>688.58242669602146</v>
      </c>
      <c r="P78" s="241">
        <f t="shared" si="37"/>
        <v>696.74016525928573</v>
      </c>
      <c r="Q78" s="241">
        <f t="shared" si="37"/>
        <v>690.76467973526599</v>
      </c>
      <c r="R78" s="241">
        <f t="shared" si="37"/>
        <v>675.7003642314952</v>
      </c>
    </row>
    <row r="79" spans="1:16383" x14ac:dyDescent="0.2">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14.636156280897906</v>
      </c>
      <c r="N79" s="184">
        <f t="shared" si="38"/>
        <v>28.502020992854742</v>
      </c>
      <c r="O79" s="184">
        <f t="shared" si="38"/>
        <v>42.51953055401605</v>
      </c>
      <c r="P79" s="184">
        <f t="shared" si="38"/>
        <v>28.091607810248298</v>
      </c>
      <c r="Q79" s="184">
        <f t="shared" si="38"/>
        <v>18.259836772074191</v>
      </c>
      <c r="R79" s="184">
        <f t="shared" si="38"/>
        <v>-675.7003642314952</v>
      </c>
    </row>
    <row r="80" spans="1:16383" x14ac:dyDescent="0.2">
      <c r="E80" s="7" t="s">
        <v>372</v>
      </c>
      <c r="F80" s="244"/>
      <c r="G80" s="244" t="s">
        <v>235</v>
      </c>
      <c r="H80" s="244"/>
      <c r="I80" s="244"/>
      <c r="J80" s="184">
        <f t="shared" ref="J80" si="39" xml:space="preserve"> (J78+J79) * J77</f>
        <v>0</v>
      </c>
      <c r="K80" s="184">
        <f t="shared" ref="K80" si="40" xml:space="preserve"> (K78+K79) * K77</f>
        <v>0</v>
      </c>
      <c r="L80" s="184">
        <f t="shared" ref="L80:R80" si="41" xml:space="preserve"> (L78+L79) * L77</f>
        <v>0</v>
      </c>
      <c r="M80" s="184">
        <f t="shared" si="41"/>
        <v>34.22861921916877</v>
      </c>
      <c r="N80" s="184">
        <f xml:space="preserve"> (N78+N79) * N77</f>
        <v>33.959469102532012</v>
      </c>
      <c r="O80" s="184">
        <f t="shared" si="41"/>
        <v>34.361791990751762</v>
      </c>
      <c r="P80" s="184">
        <f t="shared" si="41"/>
        <v>34.067093334268101</v>
      </c>
      <c r="Q80" s="184">
        <f t="shared" si="41"/>
        <v>33.324152275844988</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InpR!$E$88</f>
        <v>RCV - CPI(H) + RPI wedge initial balance - nominal - WN</v>
      </c>
      <c r="F82" s="250">
        <f>InpR!$F$88</f>
        <v>713.63233774396952</v>
      </c>
      <c r="G82" s="250" t="str">
        <f>InpR!$G$88</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373</v>
      </c>
      <c r="G85" s="162" t="s">
        <v>235</v>
      </c>
      <c r="J85" s="242">
        <f t="shared" ref="J85" si="42" xml:space="preserve"> I88</f>
        <v>0</v>
      </c>
      <c r="K85" s="242">
        <f t="shared" ref="K85" si="43" xml:space="preserve"> J88</f>
        <v>0</v>
      </c>
      <c r="L85" s="242">
        <f t="shared" ref="L85" si="44" xml:space="preserve"> K88</f>
        <v>0</v>
      </c>
      <c r="M85" s="242">
        <f t="shared" ref="M85" si="45" xml:space="preserve"> L88</f>
        <v>713.63233774396952</v>
      </c>
      <c r="N85" s="242">
        <f t="shared" ref="N85" si="46" xml:space="preserve"> M88</f>
        <v>694.03987480569867</v>
      </c>
      <c r="O85" s="242">
        <f t="shared" ref="O85" si="47" xml:space="preserve"> N88</f>
        <v>688.58242669602146</v>
      </c>
      <c r="P85" s="242">
        <f t="shared" ref="P85" si="48" xml:space="preserve"> O88</f>
        <v>696.74016525928573</v>
      </c>
      <c r="Q85" s="242">
        <f t="shared" ref="Q85" si="49" xml:space="preserve"> P88</f>
        <v>690.76467973526599</v>
      </c>
      <c r="R85" s="242">
        <f t="shared" ref="R85" si="50" xml:space="preserve"> Q88</f>
        <v>675.7003642314952</v>
      </c>
    </row>
    <row r="86" spans="1:18" x14ac:dyDescent="0.2">
      <c r="A86" s="47"/>
      <c r="B86" s="51"/>
      <c r="C86" s="111"/>
      <c r="D86" s="56" t="s">
        <v>353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14.636156280897906</v>
      </c>
      <c r="N86" s="242">
        <f t="shared" si="51"/>
        <v>28.502020992854742</v>
      </c>
      <c r="O86" s="242">
        <f t="shared" si="51"/>
        <v>42.51953055401605</v>
      </c>
      <c r="P86" s="242">
        <f t="shared" si="51"/>
        <v>28.091607810248298</v>
      </c>
      <c r="Q86" s="242">
        <f t="shared" si="51"/>
        <v>18.259836772074191</v>
      </c>
      <c r="R86" s="242">
        <f t="shared" si="51"/>
        <v>-675.7003642314952</v>
      </c>
    </row>
    <row r="87" spans="1:18" x14ac:dyDescent="0.2">
      <c r="A87" s="47"/>
      <c r="B87" s="51"/>
      <c r="C87" s="111"/>
      <c r="D87" s="56" t="s">
        <v>354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34.22861921916877</v>
      </c>
      <c r="N87" s="242">
        <f t="shared" si="52"/>
        <v>33.959469102532012</v>
      </c>
      <c r="O87" s="242">
        <f t="shared" si="52"/>
        <v>34.361791990751762</v>
      </c>
      <c r="P87" s="242">
        <f t="shared" si="52"/>
        <v>34.067093334268101</v>
      </c>
      <c r="Q87" s="242">
        <f t="shared" si="52"/>
        <v>33.324152275844988</v>
      </c>
      <c r="R87" s="242">
        <f t="shared" si="52"/>
        <v>0</v>
      </c>
    </row>
    <row r="88" spans="1:18" s="138" customFormat="1" x14ac:dyDescent="0.2">
      <c r="A88" s="134"/>
      <c r="B88" s="135"/>
      <c r="C88" s="136"/>
      <c r="D88" s="137"/>
      <c r="E88" s="138" t="s">
        <v>374</v>
      </c>
      <c r="G88" s="163" t="s">
        <v>235</v>
      </c>
      <c r="J88" s="243">
        <f t="shared" ref="J88:R88" si="53" xml:space="preserve"> IF( J83 = 1, $F82, J85 + J86 - J87)</f>
        <v>0</v>
      </c>
      <c r="K88" s="243">
        <f t="shared" si="53"/>
        <v>0</v>
      </c>
      <c r="L88" s="243">
        <f t="shared" si="53"/>
        <v>713.63233774396952</v>
      </c>
      <c r="M88" s="243">
        <f t="shared" si="53"/>
        <v>694.03987480569867</v>
      </c>
      <c r="N88" s="243">
        <f t="shared" si="53"/>
        <v>688.58242669602146</v>
      </c>
      <c r="O88" s="243">
        <f t="shared" si="53"/>
        <v>696.74016525928573</v>
      </c>
      <c r="P88" s="243">
        <f t="shared" si="53"/>
        <v>690.76467973526599</v>
      </c>
      <c r="Q88" s="243">
        <f t="shared" si="53"/>
        <v>675.7003642314952</v>
      </c>
      <c r="R88" s="243">
        <f t="shared" si="53"/>
        <v>0</v>
      </c>
    </row>
    <row r="90" spans="1:18" s="92" customFormat="1" x14ac:dyDescent="0.2">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713.63233774396952</v>
      </c>
      <c r="N90" s="185">
        <f t="shared" si="54"/>
        <v>694.03987480569867</v>
      </c>
      <c r="O90" s="185">
        <f t="shared" si="54"/>
        <v>688.58242669602146</v>
      </c>
      <c r="P90" s="185">
        <f t="shared" si="54"/>
        <v>696.74016525928573</v>
      </c>
      <c r="Q90" s="185">
        <f t="shared" si="54"/>
        <v>690.76467973526599</v>
      </c>
      <c r="R90" s="185">
        <f t="shared" si="54"/>
        <v>675.7003642314952</v>
      </c>
    </row>
    <row r="91" spans="1:18" s="92" customFormat="1" x14ac:dyDescent="0.2">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14.636156280897906</v>
      </c>
      <c r="N91" s="242">
        <f t="shared" si="55"/>
        <v>28.502020992854742</v>
      </c>
      <c r="O91" s="242">
        <f t="shared" si="55"/>
        <v>42.51953055401605</v>
      </c>
      <c r="P91" s="242">
        <f t="shared" si="55"/>
        <v>28.091607810248298</v>
      </c>
      <c r="Q91" s="242">
        <f t="shared" si="55"/>
        <v>18.259836772074191</v>
      </c>
      <c r="R91" s="242">
        <f t="shared" si="55"/>
        <v>-675.7003642314952</v>
      </c>
    </row>
    <row r="92" spans="1:18" s="92" customFormat="1" x14ac:dyDescent="0.2">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713.63233774396952</v>
      </c>
      <c r="M92" s="185">
        <f t="shared" si="56"/>
        <v>694.03987480569867</v>
      </c>
      <c r="N92" s="185">
        <f t="shared" si="56"/>
        <v>688.58242669602146</v>
      </c>
      <c r="O92" s="185">
        <f t="shared" si="56"/>
        <v>696.74016525928573</v>
      </c>
      <c r="P92" s="185">
        <f t="shared" si="56"/>
        <v>690.76467973526599</v>
      </c>
      <c r="Q92" s="185">
        <f t="shared" si="56"/>
        <v>675.7003642314952</v>
      </c>
      <c r="R92" s="185">
        <f t="shared" si="56"/>
        <v>0</v>
      </c>
    </row>
    <row r="93" spans="1:18" x14ac:dyDescent="0.2">
      <c r="A93" s="49"/>
      <c r="D93" s="57"/>
      <c r="E93" s="7" t="s">
        <v>375</v>
      </c>
      <c r="G93" s="92" t="s">
        <v>235</v>
      </c>
      <c r="H93" s="244"/>
      <c r="I93" s="244"/>
      <c r="J93" s="185">
        <f t="shared" ref="J93" si="57" xml:space="preserve"> ( (J90+J91) + J92) / 2</f>
        <v>0</v>
      </c>
      <c r="K93" s="185">
        <f t="shared" ref="K93" si="58" xml:space="preserve"> ( (K90+K91) + K92) / 2</f>
        <v>0</v>
      </c>
      <c r="L93" s="185">
        <f xml:space="preserve"> ( (L90+L91) + L92) / 2</f>
        <v>356.81616887198476</v>
      </c>
      <c r="M93" s="185">
        <f xml:space="preserve"> ( (M90+M91) + M92) / 2</f>
        <v>711.154184415283</v>
      </c>
      <c r="N93" s="185">
        <f t="shared" ref="N93" si="59" xml:space="preserve"> ( (N90+N91) + N92) / 2</f>
        <v>705.56216124728746</v>
      </c>
      <c r="O93" s="185">
        <f t="shared" ref="O93" si="60" xml:space="preserve"> ( (O90+O91) + O92) / 2</f>
        <v>713.92106125466159</v>
      </c>
      <c r="P93" s="185">
        <f t="shared" ref="P93" si="61" xml:space="preserve"> ( (P90+P91) + P92) / 2</f>
        <v>707.79822640240002</v>
      </c>
      <c r="Q93" s="185">
        <f xml:space="preserve"> ( (Q90+Q91) + Q92) / 2</f>
        <v>692.36244036941775</v>
      </c>
      <c r="R93" s="185">
        <f t="shared" ref="R93" si="62" xml:space="preserve"> ( (R90+R91) + R92) / 2</f>
        <v>0</v>
      </c>
    </row>
    <row r="94" spans="1:18" x14ac:dyDescent="0.2">
      <c r="A94" s="49"/>
      <c r="D94" s="57"/>
      <c r="J94" s="92"/>
      <c r="K94" s="92"/>
      <c r="L94" s="92"/>
      <c r="M94" s="92"/>
      <c r="N94" s="92"/>
      <c r="O94" s="92"/>
      <c r="P94" s="92"/>
      <c r="Q94" s="92"/>
      <c r="R94" s="92"/>
    </row>
    <row r="95" spans="1:18" x14ac:dyDescent="0.2">
      <c r="B95" s="61" t="s">
        <v>376</v>
      </c>
    </row>
    <row r="96" spans="1:18" s="205" customFormat="1" x14ac:dyDescent="0.2">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1.920357193840716E-2</v>
      </c>
      <c r="N96" s="205">
        <f xml:space="preserve"> InpR!N$102</f>
        <v>1.920357193840716E-2</v>
      </c>
      <c r="O96" s="205">
        <f xml:space="preserve"> InpR!O$102</f>
        <v>1.920357193840716E-2</v>
      </c>
      <c r="P96" s="205">
        <f xml:space="preserve"> InpR!P$102</f>
        <v>1.920357193840716E-2</v>
      </c>
      <c r="Q96" s="205">
        <f xml:space="preserve"> InpR!Q$102</f>
        <v>1.920357193840716E-2</v>
      </c>
      <c r="R96" s="205">
        <f xml:space="preserve"> InpR!R$102</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356.81616887198476</v>
      </c>
      <c r="M98" s="184">
        <f t="shared" si="63"/>
        <v>711.154184415283</v>
      </c>
      <c r="N98" s="184">
        <f t="shared" si="63"/>
        <v>705.56216124728746</v>
      </c>
      <c r="O98" s="184">
        <f t="shared" si="63"/>
        <v>713.92106125466159</v>
      </c>
      <c r="P98" s="184">
        <f t="shared" si="63"/>
        <v>707.79822640240002</v>
      </c>
      <c r="Q98" s="184">
        <f t="shared" si="63"/>
        <v>692.36244036941775</v>
      </c>
      <c r="R98" s="184">
        <f t="shared" si="63"/>
        <v>0</v>
      </c>
    </row>
    <row r="99" spans="1:26" x14ac:dyDescent="0.2">
      <c r="E99" s="7" t="s">
        <v>377</v>
      </c>
      <c r="F99" s="244"/>
      <c r="G99" s="184" t="s">
        <v>235</v>
      </c>
      <c r="H99" s="244"/>
      <c r="I99" s="244"/>
      <c r="J99" s="244">
        <f t="shared" ref="J99:K99" si="64">J96*J97*J98</f>
        <v>0</v>
      </c>
      <c r="K99" s="244">
        <f t="shared" si="64"/>
        <v>0</v>
      </c>
      <c r="L99" s="244">
        <f>L96*L97*L98</f>
        <v>0</v>
      </c>
      <c r="M99" s="244">
        <f>M96*M97*M98</f>
        <v>13.656700539718159</v>
      </c>
      <c r="N99" s="244">
        <f t="shared" ref="N99:R99" si="65">N96*N97*N98</f>
        <v>13.549313720530318</v>
      </c>
      <c r="O99" s="244">
        <f t="shared" si="65"/>
        <v>13.709834458147879</v>
      </c>
      <c r="P99" s="244">
        <f t="shared" si="65"/>
        <v>13.592254158595487</v>
      </c>
      <c r="Q99" s="244">
        <f t="shared" si="65"/>
        <v>13.295831931085251</v>
      </c>
      <c r="R99" s="244">
        <f t="shared" si="65"/>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713.63233774396952</v>
      </c>
      <c r="M102" s="185">
        <f t="shared" si="66"/>
        <v>694.03987480569867</v>
      </c>
      <c r="N102" s="185">
        <f t="shared" si="66"/>
        <v>688.58242669602146</v>
      </c>
      <c r="O102" s="185">
        <f t="shared" si="66"/>
        <v>696.74016525928573</v>
      </c>
      <c r="P102" s="185">
        <f t="shared" si="66"/>
        <v>690.76467973526599</v>
      </c>
      <c r="Q102" s="185">
        <f t="shared" si="66"/>
        <v>675.7003642314952</v>
      </c>
      <c r="R102" s="185">
        <f t="shared" si="66"/>
        <v>0</v>
      </c>
    </row>
    <row r="103" spans="1:26" x14ac:dyDescent="0.2">
      <c r="C103" s="278"/>
      <c r="E103" s="7" t="s">
        <v>378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675.7003642314952</v>
      </c>
      <c r="R103" s="184">
        <f t="shared" ref="R103" si="74">R102 * R101</f>
        <v>0</v>
      </c>
    </row>
    <row r="104" spans="1:26" x14ac:dyDescent="0.2">
      <c r="J104" s="91"/>
      <c r="K104" s="91"/>
      <c r="L104" s="91"/>
      <c r="M104" s="91"/>
      <c r="N104" s="91"/>
      <c r="O104" s="91"/>
      <c r="P104" s="91"/>
      <c r="Q104" s="91"/>
      <c r="R104" s="91"/>
    </row>
    <row r="105" spans="1:26" x14ac:dyDescent="0.2">
      <c r="B105" s="61" t="s">
        <v>379</v>
      </c>
    </row>
    <row r="106" spans="1:26" x14ac:dyDescent="0.2">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34.22861921916877</v>
      </c>
      <c r="N106" s="184">
        <f t="shared" si="75"/>
        <v>33.959469102532012</v>
      </c>
      <c r="O106" s="184">
        <f t="shared" si="75"/>
        <v>34.361791990751762</v>
      </c>
      <c r="P106" s="184">
        <f t="shared" si="75"/>
        <v>34.067093334268101</v>
      </c>
      <c r="Q106" s="184">
        <f t="shared" si="75"/>
        <v>33.324152275844988</v>
      </c>
      <c r="R106" s="184">
        <f t="shared" si="75"/>
        <v>0</v>
      </c>
    </row>
    <row r="107" spans="1:26" s="91" customFormat="1" x14ac:dyDescent="0.2">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13.656700539718159</v>
      </c>
      <c r="N107" s="184">
        <f t="shared" si="76"/>
        <v>13.549313720530318</v>
      </c>
      <c r="O107" s="184">
        <f t="shared" si="76"/>
        <v>13.709834458147879</v>
      </c>
      <c r="P107" s="184">
        <f t="shared" si="76"/>
        <v>13.592254158595487</v>
      </c>
      <c r="Q107" s="184">
        <f t="shared" si="76"/>
        <v>13.295831931085251</v>
      </c>
      <c r="R107" s="184">
        <f t="shared" si="76"/>
        <v>0</v>
      </c>
      <c r="S107" s="92"/>
      <c r="T107" s="92"/>
      <c r="U107" s="92"/>
      <c r="V107" s="92"/>
      <c r="W107" s="92"/>
      <c r="X107" s="92"/>
      <c r="Y107" s="92"/>
      <c r="Z107" s="92"/>
    </row>
    <row r="108" spans="1:26" x14ac:dyDescent="0.2">
      <c r="E108" s="7" t="s">
        <v>380</v>
      </c>
      <c r="F108" s="244"/>
      <c r="G108" s="184" t="str">
        <f t="shared" si="76"/>
        <v>£m</v>
      </c>
      <c r="H108" s="244">
        <f>SUM(J108:R108)</f>
        <v>237.74506073064273</v>
      </c>
      <c r="I108" s="244"/>
      <c r="J108" s="244">
        <f t="shared" ref="J108:R108" si="77">SUM(J106:J107)</f>
        <v>0</v>
      </c>
      <c r="K108" s="244">
        <f t="shared" si="77"/>
        <v>0</v>
      </c>
      <c r="L108" s="244">
        <f t="shared" si="77"/>
        <v>0</v>
      </c>
      <c r="M108" s="244">
        <f t="shared" si="77"/>
        <v>47.885319758886929</v>
      </c>
      <c r="N108" s="244">
        <f t="shared" si="77"/>
        <v>47.508782823062333</v>
      </c>
      <c r="O108" s="244">
        <f t="shared" si="77"/>
        <v>48.071626448899643</v>
      </c>
      <c r="P108" s="244">
        <f t="shared" si="77"/>
        <v>47.659347492863589</v>
      </c>
      <c r="Q108" s="244">
        <f t="shared" si="77"/>
        <v>46.619984206930241</v>
      </c>
      <c r="R108" s="244">
        <f t="shared" si="77"/>
        <v>0</v>
      </c>
    </row>
    <row r="110" spans="1:26" x14ac:dyDescent="0.2">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382</v>
      </c>
    </row>
    <row r="114" spans="1:26" x14ac:dyDescent="0.2">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48.06122042933869</v>
      </c>
      <c r="N114" s="184">
        <f t="shared" si="78"/>
        <v>47.157526704867173</v>
      </c>
      <c r="O114" s="184">
        <f t="shared" si="78"/>
        <v>46.35693385297926</v>
      </c>
      <c r="P114" s="184">
        <f t="shared" si="78"/>
        <v>45.591859016669723</v>
      </c>
      <c r="Q114" s="184">
        <f t="shared" si="78"/>
        <v>44.839410975458591</v>
      </c>
      <c r="R114" s="184">
        <f xml:space="preserve"> R$61</f>
        <v>0</v>
      </c>
    </row>
    <row r="115" spans="1:26" x14ac:dyDescent="0.2">
      <c r="E115" s="7" t="str">
        <f t="shared" ref="E115:R115" si="79" xml:space="preserve"> E$108</f>
        <v>Total nominal revenue company should have received</v>
      </c>
      <c r="F115" s="184">
        <f t="shared" si="79"/>
        <v>0</v>
      </c>
      <c r="G115" s="184" t="str">
        <f t="shared" si="79"/>
        <v>£m</v>
      </c>
      <c r="H115" s="184">
        <f t="shared" si="79"/>
        <v>237.74506073064273</v>
      </c>
      <c r="I115" s="184">
        <f t="shared" si="79"/>
        <v>0</v>
      </c>
      <c r="J115" s="184">
        <f t="shared" si="79"/>
        <v>0</v>
      </c>
      <c r="K115" s="184">
        <f t="shared" si="79"/>
        <v>0</v>
      </c>
      <c r="L115" s="184">
        <f t="shared" si="79"/>
        <v>0</v>
      </c>
      <c r="M115" s="184">
        <f t="shared" si="79"/>
        <v>47.885319758886929</v>
      </c>
      <c r="N115" s="184">
        <f t="shared" si="79"/>
        <v>47.508782823062333</v>
      </c>
      <c r="O115" s="184">
        <f t="shared" si="79"/>
        <v>48.071626448899643</v>
      </c>
      <c r="P115" s="184">
        <f t="shared" si="79"/>
        <v>47.659347492863589</v>
      </c>
      <c r="Q115" s="184">
        <f t="shared" si="79"/>
        <v>46.619984206930241</v>
      </c>
      <c r="R115" s="184">
        <f t="shared" si="79"/>
        <v>0</v>
      </c>
    </row>
    <row r="116" spans="1:26" s="184" customFormat="1" x14ac:dyDescent="0.2">
      <c r="A116" s="180"/>
      <c r="B116" s="181"/>
      <c r="C116" s="182"/>
      <c r="D116" s="183"/>
      <c r="E116" s="7" t="s">
        <v>383</v>
      </c>
      <c r="G116" s="184" t="str">
        <f t="shared" ref="G116" si="80" xml:space="preserve"> G$99</f>
        <v>£m</v>
      </c>
      <c r="H116" s="244">
        <f>SUM(J116:R116)</f>
        <v>5.7381097513292971</v>
      </c>
      <c r="M116" s="184">
        <f>M115-M114</f>
        <v>-0.17590067045176028</v>
      </c>
      <c r="N116" s="184">
        <f t="shared" ref="N116:Q116" si="81">N115-N114</f>
        <v>0.35125611819515967</v>
      </c>
      <c r="O116" s="184">
        <f t="shared" si="81"/>
        <v>1.7146925959203827</v>
      </c>
      <c r="P116" s="184">
        <f t="shared" si="81"/>
        <v>2.0674884761938657</v>
      </c>
      <c r="Q116" s="184">
        <f t="shared" si="81"/>
        <v>1.7805732314716494</v>
      </c>
      <c r="S116" s="185"/>
      <c r="T116" s="185"/>
      <c r="U116" s="185"/>
      <c r="V116" s="185"/>
      <c r="W116" s="185"/>
      <c r="X116" s="185"/>
      <c r="Y116" s="185"/>
      <c r="Z116" s="185"/>
    </row>
    <row r="118" spans="1:26" x14ac:dyDescent="0.2">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385</v>
      </c>
    </row>
    <row r="121" spans="1:26" x14ac:dyDescent="0.2">
      <c r="C121" s="110" t="s">
        <v>386</v>
      </c>
    </row>
    <row r="122" spans="1:26" x14ac:dyDescent="0.2">
      <c r="C122" s="110" t="s">
        <v>387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0</v>
      </c>
    </row>
    <row r="126" spans="1:26" s="172" customFormat="1" x14ac:dyDescent="0.2">
      <c r="A126" s="173"/>
      <c r="B126" s="174"/>
      <c r="C126" s="175"/>
      <c r="D126" s="176"/>
      <c r="E126" s="172" t="s">
        <v>388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-1</v>
      </c>
      <c r="S126" s="177"/>
      <c r="T126" s="177"/>
      <c r="U126" s="177"/>
      <c r="V126" s="177"/>
      <c r="W126" s="177"/>
      <c r="X126" s="177"/>
      <c r="Y126" s="177"/>
      <c r="Z126" s="177"/>
    </row>
    <row r="128" spans="1:26" s="161" customFormat="1" x14ac:dyDescent="0.2">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713.63233774396952</v>
      </c>
      <c r="N128" s="245">
        <f t="shared" si="84"/>
        <v>696.58934257396845</v>
      </c>
      <c r="O128" s="245">
        <f t="shared" si="84"/>
        <v>683.4913935041285</v>
      </c>
      <c r="P128" s="245">
        <f t="shared" si="84"/>
        <v>671.88776705885437</v>
      </c>
      <c r="Q128" s="245">
        <f t="shared" si="84"/>
        <v>660.79893135131545</v>
      </c>
      <c r="R128" s="245">
        <f t="shared" si="84"/>
        <v>649.89310578829327</v>
      </c>
    </row>
    <row r="129" spans="1:16383" x14ac:dyDescent="0.2">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-1</v>
      </c>
    </row>
    <row r="130" spans="1:16383" x14ac:dyDescent="0.2">
      <c r="C130" s="278"/>
      <c r="E130" s="7" t="s">
        <v>389</v>
      </c>
      <c r="G130" s="91" t="s">
        <v>235</v>
      </c>
      <c r="J130" s="246">
        <f>J128*J129</f>
        <v>0</v>
      </c>
      <c r="K130" s="246">
        <f t="shared" ref="K130" si="86">K128*K129</f>
        <v>0</v>
      </c>
      <c r="L130" s="246">
        <f t="shared" ref="L130" si="87">L128*L129</f>
        <v>0</v>
      </c>
      <c r="M130" s="246">
        <f>M128*M129</f>
        <v>17.311358556102302</v>
      </c>
      <c r="N130" s="246">
        <f t="shared" ref="N130" si="88">N128*N129</f>
        <v>20.610440746208351</v>
      </c>
      <c r="O130" s="246">
        <f t="shared" ref="O130" si="89">O128*O129</f>
        <v>21.532496379244474</v>
      </c>
      <c r="P130" s="246">
        <f t="shared" ref="P130" si="90">P128*P129</f>
        <v>21.500408545883808</v>
      </c>
      <c r="Q130" s="246">
        <f t="shared" ref="Q130" si="91">Q128*Q129</f>
        <v>21.145565803241965</v>
      </c>
      <c r="R130" s="246">
        <f t="shared" ref="R130" si="92">R128*R129</f>
        <v>-649.89310578829327</v>
      </c>
    </row>
    <row r="132" spans="1:16383" s="205" customFormat="1" x14ac:dyDescent="0.2">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4.7E-2</v>
      </c>
      <c r="N132" s="205">
        <f xml:space="preserve"> InpR!N$95</f>
        <v>4.7E-2</v>
      </c>
      <c r="O132" s="205">
        <f xml:space="preserve"> InpR!O$95</f>
        <v>4.7E-2</v>
      </c>
      <c r="P132" s="205">
        <f xml:space="preserve"> InpR!P$95</f>
        <v>4.7E-2</v>
      </c>
      <c r="Q132" s="205">
        <f xml:space="preserve"> InpR!Q$95</f>
        <v>4.7E-2</v>
      </c>
      <c r="R132" s="205">
        <f xml:space="preserve"> InpR!R$95</f>
        <v>0</v>
      </c>
    </row>
    <row r="133" spans="1:16383" s="161" customFormat="1" x14ac:dyDescent="0.2">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713.63233774396952</v>
      </c>
      <c r="N133" s="245">
        <f t="shared" si="93"/>
        <v>696.58934257396845</v>
      </c>
      <c r="O133" s="245">
        <f t="shared" si="93"/>
        <v>683.4913935041285</v>
      </c>
      <c r="P133" s="245">
        <f t="shared" si="93"/>
        <v>671.88776705885437</v>
      </c>
      <c r="Q133" s="245">
        <f t="shared" si="93"/>
        <v>660.79893135131545</v>
      </c>
      <c r="R133" s="245">
        <f t="shared" si="93"/>
        <v>649.89310578829327</v>
      </c>
    </row>
    <row r="134" spans="1:16383" s="91" customFormat="1" x14ac:dyDescent="0.2">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17.311358556102302</v>
      </c>
      <c r="N134" s="246">
        <f t="shared" si="94"/>
        <v>20.610440746208351</v>
      </c>
      <c r="O134" s="246">
        <f t="shared" si="94"/>
        <v>21.532496379244474</v>
      </c>
      <c r="P134" s="246">
        <f t="shared" si="94"/>
        <v>21.500408545883808</v>
      </c>
      <c r="Q134" s="246">
        <f t="shared" si="94"/>
        <v>21.145565803241965</v>
      </c>
      <c r="R134" s="246">
        <f t="shared" si="94"/>
        <v>-649.89310578829327</v>
      </c>
      <c r="S134" s="92"/>
      <c r="T134" s="92"/>
      <c r="U134" s="92"/>
      <c r="V134" s="92"/>
      <c r="W134" s="92"/>
      <c r="X134" s="92"/>
      <c r="Y134" s="92"/>
      <c r="Z134" s="92"/>
    </row>
    <row r="135" spans="1:16383" x14ac:dyDescent="0.2">
      <c r="C135" s="278"/>
      <c r="E135" s="7" t="s">
        <v>390</v>
      </c>
      <c r="F135" s="247"/>
      <c r="G135" s="162" t="s">
        <v>235</v>
      </c>
      <c r="H135" s="247"/>
      <c r="I135" s="247"/>
      <c r="J135" s="246">
        <f t="shared" ref="J135:R135" si="95" xml:space="preserve"> (J133+J134) * J132</f>
        <v>0</v>
      </c>
      <c r="K135" s="246">
        <f t="shared" si="95"/>
        <v>0</v>
      </c>
      <c r="L135" s="246">
        <f t="shared" si="95"/>
        <v>0</v>
      </c>
      <c r="M135" s="246">
        <f xml:space="preserve"> (M133+M134) * M132</f>
        <v>34.354353726103376</v>
      </c>
      <c r="N135" s="246">
        <f t="shared" si="95"/>
        <v>33.70838981604831</v>
      </c>
      <c r="O135" s="246">
        <f t="shared" si="95"/>
        <v>33.13612282451853</v>
      </c>
      <c r="P135" s="246">
        <f t="shared" si="95"/>
        <v>32.589244253422699</v>
      </c>
      <c r="Q135" s="246">
        <f t="shared" si="95"/>
        <v>32.051391366264198</v>
      </c>
      <c r="R135" s="246">
        <f t="shared" si="9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InpR!$E$88</f>
        <v>RCV - CPI(H) + RPI wedge initial balance - nominal - WN</v>
      </c>
      <c r="F137" s="250">
        <f>InpR!$F$88</f>
        <v>713.63233774396952</v>
      </c>
      <c r="G137" s="250" t="str">
        <f>InpR!$G$88</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391</v>
      </c>
      <c r="G140" s="162" t="s">
        <v>235</v>
      </c>
      <c r="J140" s="242">
        <f t="shared" ref="J140" si="96" xml:space="preserve"> I143</f>
        <v>0</v>
      </c>
      <c r="K140" s="242">
        <f t="shared" ref="K140" si="97" xml:space="preserve"> J143</f>
        <v>0</v>
      </c>
      <c r="L140" s="242">
        <f t="shared" ref="L140" si="98" xml:space="preserve"> K143</f>
        <v>0</v>
      </c>
      <c r="M140" s="242">
        <f t="shared" ref="M140" si="99" xml:space="preserve"> L143</f>
        <v>713.63233774396952</v>
      </c>
      <c r="N140" s="242">
        <f t="shared" ref="N140" si="100" xml:space="preserve"> M143</f>
        <v>696.58934257396845</v>
      </c>
      <c r="O140" s="242">
        <f t="shared" ref="O140" si="101" xml:space="preserve"> N143</f>
        <v>683.4913935041285</v>
      </c>
      <c r="P140" s="242">
        <f t="shared" ref="P140" si="102" xml:space="preserve"> O143</f>
        <v>671.88776705885437</v>
      </c>
      <c r="Q140" s="242">
        <f t="shared" ref="Q140" si="103" xml:space="preserve"> P143</f>
        <v>660.79893135131545</v>
      </c>
      <c r="R140" s="242">
        <f t="shared" ref="R140" si="104" xml:space="preserve"> Q143</f>
        <v>649.89310578829327</v>
      </c>
    </row>
    <row r="141" spans="1:16383" x14ac:dyDescent="0.2">
      <c r="A141" s="47"/>
      <c r="B141" s="51"/>
      <c r="C141" s="111"/>
      <c r="D141" s="56" t="s">
        <v>353</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17.311358556102302</v>
      </c>
      <c r="N141" s="242">
        <f t="shared" si="105"/>
        <v>20.610440746208351</v>
      </c>
      <c r="O141" s="242">
        <f t="shared" si="105"/>
        <v>21.532496379244474</v>
      </c>
      <c r="P141" s="242">
        <f t="shared" si="105"/>
        <v>21.500408545883808</v>
      </c>
      <c r="Q141" s="242">
        <f t="shared" si="105"/>
        <v>21.145565803241965</v>
      </c>
      <c r="R141" s="242">
        <f t="shared" si="105"/>
        <v>-649.89310578829327</v>
      </c>
    </row>
    <row r="142" spans="1:16383" x14ac:dyDescent="0.2">
      <c r="A142" s="47"/>
      <c r="B142" s="51"/>
      <c r="C142" s="111"/>
      <c r="D142" s="56" t="s">
        <v>354</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34.354353726103376</v>
      </c>
      <c r="N142" s="242">
        <f t="shared" si="106"/>
        <v>33.70838981604831</v>
      </c>
      <c r="O142" s="242">
        <f t="shared" si="106"/>
        <v>33.13612282451853</v>
      </c>
      <c r="P142" s="242">
        <f t="shared" si="106"/>
        <v>32.589244253422699</v>
      </c>
      <c r="Q142" s="242">
        <f t="shared" si="106"/>
        <v>32.051391366264198</v>
      </c>
      <c r="R142" s="242">
        <f t="shared" si="106"/>
        <v>0</v>
      </c>
    </row>
    <row r="143" spans="1:16383" s="138" customFormat="1" x14ac:dyDescent="0.2">
      <c r="A143" s="134"/>
      <c r="B143" s="135"/>
      <c r="C143" s="279"/>
      <c r="D143" s="137"/>
      <c r="E143" s="138" t="s">
        <v>392</v>
      </c>
      <c r="G143" s="163" t="s">
        <v>235</v>
      </c>
      <c r="J143" s="243">
        <f t="shared" ref="J143:R143" si="107" xml:space="preserve"> IF( J138 = 1, $F137, J140 + J141 - J142)</f>
        <v>0</v>
      </c>
      <c r="K143" s="243">
        <f t="shared" si="107"/>
        <v>0</v>
      </c>
      <c r="L143" s="243">
        <f t="shared" si="107"/>
        <v>713.63233774396952</v>
      </c>
      <c r="M143" s="243">
        <f t="shared" si="107"/>
        <v>696.58934257396845</v>
      </c>
      <c r="N143" s="243">
        <f t="shared" si="107"/>
        <v>683.4913935041285</v>
      </c>
      <c r="O143" s="243">
        <f t="shared" si="107"/>
        <v>671.88776705885437</v>
      </c>
      <c r="P143" s="243">
        <f t="shared" si="107"/>
        <v>660.79893135131545</v>
      </c>
      <c r="Q143" s="243">
        <f t="shared" si="107"/>
        <v>649.89310578829327</v>
      </c>
      <c r="R143" s="243">
        <f t="shared" si="107"/>
        <v>0</v>
      </c>
    </row>
    <row r="145" spans="1:26" s="92" customFormat="1" x14ac:dyDescent="0.2">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713.63233774396952</v>
      </c>
      <c r="N145" s="185">
        <f t="shared" si="108"/>
        <v>696.58934257396845</v>
      </c>
      <c r="O145" s="185">
        <f t="shared" si="108"/>
        <v>683.4913935041285</v>
      </c>
      <c r="P145" s="185">
        <f t="shared" si="108"/>
        <v>671.88776705885437</v>
      </c>
      <c r="Q145" s="185">
        <f t="shared" si="108"/>
        <v>660.79893135131545</v>
      </c>
      <c r="R145" s="185">
        <f t="shared" si="108"/>
        <v>649.89310578829327</v>
      </c>
    </row>
    <row r="146" spans="1:26" s="91" customFormat="1" x14ac:dyDescent="0.2">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17.311358556102302</v>
      </c>
      <c r="N146" s="184">
        <f t="shared" si="109"/>
        <v>20.610440746208351</v>
      </c>
      <c r="O146" s="184">
        <f t="shared" si="109"/>
        <v>21.532496379244474</v>
      </c>
      <c r="P146" s="184">
        <f t="shared" si="109"/>
        <v>21.500408545883808</v>
      </c>
      <c r="Q146" s="184">
        <f t="shared" si="109"/>
        <v>21.145565803241965</v>
      </c>
      <c r="R146" s="184">
        <f t="shared" si="109"/>
        <v>-649.89310578829327</v>
      </c>
      <c r="S146" s="92"/>
      <c r="T146" s="92"/>
      <c r="U146" s="92"/>
      <c r="V146" s="92"/>
      <c r="W146" s="92"/>
      <c r="X146" s="92"/>
      <c r="Y146" s="92"/>
      <c r="Z146" s="92"/>
    </row>
    <row r="147" spans="1:26" s="92" customFormat="1" x14ac:dyDescent="0.2">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713.63233774396952</v>
      </c>
      <c r="M147" s="185">
        <f t="shared" si="110"/>
        <v>696.58934257396845</v>
      </c>
      <c r="N147" s="185">
        <f t="shared" si="110"/>
        <v>683.4913935041285</v>
      </c>
      <c r="O147" s="185">
        <f t="shared" si="110"/>
        <v>671.88776705885437</v>
      </c>
      <c r="P147" s="185">
        <f t="shared" si="110"/>
        <v>660.79893135131545</v>
      </c>
      <c r="Q147" s="185">
        <f t="shared" si="110"/>
        <v>649.89310578829327</v>
      </c>
      <c r="R147" s="185">
        <f t="shared" si="110"/>
        <v>0</v>
      </c>
    </row>
    <row r="148" spans="1:26" x14ac:dyDescent="0.2">
      <c r="A148" s="49"/>
      <c r="C148" s="278"/>
      <c r="D148" s="57"/>
      <c r="E148" s="7" t="s">
        <v>393</v>
      </c>
      <c r="F148" s="244"/>
      <c r="G148" s="185" t="s">
        <v>235</v>
      </c>
      <c r="H148" s="244"/>
      <c r="I148" s="244"/>
      <c r="J148" s="185">
        <f t="shared" ref="J148:L148" si="111" xml:space="preserve"> ( (J145+J146) + J147) / 2</f>
        <v>0</v>
      </c>
      <c r="K148" s="185">
        <f t="shared" si="111"/>
        <v>0</v>
      </c>
      <c r="L148" s="185">
        <f t="shared" si="111"/>
        <v>356.81616887198476</v>
      </c>
      <c r="M148" s="185">
        <f xml:space="preserve"> ( (M145+M146) + M147) / 2</f>
        <v>713.76651943702018</v>
      </c>
      <c r="N148" s="185">
        <f t="shared" ref="N148:R148" si="112" xml:space="preserve"> ( (N145+N146) + N147) / 2</f>
        <v>700.34558841215267</v>
      </c>
      <c r="O148" s="185">
        <f t="shared" si="112"/>
        <v>688.45582847111359</v>
      </c>
      <c r="P148" s="185">
        <f t="shared" si="112"/>
        <v>677.09355347802682</v>
      </c>
      <c r="Q148" s="185">
        <f t="shared" si="112"/>
        <v>665.91880147142535</v>
      </c>
      <c r="R148" s="185">
        <f t="shared" si="112"/>
        <v>0</v>
      </c>
    </row>
    <row r="150" spans="1:26" s="205" customFormat="1" x14ac:dyDescent="0.2">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1.920357193840716E-2</v>
      </c>
      <c r="N150" s="205">
        <f xml:space="preserve"> InpR!N$102</f>
        <v>1.920357193840716E-2</v>
      </c>
      <c r="O150" s="205">
        <f xml:space="preserve"> InpR!O$102</f>
        <v>1.920357193840716E-2</v>
      </c>
      <c r="P150" s="205">
        <f xml:space="preserve"> InpR!P$102</f>
        <v>1.920357193840716E-2</v>
      </c>
      <c r="Q150" s="205">
        <f xml:space="preserve"> InpR!Q$102</f>
        <v>1.920357193840716E-2</v>
      </c>
      <c r="R150" s="205">
        <f xml:space="preserve"> InpR!R$102</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356.81616887198476</v>
      </c>
      <c r="M152" s="246">
        <f t="shared" si="113"/>
        <v>713.76651943702018</v>
      </c>
      <c r="N152" s="246">
        <f t="shared" si="113"/>
        <v>700.34558841215267</v>
      </c>
      <c r="O152" s="246">
        <f t="shared" si="113"/>
        <v>688.45582847111359</v>
      </c>
      <c r="P152" s="246">
        <f t="shared" si="113"/>
        <v>677.09355347802682</v>
      </c>
      <c r="Q152" s="246">
        <f t="shared" si="113"/>
        <v>665.91880147142535</v>
      </c>
      <c r="R152" s="246">
        <f t="shared" si="113"/>
        <v>0</v>
      </c>
    </row>
    <row r="153" spans="1:26" x14ac:dyDescent="0.2">
      <c r="C153" s="278"/>
      <c r="E153" s="7" t="s">
        <v>394</v>
      </c>
      <c r="F153" s="244"/>
      <c r="G153" s="184" t="s">
        <v>235</v>
      </c>
      <c r="H153" s="244"/>
      <c r="I153" s="244"/>
      <c r="J153" s="246">
        <f t="shared" ref="J153:K153" si="114">J150*J151*J152</f>
        <v>0</v>
      </c>
      <c r="K153" s="246">
        <f t="shared" si="114"/>
        <v>0</v>
      </c>
      <c r="L153" s="246">
        <f>L150*L151*L152</f>
        <v>0</v>
      </c>
      <c r="M153" s="246">
        <f t="shared" ref="M153:R153" si="115">M150*M151*M152</f>
        <v>13.70686670323531</v>
      </c>
      <c r="N153" s="246">
        <f t="shared" si="115"/>
        <v>13.449136888818865</v>
      </c>
      <c r="O153" s="246">
        <f t="shared" si="115"/>
        <v>13.22081102846073</v>
      </c>
      <c r="P153" s="246">
        <f t="shared" si="115"/>
        <v>13.002614763247024</v>
      </c>
      <c r="Q153" s="246">
        <f t="shared" si="115"/>
        <v>12.788019609194393</v>
      </c>
      <c r="R153" s="246">
        <f t="shared" si="115"/>
        <v>0</v>
      </c>
    </row>
    <row r="154" spans="1:26" x14ac:dyDescent="0.2">
      <c r="M154" s="187"/>
      <c r="N154" s="187"/>
      <c r="O154" s="187"/>
      <c r="P154" s="187"/>
      <c r="Q154" s="187"/>
    </row>
    <row r="155" spans="1:26" s="91" customFormat="1" x14ac:dyDescent="0.2">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34.354353726103376</v>
      </c>
      <c r="N155" s="184">
        <f t="shared" si="116"/>
        <v>33.70838981604831</v>
      </c>
      <c r="O155" s="184">
        <f t="shared" si="116"/>
        <v>33.13612282451853</v>
      </c>
      <c r="P155" s="184">
        <f t="shared" si="116"/>
        <v>32.589244253422699</v>
      </c>
      <c r="Q155" s="184">
        <f t="shared" si="116"/>
        <v>32.051391366264198</v>
      </c>
      <c r="R155" s="184">
        <f t="shared" si="116"/>
        <v>0</v>
      </c>
      <c r="S155" s="92"/>
      <c r="T155" s="92"/>
      <c r="U155" s="92"/>
      <c r="V155" s="92"/>
      <c r="W155" s="92"/>
      <c r="X155" s="92"/>
      <c r="Y155" s="92"/>
      <c r="Z155" s="92"/>
    </row>
    <row r="156" spans="1:26" x14ac:dyDescent="0.2">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13.70686670323531</v>
      </c>
      <c r="N156" s="184">
        <f t="shared" si="117"/>
        <v>13.449136888818865</v>
      </c>
      <c r="O156" s="184">
        <f t="shared" si="117"/>
        <v>13.22081102846073</v>
      </c>
      <c r="P156" s="184">
        <f t="shared" si="117"/>
        <v>13.002614763247024</v>
      </c>
      <c r="Q156" s="184">
        <f t="shared" si="117"/>
        <v>12.788019609194393</v>
      </c>
      <c r="R156" s="184">
        <f t="shared" si="117"/>
        <v>0</v>
      </c>
    </row>
    <row r="157" spans="1:26" x14ac:dyDescent="0.2">
      <c r="C157" s="278"/>
      <c r="E157" s="7" t="s">
        <v>395</v>
      </c>
      <c r="F157" s="244"/>
      <c r="G157" s="184" t="str">
        <f t="shared" ref="G157" si="118">G$155</f>
        <v>£m</v>
      </c>
      <c r="H157" s="244">
        <f>SUM(J157:R157)</f>
        <v>232.00695097931344</v>
      </c>
      <c r="I157" s="244"/>
      <c r="J157" s="244">
        <f t="shared" ref="J157:R157" si="119">SUM(J155:J156)</f>
        <v>0</v>
      </c>
      <c r="K157" s="244">
        <f t="shared" si="119"/>
        <v>0</v>
      </c>
      <c r="L157" s="244">
        <f>SUM(L155:L156)</f>
        <v>0</v>
      </c>
      <c r="M157" s="244">
        <f t="shared" si="119"/>
        <v>48.06122042933869</v>
      </c>
      <c r="N157" s="244">
        <f t="shared" si="119"/>
        <v>47.157526704867173</v>
      </c>
      <c r="O157" s="244">
        <f t="shared" si="119"/>
        <v>46.35693385297926</v>
      </c>
      <c r="P157" s="244">
        <f t="shared" si="119"/>
        <v>45.591859016669723</v>
      </c>
      <c r="Q157" s="244">
        <f t="shared" si="119"/>
        <v>44.839410975458591</v>
      </c>
      <c r="R157" s="244">
        <f t="shared" si="119"/>
        <v>0</v>
      </c>
    </row>
    <row r="159" spans="1:26" x14ac:dyDescent="0.2">
      <c r="E159" s="7" t="str">
        <f t="shared" ref="E159:R159" si="120" xml:space="preserve"> E$157</f>
        <v>Total True up Nominal revenue to company</v>
      </c>
      <c r="F159" s="184">
        <f t="shared" si="120"/>
        <v>0</v>
      </c>
      <c r="G159" s="184" t="str">
        <f t="shared" si="120"/>
        <v>£m</v>
      </c>
      <c r="H159" s="184">
        <f t="shared" si="120"/>
        <v>232.00695097931344</v>
      </c>
      <c r="I159" s="184">
        <f t="shared" si="120"/>
        <v>0</v>
      </c>
      <c r="J159" s="184">
        <f t="shared" si="120"/>
        <v>0</v>
      </c>
      <c r="K159" s="184">
        <f t="shared" si="120"/>
        <v>0</v>
      </c>
      <c r="L159" s="184">
        <f t="shared" si="120"/>
        <v>0</v>
      </c>
      <c r="M159" s="184">
        <f t="shared" si="120"/>
        <v>48.06122042933869</v>
      </c>
      <c r="N159" s="184">
        <f t="shared" si="120"/>
        <v>47.157526704867173</v>
      </c>
      <c r="O159" s="184">
        <f t="shared" si="120"/>
        <v>46.35693385297926</v>
      </c>
      <c r="P159" s="184">
        <f t="shared" si="120"/>
        <v>45.591859016669723</v>
      </c>
      <c r="Q159" s="184">
        <f t="shared" si="120"/>
        <v>44.839410975458591</v>
      </c>
      <c r="R159" s="184">
        <f t="shared" si="120"/>
        <v>0</v>
      </c>
    </row>
    <row r="160" spans="1:26" x14ac:dyDescent="0.2">
      <c r="E160" s="7" t="str">
        <f t="shared" ref="E160:R160" si="121" xml:space="preserve"> E$108</f>
        <v>Total nominal revenue company should have received</v>
      </c>
      <c r="F160" s="184">
        <f t="shared" si="121"/>
        <v>0</v>
      </c>
      <c r="G160" s="184" t="str">
        <f t="shared" si="121"/>
        <v>£m</v>
      </c>
      <c r="H160" s="184">
        <f t="shared" si="121"/>
        <v>237.74506073064273</v>
      </c>
      <c r="I160" s="184">
        <f t="shared" si="121"/>
        <v>0</v>
      </c>
      <c r="J160" s="184">
        <f t="shared" si="121"/>
        <v>0</v>
      </c>
      <c r="K160" s="184">
        <f t="shared" si="121"/>
        <v>0</v>
      </c>
      <c r="L160" s="184">
        <f t="shared" si="121"/>
        <v>0</v>
      </c>
      <c r="M160" s="184">
        <f t="shared" si="121"/>
        <v>47.885319758886929</v>
      </c>
      <c r="N160" s="184">
        <f t="shared" si="121"/>
        <v>47.508782823062333</v>
      </c>
      <c r="O160" s="184">
        <f t="shared" si="121"/>
        <v>48.071626448899643</v>
      </c>
      <c r="P160" s="184">
        <f t="shared" si="121"/>
        <v>47.659347492863589</v>
      </c>
      <c r="Q160" s="184">
        <f t="shared" si="121"/>
        <v>46.619984206930241</v>
      </c>
      <c r="R160" s="184">
        <f t="shared" si="121"/>
        <v>0</v>
      </c>
    </row>
    <row r="161" spans="1:16383" s="185" customFormat="1" x14ac:dyDescent="0.2">
      <c r="A161" s="252"/>
      <c r="B161" s="181"/>
      <c r="C161" s="182"/>
      <c r="D161" s="253"/>
      <c r="E161" s="7" t="s">
        <v>396</v>
      </c>
      <c r="G161" s="185" t="str">
        <f t="shared" ref="G161" si="122" xml:space="preserve"> G$153</f>
        <v>£m</v>
      </c>
      <c r="H161" s="185">
        <f xml:space="preserve"> SUM(J161:R161)</f>
        <v>5.7381097513292971</v>
      </c>
      <c r="J161" s="185">
        <f t="shared" ref="J161:K161" si="123">J160-J159</f>
        <v>0</v>
      </c>
      <c r="K161" s="185">
        <f t="shared" si="123"/>
        <v>0</v>
      </c>
      <c r="L161" s="185">
        <f>L160-L159</f>
        <v>0</v>
      </c>
      <c r="M161" s="185">
        <f>M160-M159</f>
        <v>-0.17590067045176028</v>
      </c>
      <c r="N161" s="185">
        <f t="shared" ref="N161:R161" si="124">N160-N159</f>
        <v>0.35125611819515967</v>
      </c>
      <c r="O161" s="185">
        <f t="shared" si="124"/>
        <v>1.7146925959203827</v>
      </c>
      <c r="P161" s="185">
        <f t="shared" si="124"/>
        <v>2.0674884761938657</v>
      </c>
      <c r="Q161" s="185">
        <f t="shared" si="124"/>
        <v>1.7805732314716494</v>
      </c>
      <c r="R161" s="185">
        <f t="shared" si="124"/>
        <v>0</v>
      </c>
    </row>
    <row r="163" spans="1:16383" s="91" customFormat="1" x14ac:dyDescent="0.2">
      <c r="A163" s="170"/>
      <c r="B163" s="165"/>
      <c r="C163" s="166"/>
      <c r="D163" s="171"/>
      <c r="E163" s="7" t="str">
        <f t="shared" ref="E163:R163" si="125" xml:space="preserve"> E$161</f>
        <v>Value of True up nominal</v>
      </c>
      <c r="F163" s="248">
        <f t="shared" si="125"/>
        <v>0</v>
      </c>
      <c r="G163" s="248" t="str">
        <f t="shared" si="125"/>
        <v>£m</v>
      </c>
      <c r="H163" s="248">
        <f t="shared" si="125"/>
        <v>5.7381097513292971</v>
      </c>
      <c r="I163" s="248">
        <f t="shared" si="125"/>
        <v>0</v>
      </c>
      <c r="J163" s="248">
        <f t="shared" si="125"/>
        <v>0</v>
      </c>
      <c r="K163" s="248">
        <f t="shared" si="125"/>
        <v>0</v>
      </c>
      <c r="L163" s="248">
        <f t="shared" si="125"/>
        <v>0</v>
      </c>
      <c r="M163" s="248">
        <f t="shared" si="125"/>
        <v>-0.17590067045176028</v>
      </c>
      <c r="N163" s="248">
        <f t="shared" si="125"/>
        <v>0.35125611819515967</v>
      </c>
      <c r="O163" s="248">
        <f t="shared" si="125"/>
        <v>1.7146925959203827</v>
      </c>
      <c r="P163" s="248">
        <f t="shared" si="125"/>
        <v>2.0674884761938657</v>
      </c>
      <c r="Q163" s="248">
        <f t="shared" si="125"/>
        <v>1.7805732314716494</v>
      </c>
      <c r="R163" s="248">
        <f t="shared" si="125"/>
        <v>0</v>
      </c>
      <c r="S163" s="92"/>
      <c r="T163" s="92"/>
      <c r="U163" s="92"/>
      <c r="V163" s="92"/>
      <c r="W163" s="92"/>
      <c r="X163" s="92"/>
      <c r="Y163" s="92"/>
      <c r="Z163" s="92"/>
    </row>
    <row r="164" spans="1:16383" s="91" customFormat="1" x14ac:dyDescent="0.2">
      <c r="A164" s="170"/>
      <c r="B164" s="165"/>
      <c r="C164" s="166"/>
      <c r="D164" s="171"/>
      <c r="E164" s="7" t="str">
        <f t="shared" ref="E164:R164" si="126" xml:space="preserve"> E$116</f>
        <v>Difference in nominal revenue</v>
      </c>
      <c r="F164" s="248">
        <f t="shared" si="126"/>
        <v>0</v>
      </c>
      <c r="G164" s="248" t="str">
        <f t="shared" si="126"/>
        <v>£m</v>
      </c>
      <c r="H164" s="248">
        <f t="shared" si="126"/>
        <v>5.7381097513292971</v>
      </c>
      <c r="I164" s="248">
        <f t="shared" si="126"/>
        <v>0</v>
      </c>
      <c r="J164" s="248">
        <f t="shared" si="126"/>
        <v>0</v>
      </c>
      <c r="K164" s="248">
        <f t="shared" si="126"/>
        <v>0</v>
      </c>
      <c r="L164" s="248">
        <f t="shared" si="126"/>
        <v>0</v>
      </c>
      <c r="M164" s="248">
        <f t="shared" si="126"/>
        <v>-0.17590067045176028</v>
      </c>
      <c r="N164" s="248">
        <f t="shared" si="126"/>
        <v>0.35125611819515967</v>
      </c>
      <c r="O164" s="248">
        <f t="shared" si="126"/>
        <v>1.7146925959203827</v>
      </c>
      <c r="P164" s="248">
        <f t="shared" si="126"/>
        <v>2.0674884761938657</v>
      </c>
      <c r="Q164" s="248">
        <f t="shared" si="126"/>
        <v>1.7805732314716494</v>
      </c>
      <c r="R164" s="248">
        <f t="shared" si="126"/>
        <v>0</v>
      </c>
      <c r="S164" s="92"/>
      <c r="T164" s="92"/>
      <c r="U164" s="92"/>
      <c r="V164" s="92"/>
      <c r="W164" s="92"/>
      <c r="X164" s="92"/>
      <c r="Y164" s="92"/>
      <c r="Z164" s="92"/>
    </row>
    <row r="165" spans="1:16383" s="211" customFormat="1" x14ac:dyDescent="0.2">
      <c r="A165" s="224"/>
      <c r="B165" s="208"/>
      <c r="C165" s="209"/>
      <c r="D165" s="210"/>
      <c r="E165" s="7" t="s">
        <v>397</v>
      </c>
      <c r="F165" s="225">
        <f>SUM(J165:R165)</f>
        <v>0</v>
      </c>
      <c r="G165" s="211" t="s">
        <v>317</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
      <c r="A167" s="50" t="s">
        <v>398</v>
      </c>
      <c r="B167" s="50"/>
    </row>
    <row r="169" spans="1:16383" x14ac:dyDescent="0.2">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356.81616887198476</v>
      </c>
      <c r="M169" s="185">
        <f t="shared" si="129"/>
        <v>713.76651943702018</v>
      </c>
      <c r="N169" s="184">
        <f t="shared" si="129"/>
        <v>700.34558841215267</v>
      </c>
      <c r="O169" s="184">
        <f t="shared" si="129"/>
        <v>688.45582847111359</v>
      </c>
      <c r="P169" s="184">
        <f t="shared" si="129"/>
        <v>677.09355347802682</v>
      </c>
      <c r="Q169" s="184">
        <f t="shared" si="129"/>
        <v>665.91880147142535</v>
      </c>
      <c r="R169" s="184">
        <f t="shared" si="129"/>
        <v>0</v>
      </c>
    </row>
    <row r="170" spans="1:16383" x14ac:dyDescent="0.2">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356.81616887198476</v>
      </c>
      <c r="M170" s="185">
        <f t="shared" si="130"/>
        <v>711.154184415283</v>
      </c>
      <c r="N170" s="184">
        <f t="shared" si="130"/>
        <v>705.56216124728746</v>
      </c>
      <c r="O170" s="184">
        <f t="shared" si="130"/>
        <v>713.92106125466159</v>
      </c>
      <c r="P170" s="184">
        <f t="shared" si="130"/>
        <v>707.79822640240002</v>
      </c>
      <c r="Q170" s="184">
        <f t="shared" si="130"/>
        <v>692.36244036941775</v>
      </c>
      <c r="R170" s="184">
        <f t="shared" si="130"/>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0</v>
      </c>
    </row>
    <row r="172" spans="1:16383" s="91" customFormat="1" x14ac:dyDescent="0.2">
      <c r="A172" s="170"/>
      <c r="B172" s="165"/>
      <c r="C172" s="166"/>
      <c r="D172" s="171"/>
      <c r="E172" s="7" t="str">
        <f>E$42 &amp; " - real"</f>
        <v>Forecast RCV average balance - real</v>
      </c>
      <c r="F172" s="184"/>
      <c r="G172" s="184" t="s">
        <v>235</v>
      </c>
      <c r="H172" s="244"/>
      <c r="I172" s="184"/>
      <c r="J172" s="184">
        <f t="shared" ref="J172:R172" si="131" xml:space="preserve"> IF(J$171 = 0, 0, J169 / J$171)</f>
        <v>0</v>
      </c>
      <c r="K172" s="184">
        <f t="shared" si="131"/>
        <v>0</v>
      </c>
      <c r="L172" s="184">
        <f t="shared" si="131"/>
        <v>342.56448591774029</v>
      </c>
      <c r="M172" s="184">
        <f t="shared" si="131"/>
        <v>671.93095705934149</v>
      </c>
      <c r="N172" s="184">
        <f t="shared" si="131"/>
        <v>646.3426700178095</v>
      </c>
      <c r="O172" s="184">
        <f t="shared" si="131"/>
        <v>622.45303748650247</v>
      </c>
      <c r="P172" s="184">
        <f t="shared" si="131"/>
        <v>599.58870965311007</v>
      </c>
      <c r="Q172" s="184">
        <f t="shared" si="131"/>
        <v>577.56424837315797</v>
      </c>
      <c r="R172" s="184">
        <f t="shared" si="131"/>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235</v>
      </c>
      <c r="H173" s="244"/>
      <c r="I173" s="184"/>
      <c r="J173" s="184">
        <f t="shared" ref="J173:R173" si="132" xml:space="preserve"> IF(J$171 = 0, 0, J170 / J$171)</f>
        <v>0</v>
      </c>
      <c r="K173" s="184">
        <f t="shared" si="132"/>
        <v>0</v>
      </c>
      <c r="L173" s="184">
        <f t="shared" si="132"/>
        <v>342.56448591774029</v>
      </c>
      <c r="M173" s="184">
        <f t="shared" si="132"/>
        <v>669.47173723953267</v>
      </c>
      <c r="N173" s="184">
        <f t="shared" si="132"/>
        <v>651.15699835854741</v>
      </c>
      <c r="O173" s="184">
        <f t="shared" si="132"/>
        <v>645.47689877273956</v>
      </c>
      <c r="P173" s="184">
        <f t="shared" si="132"/>
        <v>626.77871186842901</v>
      </c>
      <c r="Q173" s="184">
        <f t="shared" si="132"/>
        <v>600.49932753089149</v>
      </c>
      <c r="R173" s="184">
        <f t="shared" si="132"/>
        <v>0</v>
      </c>
      <c r="S173" s="92"/>
      <c r="T173" s="92"/>
      <c r="U173" s="92"/>
      <c r="V173" s="92"/>
      <c r="W173" s="92"/>
      <c r="X173" s="92"/>
      <c r="Y173" s="92"/>
      <c r="Z173" s="92"/>
    </row>
    <row r="174" spans="1:16383" s="91" customFormat="1" x14ac:dyDescent="0.2">
      <c r="A174" s="170"/>
      <c r="B174" s="165"/>
      <c r="C174" s="166"/>
      <c r="D174" s="171"/>
      <c r="E174" s="7" t="s">
        <v>399</v>
      </c>
      <c r="F174" s="184"/>
      <c r="G174" s="184" t="s">
        <v>235</v>
      </c>
      <c r="H174" s="244"/>
      <c r="I174" s="184"/>
      <c r="J174" s="185">
        <f>J173-J172</f>
        <v>0</v>
      </c>
      <c r="K174" s="185">
        <f t="shared" ref="K174:R174" si="133">K173-K172</f>
        <v>0</v>
      </c>
      <c r="L174" s="185">
        <f t="shared" si="133"/>
        <v>0</v>
      </c>
      <c r="M174" s="185">
        <f t="shared" si="133"/>
        <v>-2.4592198198088226</v>
      </c>
      <c r="N174" s="185">
        <f t="shared" si="133"/>
        <v>4.8143283407379158</v>
      </c>
      <c r="O174" s="185">
        <f t="shared" si="133"/>
        <v>23.023861286237093</v>
      </c>
      <c r="P174" s="185">
        <f t="shared" si="133"/>
        <v>27.190002215318941</v>
      </c>
      <c r="Q174" s="185">
        <f t="shared" si="133"/>
        <v>22.935079157733526</v>
      </c>
      <c r="R174" s="185">
        <f t="shared" si="13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-2.4592198198088226</v>
      </c>
      <c r="N176" s="185">
        <f t="shared" si="134"/>
        <v>4.8143283407379158</v>
      </c>
      <c r="O176" s="185">
        <f t="shared" si="134"/>
        <v>23.023861286237093</v>
      </c>
      <c r="P176" s="185">
        <f t="shared" si="134"/>
        <v>27.190002215318941</v>
      </c>
      <c r="Q176" s="185">
        <f t="shared" si="134"/>
        <v>22.935079157733526</v>
      </c>
      <c r="R176" s="185">
        <f t="shared" si="13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412</v>
      </c>
      <c r="F178" s="271"/>
      <c r="G178" s="271" t="s">
        <v>235</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22.935079157733526</v>
      </c>
      <c r="R178" s="271">
        <f t="shared" si="13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401</v>
      </c>
      <c r="B180" s="50"/>
    </row>
    <row r="182" spans="1:26" s="91" customFormat="1" x14ac:dyDescent="0.2">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34.354353726103376</v>
      </c>
      <c r="N182" s="184">
        <f t="shared" si="136"/>
        <v>33.70838981604831</v>
      </c>
      <c r="O182" s="184">
        <f t="shared" si="136"/>
        <v>33.13612282451853</v>
      </c>
      <c r="P182" s="184">
        <f t="shared" si="136"/>
        <v>32.589244253422699</v>
      </c>
      <c r="Q182" s="184">
        <f t="shared" si="136"/>
        <v>32.051391366264198</v>
      </c>
      <c r="R182" s="184">
        <f t="shared" si="13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13.70686670323531</v>
      </c>
      <c r="N183" s="184">
        <f t="shared" si="137"/>
        <v>13.449136888818865</v>
      </c>
      <c r="O183" s="184">
        <f t="shared" si="137"/>
        <v>13.22081102846073</v>
      </c>
      <c r="P183" s="184">
        <f t="shared" si="137"/>
        <v>13.002614763247024</v>
      </c>
      <c r="Q183" s="184">
        <f t="shared" si="137"/>
        <v>12.788019609194393</v>
      </c>
      <c r="R183" s="184">
        <f t="shared" si="13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38">F$157</f>
        <v>0</v>
      </c>
      <c r="G184" s="184" t="str">
        <f t="shared" si="138"/>
        <v>£m</v>
      </c>
      <c r="H184" s="184">
        <f t="shared" si="138"/>
        <v>232.00695097931344</v>
      </c>
      <c r="I184" s="184">
        <f t="shared" si="138"/>
        <v>0</v>
      </c>
      <c r="J184" s="184">
        <f t="shared" si="138"/>
        <v>0</v>
      </c>
      <c r="K184" s="184">
        <f t="shared" si="138"/>
        <v>0</v>
      </c>
      <c r="L184" s="184">
        <f t="shared" si="138"/>
        <v>0</v>
      </c>
      <c r="M184" s="184">
        <f t="shared" si="138"/>
        <v>48.06122042933869</v>
      </c>
      <c r="N184" s="184">
        <f t="shared" si="138"/>
        <v>47.157526704867173</v>
      </c>
      <c r="O184" s="184">
        <f t="shared" si="138"/>
        <v>46.35693385297926</v>
      </c>
      <c r="P184" s="184">
        <f t="shared" si="138"/>
        <v>45.591859016669723</v>
      </c>
      <c r="Q184" s="184">
        <f t="shared" si="138"/>
        <v>44.839410975458591</v>
      </c>
      <c r="R184" s="184">
        <f t="shared" si="13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34.22861921916877</v>
      </c>
      <c r="N185" s="184">
        <f t="shared" si="139"/>
        <v>33.959469102532012</v>
      </c>
      <c r="O185" s="184">
        <f t="shared" si="139"/>
        <v>34.361791990751762</v>
      </c>
      <c r="P185" s="184">
        <f t="shared" si="139"/>
        <v>34.067093334268101</v>
      </c>
      <c r="Q185" s="184">
        <f t="shared" si="139"/>
        <v>33.324152275844988</v>
      </c>
      <c r="R185" s="184">
        <f t="shared" si="13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13.656700539718159</v>
      </c>
      <c r="N186" s="184">
        <f t="shared" si="140"/>
        <v>13.549313720530318</v>
      </c>
      <c r="O186" s="184">
        <f t="shared" si="140"/>
        <v>13.709834458147879</v>
      </c>
      <c r="P186" s="184">
        <f t="shared" si="140"/>
        <v>13.592254158595487</v>
      </c>
      <c r="Q186" s="184">
        <f t="shared" si="140"/>
        <v>13.295831931085251</v>
      </c>
      <c r="R186" s="184">
        <f t="shared" si="14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41">F$108</f>
        <v>0</v>
      </c>
      <c r="G187" s="184" t="str">
        <f t="shared" si="141"/>
        <v>£m</v>
      </c>
      <c r="H187" s="184">
        <f t="shared" si="141"/>
        <v>237.74506073064273</v>
      </c>
      <c r="I187" s="184">
        <f t="shared" si="141"/>
        <v>0</v>
      </c>
      <c r="J187" s="184">
        <f t="shared" si="141"/>
        <v>0</v>
      </c>
      <c r="K187" s="184">
        <f t="shared" si="141"/>
        <v>0</v>
      </c>
      <c r="L187" s="184">
        <f t="shared" si="141"/>
        <v>0</v>
      </c>
      <c r="M187" s="184">
        <f t="shared" si="141"/>
        <v>47.885319758886929</v>
      </c>
      <c r="N187" s="184">
        <f t="shared" si="141"/>
        <v>47.508782823062333</v>
      </c>
      <c r="O187" s="184">
        <f t="shared" si="141"/>
        <v>48.071626448899643</v>
      </c>
      <c r="P187" s="184">
        <f t="shared" si="141"/>
        <v>47.659347492863589</v>
      </c>
      <c r="Q187" s="184">
        <f t="shared" si="141"/>
        <v>46.619984206930241</v>
      </c>
      <c r="R187" s="184">
        <f t="shared" si="14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0</v>
      </c>
    </row>
    <row r="189" spans="1:26" s="91" customFormat="1" x14ac:dyDescent="0.2">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150.06691475855231</v>
      </c>
      <c r="I189" s="184"/>
      <c r="J189" s="184">
        <f t="shared" ref="J189:R189" si="145" xml:space="preserve"> IF(J$188 = 0, 0, J182 / J$188)</f>
        <v>0</v>
      </c>
      <c r="K189" s="184">
        <f t="shared" si="145"/>
        <v>0</v>
      </c>
      <c r="L189" s="184">
        <f t="shared" si="145"/>
        <v>0</v>
      </c>
      <c r="M189" s="185">
        <f t="shared" si="145"/>
        <v>32.340762910178242</v>
      </c>
      <c r="N189" s="184">
        <f t="shared" si="145"/>
        <v>31.109171009561745</v>
      </c>
      <c r="O189" s="184">
        <f t="shared" si="145"/>
        <v>29.959337185730284</v>
      </c>
      <c r="P189" s="184">
        <f t="shared" si="145"/>
        <v>28.85885238473751</v>
      </c>
      <c r="Q189" s="184">
        <f t="shared" si="145"/>
        <v>27.79879126834452</v>
      </c>
      <c r="R189" s="184">
        <f t="shared" si="145"/>
        <v>0</v>
      </c>
      <c r="S189" s="92"/>
      <c r="T189" s="92"/>
      <c r="U189" s="92"/>
      <c r="V189" s="92"/>
      <c r="W189" s="92"/>
      <c r="X189" s="92"/>
      <c r="Y189" s="92"/>
      <c r="Z189" s="92"/>
    </row>
    <row r="190" spans="1:26" s="91" customFormat="1" x14ac:dyDescent="0.2">
      <c r="A190" s="170"/>
      <c r="B190" s="165"/>
      <c r="C190" s="166"/>
      <c r="D190" s="171"/>
      <c r="E190" s="7" t="str">
        <f t="shared" si="142"/>
        <v>True up Nominal return- real</v>
      </c>
      <c r="F190" s="184"/>
      <c r="G190" s="184" t="str">
        <f t="shared" si="143"/>
        <v>£m</v>
      </c>
      <c r="H190" s="244">
        <f t="shared" si="144"/>
        <v>59.874425627699324</v>
      </c>
      <c r="I190" s="184"/>
      <c r="J190" s="184">
        <f t="shared" ref="J190:R190" si="146" xml:space="preserve"> IF(J$188 = 0, 0, J183 / J$188)</f>
        <v>0</v>
      </c>
      <c r="K190" s="184">
        <f t="shared" si="146"/>
        <v>0</v>
      </c>
      <c r="L190" s="184">
        <f t="shared" si="146"/>
        <v>0</v>
      </c>
      <c r="M190" s="185">
        <f t="shared" si="146"/>
        <v>12.903474471531839</v>
      </c>
      <c r="N190" s="184">
        <f xml:space="preserve"> IF(N$188 = 0, 0, N183 / N$188)</f>
        <v>12.412087960549165</v>
      </c>
      <c r="O190" s="184">
        <f t="shared" si="146"/>
        <v>11.953321683652099</v>
      </c>
      <c r="P190" s="184">
        <f t="shared" si="146"/>
        <v>11.514244919280225</v>
      </c>
      <c r="Q190" s="184">
        <f t="shared" si="146"/>
        <v>11.091296592686</v>
      </c>
      <c r="R190" s="184">
        <f t="shared" si="146"/>
        <v>0</v>
      </c>
      <c r="S190" s="92"/>
      <c r="T190" s="92"/>
      <c r="U190" s="92"/>
      <c r="V190" s="92"/>
      <c r="W190" s="92"/>
      <c r="X190" s="92"/>
      <c r="Y190" s="92"/>
      <c r="Z190" s="92"/>
    </row>
    <row r="191" spans="1:26" s="91" customFormat="1" x14ac:dyDescent="0.2">
      <c r="A191" s="170"/>
      <c r="B191" s="165"/>
      <c r="C191" s="166"/>
      <c r="D191" s="171"/>
      <c r="E191" s="7" t="str">
        <f t="shared" si="142"/>
        <v>Total True up Nominal revenue to company- real</v>
      </c>
      <c r="F191" s="184"/>
      <c r="G191" s="184" t="str">
        <f t="shared" si="143"/>
        <v>£m</v>
      </c>
      <c r="H191" s="244">
        <f t="shared" si="144"/>
        <v>209.94134038625162</v>
      </c>
      <c r="I191" s="184"/>
      <c r="J191" s="184">
        <f t="shared" ref="J191:R191" si="147" xml:space="preserve"> IF(J$188 = 0, 0, J184 / J$188)</f>
        <v>0</v>
      </c>
      <c r="K191" s="184">
        <f t="shared" si="147"/>
        <v>0</v>
      </c>
      <c r="L191" s="184">
        <f t="shared" si="147"/>
        <v>0</v>
      </c>
      <c r="M191" s="185">
        <f t="shared" si="147"/>
        <v>45.244237381710079</v>
      </c>
      <c r="N191" s="184">
        <f t="shared" si="147"/>
        <v>43.521258970110907</v>
      </c>
      <c r="O191" s="184">
        <f t="shared" si="147"/>
        <v>41.912658869382383</v>
      </c>
      <c r="P191" s="184">
        <f t="shared" si="147"/>
        <v>40.373097304017733</v>
      </c>
      <c r="Q191" s="184">
        <f t="shared" si="147"/>
        <v>38.890087861030516</v>
      </c>
      <c r="R191" s="184">
        <f t="shared" si="147"/>
        <v>0</v>
      </c>
      <c r="S191" s="92"/>
      <c r="T191" s="92"/>
      <c r="U191" s="92"/>
      <c r="V191" s="92"/>
      <c r="W191" s="92"/>
      <c r="X191" s="92"/>
      <c r="Y191" s="92"/>
      <c r="Z191" s="92"/>
    </row>
    <row r="192" spans="1:26" s="91" customFormat="1" x14ac:dyDescent="0.2">
      <c r="A192" s="170"/>
      <c r="B192" s="165"/>
      <c r="C192" s="166"/>
      <c r="D192" s="171"/>
      <c r="E192" s="7" t="str">
        <f t="shared" si="142"/>
        <v>RCV run-off company should have received- real</v>
      </c>
      <c r="F192" s="184"/>
      <c r="G192" s="184" t="str">
        <f t="shared" si="143"/>
        <v>£m</v>
      </c>
      <c r="H192" s="244">
        <f t="shared" si="144"/>
        <v>153.70100631561351</v>
      </c>
      <c r="I192" s="184"/>
      <c r="J192" s="184">
        <f t="shared" ref="J192:R192" si="148" xml:space="preserve"> IF(J$188 = 0, 0, J185 / J$188)</f>
        <v>0</v>
      </c>
      <c r="K192" s="184">
        <f t="shared" si="148"/>
        <v>0</v>
      </c>
      <c r="L192" s="184">
        <f t="shared" si="148"/>
        <v>0</v>
      </c>
      <c r="M192" s="185">
        <f t="shared" si="148"/>
        <v>32.222398003336444</v>
      </c>
      <c r="N192" s="184">
        <f t="shared" si="148"/>
        <v>31.340889833949539</v>
      </c>
      <c r="O192" s="184">
        <f t="shared" si="148"/>
        <v>31.067500504166677</v>
      </c>
      <c r="P192" s="184">
        <f t="shared" si="148"/>
        <v>30.167536567144051</v>
      </c>
      <c r="Q192" s="184">
        <f t="shared" si="148"/>
        <v>28.902681407016793</v>
      </c>
      <c r="R192" s="184">
        <f t="shared" si="148"/>
        <v>0</v>
      </c>
      <c r="S192" s="92"/>
      <c r="T192" s="92"/>
      <c r="U192" s="92"/>
      <c r="V192" s="92"/>
      <c r="W192" s="92"/>
      <c r="X192" s="92"/>
      <c r="Y192" s="92"/>
      <c r="Z192" s="92"/>
    </row>
    <row r="193" spans="1:26" s="91" customFormat="1" x14ac:dyDescent="0.2">
      <c r="A193" s="170"/>
      <c r="B193" s="165"/>
      <c r="C193" s="166"/>
      <c r="D193" s="171"/>
      <c r="E193" s="7" t="str">
        <f t="shared" si="142"/>
        <v>Nominal return company should have received- real</v>
      </c>
      <c r="F193" s="184"/>
      <c r="G193" s="184" t="str">
        <f t="shared" si="143"/>
        <v>£m</v>
      </c>
      <c r="H193" s="244">
        <f t="shared" si="144"/>
        <v>61.324373106179827</v>
      </c>
      <c r="I193" s="184"/>
      <c r="J193" s="184">
        <f t="shared" ref="J193:R193" si="149" xml:space="preserve"> IF(J$188 = 0, 0, J186 / J$188)</f>
        <v>0</v>
      </c>
      <c r="K193" s="184">
        <f t="shared" si="149"/>
        <v>0</v>
      </c>
      <c r="L193" s="184">
        <f t="shared" si="149"/>
        <v>0</v>
      </c>
      <c r="M193" s="185">
        <f t="shared" si="149"/>
        <v>12.856248666809782</v>
      </c>
      <c r="N193" s="184">
        <f t="shared" si="149"/>
        <v>12.504540261175638</v>
      </c>
      <c r="O193" s="184">
        <f t="shared" si="149"/>
        <v>12.395462060162261</v>
      </c>
      <c r="P193" s="184">
        <f t="shared" si="149"/>
        <v>12.036390082827552</v>
      </c>
      <c r="Q193" s="184">
        <f t="shared" si="149"/>
        <v>11.531732035204598</v>
      </c>
      <c r="R193" s="184">
        <f t="shared" si="149"/>
        <v>0</v>
      </c>
      <c r="S193" s="92"/>
      <c r="T193" s="92"/>
      <c r="U193" s="92"/>
      <c r="V193" s="92"/>
      <c r="W193" s="92"/>
      <c r="X193" s="92"/>
      <c r="Y193" s="92"/>
      <c r="Z193" s="92"/>
    </row>
    <row r="194" spans="1:26" s="91" customFormat="1" x14ac:dyDescent="0.2">
      <c r="A194" s="170"/>
      <c r="B194" s="165"/>
      <c r="C194" s="166"/>
      <c r="D194" s="171"/>
      <c r="E194" s="7" t="str">
        <f t="shared" si="142"/>
        <v>Total nominal revenue company should have received- real</v>
      </c>
      <c r="F194" s="184"/>
      <c r="G194" s="184" t="str">
        <f t="shared" si="143"/>
        <v>£m</v>
      </c>
      <c r="H194" s="244">
        <f t="shared" si="144"/>
        <v>215.02537942179336</v>
      </c>
      <c r="I194" s="184"/>
      <c r="J194" s="184">
        <f t="shared" ref="J194:R194" si="150" xml:space="preserve"> IF(J$188 = 0, 0, J187 / J$188)</f>
        <v>0</v>
      </c>
      <c r="K194" s="184">
        <f t="shared" si="150"/>
        <v>0</v>
      </c>
      <c r="L194" s="184">
        <f t="shared" si="150"/>
        <v>0</v>
      </c>
      <c r="M194" s="185">
        <f t="shared" si="150"/>
        <v>45.078646670146227</v>
      </c>
      <c r="N194" s="184">
        <f t="shared" si="150"/>
        <v>43.845430095125181</v>
      </c>
      <c r="O194" s="184">
        <f t="shared" si="150"/>
        <v>43.46296256432894</v>
      </c>
      <c r="P194" s="184">
        <f t="shared" si="150"/>
        <v>42.203926649971599</v>
      </c>
      <c r="Q194" s="184">
        <f t="shared" si="150"/>
        <v>40.434413442221391</v>
      </c>
      <c r="R194" s="184">
        <f t="shared" si="150"/>
        <v>0</v>
      </c>
      <c r="S194" s="92"/>
      <c r="T194" s="92"/>
      <c r="U194" s="92"/>
      <c r="V194" s="92"/>
      <c r="W194" s="92"/>
      <c r="X194" s="92"/>
      <c r="Y194" s="92"/>
      <c r="Z194" s="92"/>
    </row>
    <row r="196" spans="1:26" x14ac:dyDescent="0.2">
      <c r="E196" s="7" t="str">
        <f>E$189</f>
        <v>True up Nominal RCV run-off- real</v>
      </c>
      <c r="F196" s="184">
        <f t="shared" ref="F196:R196" si="151">F$189</f>
        <v>0</v>
      </c>
      <c r="G196" s="7" t="str">
        <f t="shared" si="151"/>
        <v>£m</v>
      </c>
      <c r="H196" s="247">
        <f t="shared" si="151"/>
        <v>150.06691475855231</v>
      </c>
      <c r="I196" s="247">
        <f t="shared" si="151"/>
        <v>0</v>
      </c>
      <c r="J196" s="184">
        <f t="shared" si="151"/>
        <v>0</v>
      </c>
      <c r="K196" s="184">
        <f t="shared" si="151"/>
        <v>0</v>
      </c>
      <c r="L196" s="184">
        <f t="shared" si="151"/>
        <v>0</v>
      </c>
      <c r="M196" s="185">
        <f t="shared" si="151"/>
        <v>32.340762910178242</v>
      </c>
      <c r="N196" s="184">
        <f t="shared" si="151"/>
        <v>31.109171009561745</v>
      </c>
      <c r="O196" s="184">
        <f t="shared" si="151"/>
        <v>29.959337185730284</v>
      </c>
      <c r="P196" s="184">
        <f t="shared" si="151"/>
        <v>28.85885238473751</v>
      </c>
      <c r="Q196" s="184">
        <f t="shared" si="151"/>
        <v>27.79879126834452</v>
      </c>
      <c r="R196" s="184">
        <f t="shared" si="151"/>
        <v>0</v>
      </c>
    </row>
    <row r="197" spans="1:26" x14ac:dyDescent="0.2">
      <c r="E197" s="7" t="str">
        <f>E$192</f>
        <v>RCV run-off company should have received- real</v>
      </c>
      <c r="F197" s="184">
        <f t="shared" ref="F197:R197" si="152">F$192</f>
        <v>0</v>
      </c>
      <c r="G197" s="7" t="str">
        <f t="shared" si="152"/>
        <v>£m</v>
      </c>
      <c r="H197" s="247">
        <f t="shared" si="152"/>
        <v>153.70100631561351</v>
      </c>
      <c r="I197" s="247">
        <f t="shared" si="152"/>
        <v>0</v>
      </c>
      <c r="J197" s="184">
        <f t="shared" si="152"/>
        <v>0</v>
      </c>
      <c r="K197" s="184">
        <f t="shared" si="152"/>
        <v>0</v>
      </c>
      <c r="L197" s="184">
        <f t="shared" si="152"/>
        <v>0</v>
      </c>
      <c r="M197" s="185">
        <f t="shared" si="152"/>
        <v>32.222398003336444</v>
      </c>
      <c r="N197" s="184">
        <f t="shared" si="152"/>
        <v>31.340889833949539</v>
      </c>
      <c r="O197" s="184">
        <f t="shared" si="152"/>
        <v>31.067500504166677</v>
      </c>
      <c r="P197" s="184">
        <f t="shared" si="152"/>
        <v>30.167536567144051</v>
      </c>
      <c r="Q197" s="184">
        <f t="shared" si="152"/>
        <v>28.902681407016793</v>
      </c>
      <c r="R197" s="184">
        <f t="shared" si="152"/>
        <v>0</v>
      </c>
    </row>
    <row r="198" spans="1:26" x14ac:dyDescent="0.2">
      <c r="C198" s="278"/>
      <c r="E198" s="7" t="s">
        <v>402</v>
      </c>
      <c r="G198" s="7" t="s">
        <v>235</v>
      </c>
      <c r="H198" s="185">
        <f xml:space="preserve"> SUM(J198:R198)</f>
        <v>3.634091557061204</v>
      </c>
      <c r="I198" s="185"/>
      <c r="J198" s="184">
        <f t="shared" ref="J198:K198" si="153">J197-J196</f>
        <v>0</v>
      </c>
      <c r="K198" s="184">
        <f t="shared" si="153"/>
        <v>0</v>
      </c>
      <c r="L198" s="184">
        <f>L197-L196</f>
        <v>0</v>
      </c>
      <c r="M198" s="185">
        <f>M197-M196</f>
        <v>-0.11836490684179779</v>
      </c>
      <c r="N198" s="184">
        <f t="shared" ref="N198:R198" si="154">N197-N196</f>
        <v>0.23171882438779434</v>
      </c>
      <c r="O198" s="184">
        <f t="shared" si="154"/>
        <v>1.108163318436393</v>
      </c>
      <c r="P198" s="184">
        <f t="shared" si="154"/>
        <v>1.3086841824065409</v>
      </c>
      <c r="Q198" s="184">
        <f t="shared" si="154"/>
        <v>1.1038901386722735</v>
      </c>
      <c r="R198" s="184">
        <f t="shared" si="154"/>
        <v>0</v>
      </c>
    </row>
    <row r="200" spans="1:26" x14ac:dyDescent="0.2">
      <c r="E200" s="7" t="str">
        <f>E$190</f>
        <v>True up Nominal return- real</v>
      </c>
      <c r="F200" s="184">
        <f t="shared" ref="F200:R200" si="155">F$190</f>
        <v>0</v>
      </c>
      <c r="G200" s="7" t="str">
        <f t="shared" si="155"/>
        <v>£m</v>
      </c>
      <c r="H200" s="247">
        <f t="shared" si="155"/>
        <v>59.874425627699324</v>
      </c>
      <c r="I200" s="247">
        <f t="shared" si="155"/>
        <v>0</v>
      </c>
      <c r="J200" s="184">
        <f t="shared" si="155"/>
        <v>0</v>
      </c>
      <c r="K200" s="184">
        <f t="shared" si="155"/>
        <v>0</v>
      </c>
      <c r="L200" s="184">
        <f t="shared" si="155"/>
        <v>0</v>
      </c>
      <c r="M200" s="185">
        <f t="shared" si="155"/>
        <v>12.903474471531839</v>
      </c>
      <c r="N200" s="184">
        <f t="shared" si="155"/>
        <v>12.412087960549165</v>
      </c>
      <c r="O200" s="184">
        <f t="shared" si="155"/>
        <v>11.953321683652099</v>
      </c>
      <c r="P200" s="184">
        <f t="shared" si="155"/>
        <v>11.514244919280225</v>
      </c>
      <c r="Q200" s="184">
        <f t="shared" si="155"/>
        <v>11.091296592686</v>
      </c>
      <c r="R200" s="184">
        <f t="shared" si="155"/>
        <v>0</v>
      </c>
    </row>
    <row r="201" spans="1:26" x14ac:dyDescent="0.2">
      <c r="E201" s="7" t="str">
        <f>E$193</f>
        <v>Nominal return company should have received- real</v>
      </c>
      <c r="F201" s="184">
        <f t="shared" ref="F201:R201" si="156">F$193</f>
        <v>0</v>
      </c>
      <c r="G201" s="7" t="str">
        <f t="shared" si="156"/>
        <v>£m</v>
      </c>
      <c r="H201" s="247">
        <f t="shared" si="156"/>
        <v>61.324373106179827</v>
      </c>
      <c r="I201" s="247">
        <f t="shared" si="156"/>
        <v>0</v>
      </c>
      <c r="J201" s="184">
        <f t="shared" si="156"/>
        <v>0</v>
      </c>
      <c r="K201" s="184">
        <f t="shared" si="156"/>
        <v>0</v>
      </c>
      <c r="L201" s="184">
        <f t="shared" si="156"/>
        <v>0</v>
      </c>
      <c r="M201" s="185">
        <f t="shared" si="156"/>
        <v>12.856248666809782</v>
      </c>
      <c r="N201" s="184">
        <f t="shared" si="156"/>
        <v>12.504540261175638</v>
      </c>
      <c r="O201" s="184">
        <f t="shared" si="156"/>
        <v>12.395462060162261</v>
      </c>
      <c r="P201" s="184">
        <f t="shared" si="156"/>
        <v>12.036390082827552</v>
      </c>
      <c r="Q201" s="184">
        <f t="shared" si="156"/>
        <v>11.531732035204598</v>
      </c>
      <c r="R201" s="184">
        <f t="shared" si="156"/>
        <v>0</v>
      </c>
    </row>
    <row r="202" spans="1:26" x14ac:dyDescent="0.2">
      <c r="C202" s="278"/>
      <c r="E202" s="7" t="s">
        <v>403</v>
      </c>
      <c r="G202" s="7" t="s">
        <v>235</v>
      </c>
      <c r="H202" s="185">
        <f xml:space="preserve"> SUM(J202:R202)</f>
        <v>1.4499474784805031</v>
      </c>
      <c r="I202" s="185"/>
      <c r="J202" s="184">
        <f t="shared" ref="J202:K202" si="157">J201-J200</f>
        <v>0</v>
      </c>
      <c r="K202" s="184">
        <f t="shared" si="157"/>
        <v>0</v>
      </c>
      <c r="L202" s="184">
        <f>L201-L200</f>
        <v>0</v>
      </c>
      <c r="M202" s="185">
        <f>M201-M200</f>
        <v>-4.7225804722057063E-2</v>
      </c>
      <c r="N202" s="184">
        <f t="shared" ref="N202:R202" si="158">N201-N200</f>
        <v>9.2452300626472805E-2</v>
      </c>
      <c r="O202" s="184">
        <f>O201-O200</f>
        <v>0.44214037651016191</v>
      </c>
      <c r="P202" s="184">
        <f t="shared" si="158"/>
        <v>0.52214516354732687</v>
      </c>
      <c r="Q202" s="184">
        <f t="shared" si="158"/>
        <v>0.44043544251859856</v>
      </c>
      <c r="R202" s="184">
        <f t="shared" si="158"/>
        <v>0</v>
      </c>
    </row>
    <row r="204" spans="1:26" x14ac:dyDescent="0.2">
      <c r="E204" s="7" t="str">
        <f>E$191</f>
        <v>Total True up Nominal revenue to company- real</v>
      </c>
      <c r="F204" s="184">
        <f t="shared" ref="F204:R204" si="159">F$191</f>
        <v>0</v>
      </c>
      <c r="G204" s="7" t="str">
        <f t="shared" si="159"/>
        <v>£m</v>
      </c>
      <c r="H204" s="247">
        <f t="shared" si="159"/>
        <v>209.94134038625162</v>
      </c>
      <c r="I204" s="247"/>
      <c r="J204" s="184">
        <f t="shared" si="159"/>
        <v>0</v>
      </c>
      <c r="K204" s="184">
        <f t="shared" si="159"/>
        <v>0</v>
      </c>
      <c r="L204" s="184">
        <f t="shared" si="159"/>
        <v>0</v>
      </c>
      <c r="M204" s="185">
        <f t="shared" si="159"/>
        <v>45.244237381710079</v>
      </c>
      <c r="N204" s="184">
        <f t="shared" si="159"/>
        <v>43.521258970110907</v>
      </c>
      <c r="O204" s="184">
        <f t="shared" si="159"/>
        <v>41.912658869382383</v>
      </c>
      <c r="P204" s="184">
        <f t="shared" si="159"/>
        <v>40.373097304017733</v>
      </c>
      <c r="Q204" s="184">
        <f t="shared" si="159"/>
        <v>38.890087861030516</v>
      </c>
      <c r="R204" s="184">
        <f t="shared" si="159"/>
        <v>0</v>
      </c>
    </row>
    <row r="205" spans="1:26" x14ac:dyDescent="0.2">
      <c r="E205" s="7" t="str">
        <f>E$194</f>
        <v>Total nominal revenue company should have received- real</v>
      </c>
      <c r="F205" s="184">
        <f t="shared" ref="F205:R205" si="160">F$194</f>
        <v>0</v>
      </c>
      <c r="G205" s="7" t="str">
        <f t="shared" si="160"/>
        <v>£m</v>
      </c>
      <c r="H205" s="247">
        <f t="shared" si="160"/>
        <v>215.02537942179336</v>
      </c>
      <c r="I205" s="247"/>
      <c r="J205" s="184">
        <f t="shared" si="160"/>
        <v>0</v>
      </c>
      <c r="K205" s="184">
        <f t="shared" si="160"/>
        <v>0</v>
      </c>
      <c r="L205" s="184">
        <f t="shared" si="160"/>
        <v>0</v>
      </c>
      <c r="M205" s="185">
        <f t="shared" si="160"/>
        <v>45.078646670146227</v>
      </c>
      <c r="N205" s="184">
        <f t="shared" si="160"/>
        <v>43.845430095125181</v>
      </c>
      <c r="O205" s="184">
        <f t="shared" si="160"/>
        <v>43.46296256432894</v>
      </c>
      <c r="P205" s="184">
        <f t="shared" si="160"/>
        <v>42.203926649971599</v>
      </c>
      <c r="Q205" s="184">
        <f t="shared" si="160"/>
        <v>40.434413442221391</v>
      </c>
      <c r="R205" s="184">
        <f t="shared" si="160"/>
        <v>0</v>
      </c>
    </row>
    <row r="206" spans="1:26" x14ac:dyDescent="0.2">
      <c r="C206" s="278"/>
      <c r="E206" s="7" t="s">
        <v>404</v>
      </c>
      <c r="G206" s="7" t="s">
        <v>235</v>
      </c>
      <c r="H206" s="185">
        <f xml:space="preserve"> SUM(J206:R206)</f>
        <v>5.0840390355417213</v>
      </c>
      <c r="I206" s="185"/>
      <c r="J206" s="184">
        <f t="shared" ref="J206:K206" si="161">J205-J204</f>
        <v>0</v>
      </c>
      <c r="K206" s="184">
        <f t="shared" si="161"/>
        <v>0</v>
      </c>
      <c r="L206" s="184">
        <f>L205-L204</f>
        <v>0</v>
      </c>
      <c r="M206" s="185">
        <f>M205-M204</f>
        <v>-0.1655907115638513</v>
      </c>
      <c r="N206" s="184">
        <f t="shared" ref="N206:R206" si="162">N205-N204</f>
        <v>0.32417112501427425</v>
      </c>
      <c r="O206" s="184">
        <f t="shared" si="162"/>
        <v>1.5503036949465567</v>
      </c>
      <c r="P206" s="184">
        <f t="shared" si="162"/>
        <v>1.830829345953866</v>
      </c>
      <c r="Q206" s="184">
        <f t="shared" si="162"/>
        <v>1.5443255811908756</v>
      </c>
      <c r="R206" s="184">
        <f t="shared" si="162"/>
        <v>0</v>
      </c>
    </row>
    <row r="208" spans="1:26" x14ac:dyDescent="0.2">
      <c r="B208" s="61" t="s">
        <v>405</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2.9195763820156317E-2</v>
      </c>
      <c r="N210" s="205">
        <f>InpR!N$109</f>
        <v>2.9195763820156317E-2</v>
      </c>
      <c r="O210" s="205">
        <f>InpR!O$109</f>
        <v>2.9195763820156317E-2</v>
      </c>
      <c r="P210" s="205">
        <f>InpR!P$109</f>
        <v>2.9195763820156317E-2</v>
      </c>
      <c r="Q210" s="205">
        <f>InpR!Q$109</f>
        <v>2.9195763820156317E-2</v>
      </c>
      <c r="R210" s="205">
        <f>InpR!R$109</f>
        <v>0</v>
      </c>
    </row>
    <row r="211" spans="1:18" x14ac:dyDescent="0.2">
      <c r="E211" s="7" t="s">
        <v>406</v>
      </c>
      <c r="G211" s="7" t="s">
        <v>407</v>
      </c>
      <c r="J211" s="255">
        <f xml:space="preserve"> (1 + J$210) ^ J$209</f>
        <v>1</v>
      </c>
      <c r="K211" s="255">
        <f t="shared" ref="K211:R211" si="163" xml:space="preserve"> (1 + K$210) ^ K$209</f>
        <v>1</v>
      </c>
      <c r="L211" s="255">
        <f t="shared" si="163"/>
        <v>1</v>
      </c>
      <c r="M211" s="255">
        <f t="shared" si="163"/>
        <v>1.1219976826191176</v>
      </c>
      <c r="N211" s="255">
        <f t="shared" si="163"/>
        <v>1.0901693555893588</v>
      </c>
      <c r="O211" s="255">
        <f t="shared" si="163"/>
        <v>1.059243920265355</v>
      </c>
      <c r="P211" s="255">
        <f t="shared" si="163"/>
        <v>1.0291957638201563</v>
      </c>
      <c r="Q211" s="255">
        <f t="shared" si="163"/>
        <v>1</v>
      </c>
      <c r="R211" s="255">
        <f t="shared" si="163"/>
        <v>1</v>
      </c>
    </row>
    <row r="213" spans="1:18" x14ac:dyDescent="0.2">
      <c r="B213" s="61" t="s">
        <v>408</v>
      </c>
    </row>
    <row r="214" spans="1:18" x14ac:dyDescent="0.2">
      <c r="E214" s="7" t="str">
        <f>E$198</f>
        <v>Value of True up run-off - real</v>
      </c>
      <c r="F214" s="184">
        <f t="shared" ref="F214:R214" si="164">F$198</f>
        <v>0</v>
      </c>
      <c r="G214" s="7" t="str">
        <f t="shared" si="164"/>
        <v>£m</v>
      </c>
      <c r="H214" s="247">
        <f t="shared" si="164"/>
        <v>3.634091557061204</v>
      </c>
      <c r="I214" s="247">
        <f t="shared" si="164"/>
        <v>0</v>
      </c>
      <c r="J214" s="184">
        <f t="shared" si="164"/>
        <v>0</v>
      </c>
      <c r="K214" s="184">
        <f t="shared" si="164"/>
        <v>0</v>
      </c>
      <c r="L214" s="184">
        <f t="shared" si="164"/>
        <v>0</v>
      </c>
      <c r="M214" s="185">
        <f t="shared" si="164"/>
        <v>-0.11836490684179779</v>
      </c>
      <c r="N214" s="184">
        <f t="shared" si="164"/>
        <v>0.23171882438779434</v>
      </c>
      <c r="O214" s="184">
        <f t="shared" si="164"/>
        <v>1.108163318436393</v>
      </c>
      <c r="P214" s="184">
        <f t="shared" si="164"/>
        <v>1.3086841824065409</v>
      </c>
      <c r="Q214" s="184">
        <f t="shared" si="164"/>
        <v>1.1038901386722735</v>
      </c>
      <c r="R214" s="184">
        <f t="shared" si="164"/>
        <v>0</v>
      </c>
    </row>
    <row r="215" spans="1:18" x14ac:dyDescent="0.2">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1.1219976826191176</v>
      </c>
      <c r="N215" s="184">
        <f t="shared" si="165"/>
        <v>1.0901693555893588</v>
      </c>
      <c r="O215" s="184">
        <f t="shared" si="165"/>
        <v>1.059243920265355</v>
      </c>
      <c r="P215" s="184">
        <f t="shared" si="165"/>
        <v>1.0291957638201563</v>
      </c>
      <c r="Q215" s="184">
        <f t="shared" si="165"/>
        <v>1</v>
      </c>
      <c r="R215" s="184">
        <f t="shared" si="165"/>
        <v>1</v>
      </c>
    </row>
    <row r="216" spans="1:18" s="34" customFormat="1" x14ac:dyDescent="0.2">
      <c r="A216" s="265"/>
      <c r="B216" s="266"/>
      <c r="C216" s="267"/>
      <c r="D216" s="268"/>
      <c r="E216" s="34" t="s">
        <v>413</v>
      </c>
      <c r="G216" s="34" t="s">
        <v>235</v>
      </c>
      <c r="H216" s="271">
        <f xml:space="preserve"> SUM(J216:R216)</f>
        <v>3.7444052233792009</v>
      </c>
      <c r="J216" s="271">
        <f xml:space="preserve"> J214 * J215</f>
        <v>0</v>
      </c>
      <c r="K216" s="271">
        <f t="shared" ref="K216:R216" si="166" xml:space="preserve"> K214 * K215</f>
        <v>0</v>
      </c>
      <c r="L216" s="271">
        <f t="shared" si="166"/>
        <v>0</v>
      </c>
      <c r="M216" s="277">
        <f t="shared" si="166"/>
        <v>-0.13280515117992486</v>
      </c>
      <c r="N216" s="271">
        <f t="shared" si="166"/>
        <v>0.25261276146076556</v>
      </c>
      <c r="O216" s="271">
        <f t="shared" si="166"/>
        <v>1.17381525771483</v>
      </c>
      <c r="P216" s="271">
        <f t="shared" si="166"/>
        <v>1.3468922167112567</v>
      </c>
      <c r="Q216" s="271">
        <f t="shared" si="166"/>
        <v>1.1038901386722735</v>
      </c>
      <c r="R216" s="271">
        <f t="shared" si="166"/>
        <v>0</v>
      </c>
    </row>
    <row r="218" spans="1:18" x14ac:dyDescent="0.2">
      <c r="B218" s="61" t="s">
        <v>410</v>
      </c>
    </row>
    <row r="219" spans="1:18" x14ac:dyDescent="0.2">
      <c r="E219" s="7" t="str">
        <f>E202</f>
        <v>Value of True up return - real</v>
      </c>
      <c r="F219" s="184">
        <f t="shared" ref="F219:R219" si="167">F202</f>
        <v>0</v>
      </c>
      <c r="G219" s="7" t="str">
        <f t="shared" si="167"/>
        <v>£m</v>
      </c>
      <c r="H219" s="247">
        <f t="shared" si="167"/>
        <v>1.4499474784805031</v>
      </c>
      <c r="I219" s="247">
        <f t="shared" si="167"/>
        <v>0</v>
      </c>
      <c r="J219" s="184">
        <f t="shared" si="167"/>
        <v>0</v>
      </c>
      <c r="K219" s="184">
        <f t="shared" si="167"/>
        <v>0</v>
      </c>
      <c r="L219" s="184">
        <f t="shared" si="167"/>
        <v>0</v>
      </c>
      <c r="M219" s="185">
        <f t="shared" si="167"/>
        <v>-4.7225804722057063E-2</v>
      </c>
      <c r="N219" s="184">
        <f t="shared" si="167"/>
        <v>9.2452300626472805E-2</v>
      </c>
      <c r="O219" s="184">
        <f t="shared" si="167"/>
        <v>0.44214037651016191</v>
      </c>
      <c r="P219" s="184">
        <f t="shared" si="167"/>
        <v>0.52214516354732687</v>
      </c>
      <c r="Q219" s="184">
        <f t="shared" si="167"/>
        <v>0.44043544251859856</v>
      </c>
      <c r="R219" s="184">
        <f t="shared" si="167"/>
        <v>0</v>
      </c>
    </row>
    <row r="220" spans="1:18" x14ac:dyDescent="0.2">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1.1219976826191176</v>
      </c>
      <c r="N220" s="184">
        <f t="shared" si="168"/>
        <v>1.0901693555893588</v>
      </c>
      <c r="O220" s="184">
        <f t="shared" si="168"/>
        <v>1.059243920265355</v>
      </c>
      <c r="P220" s="184">
        <f t="shared" si="168"/>
        <v>1.0291957638201563</v>
      </c>
      <c r="Q220" s="184">
        <f t="shared" si="168"/>
        <v>1</v>
      </c>
      <c r="R220" s="184">
        <f t="shared" si="168"/>
        <v>1</v>
      </c>
    </row>
    <row r="221" spans="1:18" s="34" customFormat="1" x14ac:dyDescent="0.2">
      <c r="A221" s="265"/>
      <c r="B221" s="266"/>
      <c r="C221" s="267"/>
      <c r="D221" s="268"/>
      <c r="E221" s="34" t="s">
        <v>414</v>
      </c>
      <c r="G221" s="34" t="s">
        <v>235</v>
      </c>
      <c r="H221" s="271">
        <f xml:space="preserve"> SUM(J221:R221)</f>
        <v>1.4939609602016586</v>
      </c>
      <c r="J221" s="271">
        <f xml:space="preserve"> J219 * J220</f>
        <v>0</v>
      </c>
      <c r="K221" s="271">
        <f t="shared" ref="K221" si="169" xml:space="preserve"> K219 * K220</f>
        <v>0</v>
      </c>
      <c r="L221" s="271">
        <f t="shared" ref="L221" si="170" xml:space="preserve"> L219 * L220</f>
        <v>0</v>
      </c>
      <c r="M221" s="277">
        <f t="shared" ref="M221" si="171" xml:space="preserve"> M219 * M220</f>
        <v>-5.2987243457971005E-2</v>
      </c>
      <c r="N221" s="271">
        <f xml:space="preserve"> N219 * N220</f>
        <v>0.10078866499671553</v>
      </c>
      <c r="O221" s="271">
        <f t="shared" ref="O221" si="172" xml:space="preserve"> O219 * O220</f>
        <v>0.46833450572222396</v>
      </c>
      <c r="P221" s="271">
        <f t="shared" ref="P221" si="173" xml:space="preserve"> P219 * P220</f>
        <v>0.53738959042209156</v>
      </c>
      <c r="Q221" s="271">
        <f t="shared" ref="Q221" si="174" xml:space="preserve"> Q219 * Q220</f>
        <v>0.44043544251859856</v>
      </c>
      <c r="R221" s="271">
        <f t="shared" ref="R221" si="175" xml:space="preserve"> R219 * R220</f>
        <v>0</v>
      </c>
    </row>
    <row r="223" spans="1:18" x14ac:dyDescent="0.2">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
      <c r="B5" s="60"/>
      <c r="C5" s="109"/>
      <c r="D5" s="54"/>
      <c r="E5" s="21"/>
      <c r="F5" s="21"/>
      <c r="G5" s="226"/>
      <c r="H5" s="21"/>
      <c r="I5" s="21"/>
      <c r="J5"/>
      <c r="K5"/>
      <c r="L5"/>
      <c r="M5"/>
      <c r="N5"/>
      <c r="O5"/>
      <c r="P5"/>
      <c r="Q5"/>
      <c r="R5"/>
      <c r="S5" s="21"/>
      <c r="T5" s="21"/>
      <c r="U5" s="21"/>
      <c r="V5" s="21"/>
      <c r="W5" s="21"/>
      <c r="X5" s="21"/>
      <c r="Y5" s="21"/>
      <c r="Z5" s="21"/>
    </row>
    <row r="6" spans="1:26" s="24" customFormat="1" x14ac:dyDescent="0.2">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5" t="s">
        <v>344</v>
      </c>
      <c r="B8" s="286"/>
      <c r="C8" s="287"/>
      <c r="D8" s="287"/>
      <c r="E8" s="287"/>
      <c r="F8" s="287"/>
      <c r="G8" s="287"/>
      <c r="H8" s="287"/>
      <c r="I8" s="287"/>
      <c r="J8" s="287"/>
      <c r="K8" s="287"/>
      <c r="L8" s="287"/>
      <c r="M8" s="287"/>
      <c r="N8" s="287"/>
      <c r="O8" s="287"/>
      <c r="P8" s="287"/>
      <c r="Q8" s="287"/>
      <c r="R8" s="287"/>
    </row>
    <row r="10" spans="1:26" x14ac:dyDescent="0.2">
      <c r="C10" s="110" t="s">
        <v>345</v>
      </c>
    </row>
    <row r="12" spans="1:26" x14ac:dyDescent="0.2">
      <c r="B12" s="61" t="s">
        <v>346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0</v>
      </c>
    </row>
    <row r="15" spans="1:26" s="172" customFormat="1" x14ac:dyDescent="0.2">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-1</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v>
      </c>
    </row>
    <row r="19" spans="1:16383" s="216" customFormat="1" x14ac:dyDescent="0.2">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0</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349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857.51697402244179</v>
      </c>
      <c r="N22" s="241">
        <f t="shared" si="3"/>
        <v>832.64612689165187</v>
      </c>
      <c r="O22" s="241">
        <f t="shared" si="3"/>
        <v>812.70349523891934</v>
      </c>
      <c r="P22" s="241">
        <f t="shared" si="3"/>
        <v>794.71470301117563</v>
      </c>
      <c r="Q22" s="241">
        <f t="shared" si="3"/>
        <v>777.49800368514195</v>
      </c>
      <c r="R22" s="241">
        <f t="shared" si="3"/>
        <v>760.65428693330693</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-1</v>
      </c>
      <c r="S23" s="177"/>
      <c r="T23" s="177"/>
      <c r="U23" s="177"/>
      <c r="V23" s="177"/>
      <c r="W23" s="177"/>
      <c r="X23" s="177"/>
      <c r="Y23" s="177"/>
      <c r="Z23" s="177"/>
    </row>
    <row r="24" spans="1:16383" s="91" customFormat="1" x14ac:dyDescent="0.2">
      <c r="A24" s="170"/>
      <c r="B24" s="165"/>
      <c r="C24" s="166"/>
      <c r="D24" s="171"/>
      <c r="E24" s="172" t="s">
        <v>350</v>
      </c>
      <c r="G24" s="91" t="s">
        <v>235</v>
      </c>
      <c r="J24" s="184">
        <f>J22*J23</f>
        <v>0</v>
      </c>
      <c r="K24" s="184">
        <f t="shared" ref="K24:R24" si="5">K22*K23</f>
        <v>0</v>
      </c>
      <c r="L24" s="184">
        <f t="shared" si="5"/>
        <v>0</v>
      </c>
      <c r="M24" s="184">
        <f>M22*M23</f>
        <v>20.801725230355565</v>
      </c>
      <c r="N24" s="184">
        <f t="shared" si="5"/>
        <v>24.636041081891776</v>
      </c>
      <c r="O24" s="184">
        <f t="shared" si="5"/>
        <v>25.603153507046546</v>
      </c>
      <c r="P24" s="184">
        <f t="shared" si="5"/>
        <v>25.430870496358171</v>
      </c>
      <c r="Q24" s="184">
        <f t="shared" si="5"/>
        <v>24.879936117924391</v>
      </c>
      <c r="R24" s="184">
        <f t="shared" si="5"/>
        <v>-760.65428693330693</v>
      </c>
      <c r="S24" s="92"/>
      <c r="T24" s="92"/>
      <c r="U24" s="92"/>
      <c r="V24" s="92"/>
      <c r="W24" s="92"/>
      <c r="X24" s="92"/>
      <c r="Y24" s="92"/>
      <c r="Z24" s="92"/>
    </row>
    <row r="26" spans="1:16383" s="205" customFormat="1" x14ac:dyDescent="0.2">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f xml:space="preserve"> InpR!M$96</f>
        <v>5.2000000000000005E-2</v>
      </c>
      <c r="N26" s="205">
        <f xml:space="preserve"> InpR!N$96</f>
        <v>5.2000000000000005E-2</v>
      </c>
      <c r="O26" s="205">
        <f xml:space="preserve"> InpR!O$96</f>
        <v>5.2000000000000005E-2</v>
      </c>
      <c r="P26" s="205">
        <f xml:space="preserve"> InpR!P$96</f>
        <v>5.2000000000000005E-2</v>
      </c>
      <c r="Q26" s="205">
        <f xml:space="preserve"> InpR!Q$96</f>
        <v>5.2000000000000005E-2</v>
      </c>
      <c r="R26" s="205">
        <f xml:space="preserve"> InpR!R$96</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857.51697402244179</v>
      </c>
      <c r="N27" s="241">
        <f t="shared" si="6"/>
        <v>832.64612689165187</v>
      </c>
      <c r="O27" s="241">
        <f t="shared" si="6"/>
        <v>812.70349523891934</v>
      </c>
      <c r="P27" s="241">
        <f t="shared" si="6"/>
        <v>794.71470301117563</v>
      </c>
      <c r="Q27" s="241">
        <f t="shared" si="6"/>
        <v>777.49800368514195</v>
      </c>
      <c r="R27" s="241">
        <f t="shared" si="6"/>
        <v>760.65428693330693</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20.801725230355565</v>
      </c>
      <c r="N28" s="184">
        <f t="shared" si="7"/>
        <v>24.636041081891776</v>
      </c>
      <c r="O28" s="184">
        <f t="shared" si="7"/>
        <v>25.603153507046546</v>
      </c>
      <c r="P28" s="184">
        <f t="shared" si="7"/>
        <v>25.430870496358171</v>
      </c>
      <c r="Q28" s="184">
        <f t="shared" si="7"/>
        <v>24.879936117924391</v>
      </c>
      <c r="R28" s="184">
        <f t="shared" si="7"/>
        <v>-760.65428693330693</v>
      </c>
    </row>
    <row r="29" spans="1:16383" x14ac:dyDescent="0.2">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45.67257236114547</v>
      </c>
      <c r="N29" s="184">
        <f t="shared" si="8"/>
        <v>44.578672734624277</v>
      </c>
      <c r="O29" s="184">
        <f t="shared" si="8"/>
        <v>43.591945734790229</v>
      </c>
      <c r="P29" s="184">
        <f t="shared" si="8"/>
        <v>42.647569822391759</v>
      </c>
      <c r="Q29" s="184">
        <f t="shared" si="8"/>
        <v>41.723652869759455</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InpR!$E$89</f>
        <v>RCV - CPI(H) + RPI wedge initial balance - nominal - WWN</v>
      </c>
      <c r="F31" s="250">
        <f>InpR!$F$89</f>
        <v>857.51697402244179</v>
      </c>
      <c r="G31" s="250" t="str">
        <f>InpR!$G$89</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352</v>
      </c>
      <c r="G34" s="92" t="s">
        <v>235</v>
      </c>
      <c r="J34" s="242">
        <f t="shared" ref="J34:R34" si="9" xml:space="preserve"> I37</f>
        <v>0</v>
      </c>
      <c r="K34" s="242">
        <f t="shared" si="9"/>
        <v>0</v>
      </c>
      <c r="L34" s="242">
        <f t="shared" si="9"/>
        <v>0</v>
      </c>
      <c r="M34" s="242">
        <f t="shared" si="9"/>
        <v>857.51697402244179</v>
      </c>
      <c r="N34" s="242">
        <f t="shared" si="9"/>
        <v>832.64612689165187</v>
      </c>
      <c r="O34" s="242">
        <f t="shared" si="9"/>
        <v>812.70349523891934</v>
      </c>
      <c r="P34" s="242">
        <f t="shared" si="9"/>
        <v>794.71470301117563</v>
      </c>
      <c r="Q34" s="242">
        <f t="shared" si="9"/>
        <v>777.49800368514195</v>
      </c>
      <c r="R34" s="242">
        <f t="shared" si="9"/>
        <v>760.65428693330693</v>
      </c>
    </row>
    <row r="35" spans="1:26" x14ac:dyDescent="0.2">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20.801725230355565</v>
      </c>
      <c r="N35" s="242">
        <f t="shared" si="10"/>
        <v>24.636041081891776</v>
      </c>
      <c r="O35" s="242">
        <f t="shared" si="10"/>
        <v>25.603153507046546</v>
      </c>
      <c r="P35" s="242">
        <f t="shared" si="10"/>
        <v>25.430870496358171</v>
      </c>
      <c r="Q35" s="242">
        <f t="shared" si="10"/>
        <v>24.879936117924391</v>
      </c>
      <c r="R35" s="242">
        <f t="shared" si="10"/>
        <v>-760.65428693330693</v>
      </c>
    </row>
    <row r="36" spans="1:26" x14ac:dyDescent="0.2">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45.67257236114547</v>
      </c>
      <c r="N36" s="242">
        <f t="shared" si="11"/>
        <v>44.578672734624277</v>
      </c>
      <c r="O36" s="242">
        <f t="shared" si="11"/>
        <v>43.591945734790229</v>
      </c>
      <c r="P36" s="242">
        <f t="shared" si="11"/>
        <v>42.647569822391759</v>
      </c>
      <c r="Q36" s="242">
        <f t="shared" si="11"/>
        <v>41.723652869759455</v>
      </c>
      <c r="R36" s="242">
        <f t="shared" si="11"/>
        <v>0</v>
      </c>
    </row>
    <row r="37" spans="1:26" s="138" customFormat="1" x14ac:dyDescent="0.2">
      <c r="A37" s="134"/>
      <c r="B37" s="135"/>
      <c r="C37" s="136"/>
      <c r="D37" s="137"/>
      <c r="E37" s="138" t="s">
        <v>355</v>
      </c>
      <c r="G37" s="163" t="s">
        <v>235</v>
      </c>
      <c r="J37" s="243">
        <f t="shared" ref="J37:R37" si="12" xml:space="preserve"> IF( J32 = 1, $F31, J34 + J35 - J36)</f>
        <v>0</v>
      </c>
      <c r="K37" s="243">
        <f t="shared" si="12"/>
        <v>0</v>
      </c>
      <c r="L37" s="243">
        <f t="shared" si="12"/>
        <v>857.51697402244179</v>
      </c>
      <c r="M37" s="243">
        <f t="shared" si="12"/>
        <v>832.64612689165187</v>
      </c>
      <c r="N37" s="243">
        <f t="shared" si="12"/>
        <v>812.70349523891934</v>
      </c>
      <c r="O37" s="243">
        <f t="shared" si="12"/>
        <v>794.71470301117563</v>
      </c>
      <c r="P37" s="243">
        <f t="shared" si="12"/>
        <v>777.49800368514195</v>
      </c>
      <c r="Q37" s="243">
        <f t="shared" si="12"/>
        <v>760.65428693330693</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857.51697402244179</v>
      </c>
      <c r="N39" s="185">
        <f t="shared" si="13"/>
        <v>832.64612689165187</v>
      </c>
      <c r="O39" s="185">
        <f t="shared" si="13"/>
        <v>812.70349523891934</v>
      </c>
      <c r="P39" s="185">
        <f t="shared" si="13"/>
        <v>794.71470301117563</v>
      </c>
      <c r="Q39" s="185">
        <f t="shared" si="13"/>
        <v>777.49800368514195</v>
      </c>
      <c r="R39" s="185">
        <f t="shared" si="13"/>
        <v>760.65428693330693</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20.801725230355565</v>
      </c>
      <c r="N40" s="242">
        <f t="shared" si="14"/>
        <v>24.636041081891776</v>
      </c>
      <c r="O40" s="242">
        <f t="shared" si="14"/>
        <v>25.603153507046546</v>
      </c>
      <c r="P40" s="242">
        <f t="shared" si="14"/>
        <v>25.430870496358171</v>
      </c>
      <c r="Q40" s="242">
        <f t="shared" si="14"/>
        <v>24.879936117924391</v>
      </c>
      <c r="R40" s="242">
        <f t="shared" si="14"/>
        <v>-760.65428693330693</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857.51697402244179</v>
      </c>
      <c r="M41" s="185">
        <f t="shared" si="15"/>
        <v>832.64612689165187</v>
      </c>
      <c r="N41" s="185">
        <f t="shared" si="15"/>
        <v>812.70349523891934</v>
      </c>
      <c r="O41" s="185">
        <f t="shared" si="15"/>
        <v>794.71470301117563</v>
      </c>
      <c r="P41" s="185">
        <f t="shared" si="15"/>
        <v>777.49800368514195</v>
      </c>
      <c r="Q41" s="185">
        <f t="shared" si="15"/>
        <v>760.65428693330693</v>
      </c>
      <c r="R41" s="185">
        <f t="shared" si="15"/>
        <v>0</v>
      </c>
    </row>
    <row r="42" spans="1:26" s="92" customFormat="1" x14ac:dyDescent="0.2">
      <c r="A42" s="164"/>
      <c r="B42" s="165"/>
      <c r="C42" s="166"/>
      <c r="D42" s="167"/>
      <c r="E42" s="92" t="s">
        <v>356</v>
      </c>
      <c r="G42" s="92" t="s">
        <v>235</v>
      </c>
      <c r="J42" s="185">
        <f t="shared" ref="J42:L42" si="16" xml:space="preserve"> ( (J39+J40) + J41) / 2</f>
        <v>0</v>
      </c>
      <c r="K42" s="185">
        <f t="shared" si="16"/>
        <v>0</v>
      </c>
      <c r="L42" s="185">
        <f t="shared" si="16"/>
        <v>428.75848701122089</v>
      </c>
      <c r="M42" s="185">
        <f xml:space="preserve"> ( (M39+M40) + M41) / 2</f>
        <v>855.48241307222463</v>
      </c>
      <c r="N42" s="185">
        <f t="shared" ref="N42:R42" si="17" xml:space="preserve"> ( (N39+N40) + N41) / 2</f>
        <v>834.99283160623145</v>
      </c>
      <c r="O42" s="185">
        <f t="shared" si="17"/>
        <v>816.51067587857074</v>
      </c>
      <c r="P42" s="185">
        <f t="shared" si="17"/>
        <v>798.82178859633791</v>
      </c>
      <c r="Q42" s="185">
        <f t="shared" si="17"/>
        <v>781.51611336818667</v>
      </c>
      <c r="R42" s="185">
        <f t="shared" si="17"/>
        <v>0</v>
      </c>
    </row>
    <row r="43" spans="1:26" s="92" customFormat="1" x14ac:dyDescent="0.2">
      <c r="A43" s="164"/>
      <c r="B43" s="165"/>
      <c r="C43" s="166"/>
      <c r="D43" s="167"/>
    </row>
    <row r="44" spans="1:26" x14ac:dyDescent="0.2">
      <c r="B44" s="61" t="s">
        <v>357</v>
      </c>
    </row>
    <row r="45" spans="1:26" s="205" customFormat="1" x14ac:dyDescent="0.2">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1.920357193840716E-2</v>
      </c>
      <c r="N45" s="205">
        <f xml:space="preserve"> InpR!N$103</f>
        <v>1.920357193840716E-2</v>
      </c>
      <c r="O45" s="205">
        <f xml:space="preserve"> InpR!O$103</f>
        <v>1.920357193840716E-2</v>
      </c>
      <c r="P45" s="205">
        <f xml:space="preserve"> InpR!P$103</f>
        <v>1.920357193840716E-2</v>
      </c>
      <c r="Q45" s="205">
        <f xml:space="preserve"> InpR!Q$103</f>
        <v>1.920357193840716E-2</v>
      </c>
      <c r="R45" s="205">
        <f xml:space="preserve"> InpR!R$103</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428.75848701122089</v>
      </c>
      <c r="M47" s="184">
        <f t="shared" si="18"/>
        <v>855.48241307222463</v>
      </c>
      <c r="N47" s="184">
        <f t="shared" si="18"/>
        <v>834.99283160623145</v>
      </c>
      <c r="O47" s="184">
        <f t="shared" si="18"/>
        <v>816.51067587857074</v>
      </c>
      <c r="P47" s="184">
        <f t="shared" si="18"/>
        <v>798.82178859633791</v>
      </c>
      <c r="Q47" s="184">
        <f t="shared" si="18"/>
        <v>781.51611336818667</v>
      </c>
      <c r="R47" s="184">
        <f t="shared" si="18"/>
        <v>0</v>
      </c>
      <c r="S47" s="92"/>
      <c r="T47" s="92"/>
      <c r="U47" s="92"/>
      <c r="V47" s="92"/>
      <c r="W47" s="92"/>
      <c r="X47" s="92"/>
      <c r="Y47" s="92"/>
      <c r="Z47" s="92"/>
    </row>
    <row r="48" spans="1:26" s="91" customFormat="1" x14ac:dyDescent="0.2">
      <c r="A48" s="170"/>
      <c r="B48" s="165"/>
      <c r="C48" s="166"/>
      <c r="D48" s="171"/>
      <c r="E48" s="172" t="s">
        <v>358</v>
      </c>
      <c r="G48" s="91" t="s">
        <v>235</v>
      </c>
      <c r="H48" s="184"/>
      <c r="I48" s="184"/>
      <c r="J48" s="184">
        <f t="shared" ref="J48:K48" si="19">J45*J47*J46</f>
        <v>0</v>
      </c>
      <c r="K48" s="184">
        <f t="shared" si="19"/>
        <v>0</v>
      </c>
      <c r="L48" s="184">
        <f>L45*L47*L46</f>
        <v>0</v>
      </c>
      <c r="M48" s="184">
        <f>M45*M47*M46</f>
        <v>16.428318061474616</v>
      </c>
      <c r="N48" s="184">
        <f t="shared" ref="N48:R48" si="20">N45*N47*N46</f>
        <v>16.034844909804562</v>
      </c>
      <c r="O48" s="184">
        <f t="shared" si="20"/>
        <v>15.679921502711585</v>
      </c>
      <c r="P48" s="184">
        <f t="shared" si="20"/>
        <v>15.340231683276851</v>
      </c>
      <c r="Q48" s="184">
        <f t="shared" si="20"/>
        <v>15.007900904090338</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359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45.67257236114547</v>
      </c>
      <c r="N51" s="184">
        <f t="shared" si="21"/>
        <v>44.578672734624277</v>
      </c>
      <c r="O51" s="184">
        <f t="shared" si="21"/>
        <v>43.591945734790229</v>
      </c>
      <c r="P51" s="184">
        <f t="shared" si="21"/>
        <v>42.647569822391759</v>
      </c>
      <c r="Q51" s="184">
        <f t="shared" si="21"/>
        <v>41.723652869759455</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16.428318061474616</v>
      </c>
      <c r="N52" s="184">
        <f t="shared" si="22"/>
        <v>16.034844909804562</v>
      </c>
      <c r="O52" s="184">
        <f t="shared" si="22"/>
        <v>15.679921502711585</v>
      </c>
      <c r="P52" s="184">
        <f t="shared" si="22"/>
        <v>15.340231683276851</v>
      </c>
      <c r="Q52" s="184">
        <f t="shared" si="22"/>
        <v>15.007900904090338</v>
      </c>
      <c r="R52" s="184">
        <f t="shared" si="22"/>
        <v>0</v>
      </c>
      <c r="S52" s="92"/>
      <c r="T52" s="92"/>
      <c r="U52" s="92"/>
      <c r="V52" s="92"/>
      <c r="W52" s="92"/>
      <c r="X52" s="92"/>
      <c r="Y52" s="92"/>
      <c r="Z52" s="92"/>
    </row>
    <row r="53" spans="1:26" s="91" customFormat="1" x14ac:dyDescent="0.2">
      <c r="A53" s="170"/>
      <c r="B53" s="165"/>
      <c r="C53" s="166"/>
      <c r="D53" s="171"/>
      <c r="E53" s="172" t="s">
        <v>360</v>
      </c>
      <c r="G53" s="91" t="str">
        <f xml:space="preserve"> G$48</f>
        <v>£m</v>
      </c>
      <c r="H53" s="184">
        <f>SUM(J53:R53)</f>
        <v>296.70563058406913</v>
      </c>
      <c r="I53" s="184"/>
      <c r="J53" s="184">
        <f t="shared" ref="J53:R53" si="23">SUM(J51:J52)</f>
        <v>0</v>
      </c>
      <c r="K53" s="184">
        <f t="shared" si="23"/>
        <v>0</v>
      </c>
      <c r="L53" s="184">
        <f>SUM(L51:L52)</f>
        <v>0</v>
      </c>
      <c r="M53" s="185">
        <f t="shared" si="23"/>
        <v>62.100890422620083</v>
      </c>
      <c r="N53" s="185">
        <f t="shared" si="23"/>
        <v>60.613517644428839</v>
      </c>
      <c r="O53" s="184">
        <f t="shared" si="23"/>
        <v>59.271867237501816</v>
      </c>
      <c r="P53" s="184">
        <f t="shared" si="23"/>
        <v>57.987801505668614</v>
      </c>
      <c r="Q53" s="184">
        <f t="shared" si="23"/>
        <v>56.731553773849797</v>
      </c>
      <c r="R53" s="184">
        <f t="shared" si="23"/>
        <v>0</v>
      </c>
      <c r="S53" s="92"/>
      <c r="T53" s="92"/>
      <c r="U53" s="92"/>
      <c r="V53" s="92"/>
      <c r="W53" s="92"/>
      <c r="X53" s="92"/>
      <c r="Y53" s="92"/>
      <c r="Z53" s="92"/>
    </row>
    <row r="55" spans="1:26" x14ac:dyDescent="0.2">
      <c r="A55" s="285" t="s">
        <v>361</v>
      </c>
      <c r="B55" s="286"/>
      <c r="C55" s="287"/>
      <c r="D55" s="287"/>
      <c r="E55" s="287"/>
      <c r="F55" s="287"/>
      <c r="G55" s="287"/>
      <c r="H55" s="287"/>
      <c r="I55" s="287"/>
      <c r="J55" s="287"/>
      <c r="K55" s="287"/>
      <c r="L55" s="287"/>
      <c r="M55" s="287"/>
      <c r="N55" s="287"/>
      <c r="O55" s="287"/>
      <c r="P55" s="287"/>
      <c r="Q55" s="287"/>
      <c r="R55" s="287"/>
    </row>
    <row r="56" spans="1:26" x14ac:dyDescent="0.2">
      <c r="M56" s="177"/>
      <c r="N56" s="177"/>
      <c r="O56" s="177"/>
      <c r="P56" s="177"/>
      <c r="Q56" s="177"/>
    </row>
    <row r="57" spans="1:26" x14ac:dyDescent="0.2">
      <c r="C57" s="110" t="s">
        <v>362</v>
      </c>
      <c r="M57" s="177"/>
      <c r="N57" s="177"/>
      <c r="O57" s="177"/>
      <c r="P57" s="177"/>
      <c r="Q57" s="177"/>
    </row>
    <row r="58" spans="1:26" x14ac:dyDescent="0.2">
      <c r="C58" s="110" t="s">
        <v>363</v>
      </c>
      <c r="M58" s="177"/>
      <c r="N58" s="177"/>
      <c r="O58" s="177"/>
      <c r="P58" s="177"/>
      <c r="Q58" s="177"/>
    </row>
    <row r="59" spans="1:26" x14ac:dyDescent="0.2">
      <c r="C59" s="110" t="s">
        <v>364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365</v>
      </c>
      <c r="G61" s="91" t="s">
        <v>235</v>
      </c>
      <c r="J61" s="184">
        <f t="shared" ref="J61:R61" si="24" xml:space="preserve"> J53</f>
        <v>0</v>
      </c>
      <c r="K61" s="184">
        <f t="shared" si="24"/>
        <v>0</v>
      </c>
      <c r="L61" s="184">
        <f t="shared" si="24"/>
        <v>0</v>
      </c>
      <c r="M61" s="184">
        <f t="shared" si="24"/>
        <v>62.100890422620083</v>
      </c>
      <c r="N61" s="184">
        <f t="shared" si="24"/>
        <v>60.613517644428839</v>
      </c>
      <c r="O61" s="184">
        <f t="shared" si="24"/>
        <v>59.271867237501816</v>
      </c>
      <c r="P61" s="184">
        <f t="shared" si="24"/>
        <v>57.987801505668614</v>
      </c>
      <c r="Q61" s="184">
        <f t="shared" si="24"/>
        <v>56.731553773849797</v>
      </c>
      <c r="R61" s="184">
        <f t="shared" si="24"/>
        <v>0</v>
      </c>
      <c r="S61" s="92"/>
      <c r="T61" s="92"/>
      <c r="U61" s="92"/>
      <c r="V61" s="92"/>
      <c r="W61" s="92"/>
      <c r="X61" s="92"/>
      <c r="Y61" s="92"/>
      <c r="Z61" s="92"/>
    </row>
    <row r="62" spans="1:26" x14ac:dyDescent="0.2">
      <c r="L62" s="247"/>
      <c r="M62" s="282"/>
      <c r="N62" s="282"/>
      <c r="O62" s="282"/>
      <c r="P62" s="282"/>
      <c r="Q62" s="282"/>
      <c r="R62" s="247"/>
    </row>
    <row r="63" spans="1:26" x14ac:dyDescent="0.2">
      <c r="A63" s="285" t="s">
        <v>366</v>
      </c>
      <c r="B63" s="286"/>
      <c r="C63" s="287"/>
      <c r="D63" s="287"/>
      <c r="E63" s="287"/>
      <c r="F63" s="287"/>
      <c r="G63" s="287"/>
      <c r="H63" s="287"/>
      <c r="I63" s="287"/>
      <c r="J63" s="287"/>
      <c r="K63" s="287"/>
      <c r="L63" s="287"/>
      <c r="M63" s="287"/>
      <c r="N63" s="287"/>
      <c r="O63" s="287"/>
      <c r="P63" s="287"/>
      <c r="Q63" s="287"/>
      <c r="R63" s="287"/>
    </row>
    <row r="65" spans="1:16383" x14ac:dyDescent="0.2">
      <c r="C65" s="110" t="s">
        <v>367</v>
      </c>
    </row>
    <row r="67" spans="1:16383" x14ac:dyDescent="0.2">
      <c r="B67" s="61" t="s">
        <v>368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5.4342363003727634E-3</v>
      </c>
      <c r="R69" s="205">
        <f>Index!R$135</f>
        <v>0</v>
      </c>
    </row>
    <row r="70" spans="1:16383" s="172" customFormat="1" x14ac:dyDescent="0.2">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2.6434236300374003E-2</v>
      </c>
      <c r="R70" s="172">
        <f t="shared" si="26"/>
        <v>-1</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370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857.51697402244179</v>
      </c>
      <c r="N73" s="241">
        <f t="shared" si="27"/>
        <v>829.59870090744005</v>
      </c>
      <c r="O73" s="241">
        <f t="shared" si="27"/>
        <v>818.75697375928019</v>
      </c>
      <c r="P73" s="241">
        <f t="shared" si="27"/>
        <v>824.11033606672015</v>
      </c>
      <c r="Q73" s="241">
        <f t="shared" si="27"/>
        <v>812.75579307019495</v>
      </c>
      <c r="R73" s="241">
        <f t="shared" si="27"/>
        <v>790.85987242725741</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2.6434236300374003E-2</v>
      </c>
      <c r="R74" s="172">
        <f t="shared" si="28"/>
        <v>-1</v>
      </c>
      <c r="S74" s="177"/>
      <c r="T74" s="177"/>
      <c r="U74" s="177"/>
      <c r="V74" s="177"/>
      <c r="W74" s="177"/>
      <c r="X74" s="177"/>
      <c r="Y74" s="177"/>
      <c r="Z74" s="177"/>
    </row>
    <row r="75" spans="1:16383" x14ac:dyDescent="0.2">
      <c r="E75" s="7" t="s">
        <v>371</v>
      </c>
      <c r="G75" s="162" t="s">
        <v>235</v>
      </c>
      <c r="J75" s="184">
        <f t="shared" ref="J75:L75" si="29">J73*J74</f>
        <v>0</v>
      </c>
      <c r="K75" s="184">
        <f t="shared" si="29"/>
        <v>0</v>
      </c>
      <c r="L75" s="184">
        <f t="shared" si="29"/>
        <v>0</v>
      </c>
      <c r="M75" s="184">
        <f>M73*M74</f>
        <v>17.587140858824103</v>
      </c>
      <c r="N75" s="184">
        <f t="shared" ref="N75:R75" si="30">N73*N74</f>
        <v>34.068992931463093</v>
      </c>
      <c r="O75" s="184">
        <f t="shared" si="30"/>
        <v>50.557726733040631</v>
      </c>
      <c r="P75" s="184">
        <f t="shared" si="30"/>
        <v>33.226998395510812</v>
      </c>
      <c r="Q75" s="184">
        <f t="shared" si="30"/>
        <v>21.484578688515409</v>
      </c>
      <c r="R75" s="184">
        <f t="shared" si="30"/>
        <v>-790.85987242725741</v>
      </c>
    </row>
    <row r="77" spans="1:16383" s="205" customFormat="1" x14ac:dyDescent="0.2">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f xml:space="preserve"> InpR!M$96</f>
        <v>5.2000000000000005E-2</v>
      </c>
      <c r="N77" s="205">
        <f xml:space="preserve"> InpR!N$96</f>
        <v>5.2000000000000005E-2</v>
      </c>
      <c r="O77" s="205">
        <f xml:space="preserve"> InpR!O$96</f>
        <v>5.2000000000000005E-2</v>
      </c>
      <c r="P77" s="205">
        <f xml:space="preserve"> InpR!P$96</f>
        <v>5.2000000000000005E-2</v>
      </c>
      <c r="Q77" s="205">
        <f xml:space="preserve"> InpR!Q$96</f>
        <v>5.2000000000000005E-2</v>
      </c>
      <c r="R77" s="205">
        <f xml:space="preserve"> InpR!R$96</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857.51697402244179</v>
      </c>
      <c r="N78" s="241">
        <f t="shared" si="31"/>
        <v>829.59870090744005</v>
      </c>
      <c r="O78" s="241">
        <f t="shared" si="31"/>
        <v>818.75697375928019</v>
      </c>
      <c r="P78" s="241">
        <f t="shared" si="31"/>
        <v>824.11033606672015</v>
      </c>
      <c r="Q78" s="241">
        <f t="shared" si="31"/>
        <v>812.75579307019495</v>
      </c>
      <c r="R78" s="241">
        <f t="shared" si="31"/>
        <v>790.85987242725741</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17.587140858824103</v>
      </c>
      <c r="N79" s="184">
        <f t="shared" si="32"/>
        <v>34.068992931463093</v>
      </c>
      <c r="O79" s="184">
        <f t="shared" si="32"/>
        <v>50.557726733040631</v>
      </c>
      <c r="P79" s="184">
        <f t="shared" si="32"/>
        <v>33.226998395510812</v>
      </c>
      <c r="Q79" s="184">
        <f t="shared" si="32"/>
        <v>21.484578688515409</v>
      </c>
      <c r="R79" s="184">
        <f t="shared" si="32"/>
        <v>-790.85987242725741</v>
      </c>
    </row>
    <row r="80" spans="1:16383" x14ac:dyDescent="0.2">
      <c r="E80" s="7" t="s">
        <v>372</v>
      </c>
      <c r="F80" s="244"/>
      <c r="G80" s="244" t="s">
        <v>235</v>
      </c>
      <c r="H80" s="244"/>
      <c r="I80" s="244"/>
      <c r="J80" s="184">
        <f t="shared" ref="J80:R80" si="33" xml:space="preserve"> (J78+J79) * J77</f>
        <v>0</v>
      </c>
      <c r="K80" s="184">
        <f t="shared" si="33"/>
        <v>0</v>
      </c>
      <c r="L80" s="184">
        <f t="shared" si="33"/>
        <v>0</v>
      </c>
      <c r="M80" s="184">
        <f t="shared" si="33"/>
        <v>45.505413973825831</v>
      </c>
      <c r="N80" s="184">
        <f xml:space="preserve"> (N78+N79) * N77</f>
        <v>44.910720079622969</v>
      </c>
      <c r="O80" s="184">
        <f t="shared" si="33"/>
        <v>45.204364425600687</v>
      </c>
      <c r="P80" s="184">
        <f t="shared" si="33"/>
        <v>44.581541392036016</v>
      </c>
      <c r="Q80" s="184">
        <f t="shared" si="33"/>
        <v>43.380499331452945</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InpR!$E$89</f>
        <v>RCV - CPI(H) + RPI wedge initial balance - nominal - WWN</v>
      </c>
      <c r="F82" s="250">
        <f>InpR!$F$89</f>
        <v>857.51697402244179</v>
      </c>
      <c r="G82" s="250" t="str">
        <f>InpR!$G$89</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373</v>
      </c>
      <c r="G85" s="162" t="s">
        <v>235</v>
      </c>
      <c r="J85" s="242">
        <f t="shared" ref="J85:R85" si="34" xml:space="preserve"> I88</f>
        <v>0</v>
      </c>
      <c r="K85" s="242">
        <f t="shared" si="34"/>
        <v>0</v>
      </c>
      <c r="L85" s="242">
        <f t="shared" si="34"/>
        <v>0</v>
      </c>
      <c r="M85" s="242">
        <f t="shared" si="34"/>
        <v>857.51697402244179</v>
      </c>
      <c r="N85" s="242">
        <f t="shared" si="34"/>
        <v>829.59870090744005</v>
      </c>
      <c r="O85" s="242">
        <f t="shared" si="34"/>
        <v>818.75697375928019</v>
      </c>
      <c r="P85" s="242">
        <f t="shared" si="34"/>
        <v>824.11033606672015</v>
      </c>
      <c r="Q85" s="242">
        <f t="shared" si="34"/>
        <v>812.75579307019495</v>
      </c>
      <c r="R85" s="242">
        <f t="shared" si="34"/>
        <v>790.85987242725741</v>
      </c>
    </row>
    <row r="86" spans="1:18" x14ac:dyDescent="0.2">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17.587140858824103</v>
      </c>
      <c r="N86" s="242">
        <f t="shared" si="35"/>
        <v>34.068992931463093</v>
      </c>
      <c r="O86" s="242">
        <f t="shared" si="35"/>
        <v>50.557726733040631</v>
      </c>
      <c r="P86" s="242">
        <f t="shared" si="35"/>
        <v>33.226998395510812</v>
      </c>
      <c r="Q86" s="242">
        <f t="shared" si="35"/>
        <v>21.484578688515409</v>
      </c>
      <c r="R86" s="242">
        <f t="shared" si="35"/>
        <v>-790.85987242725741</v>
      </c>
    </row>
    <row r="87" spans="1:18" x14ac:dyDescent="0.2">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45.505413973825831</v>
      </c>
      <c r="N87" s="242">
        <f t="shared" si="36"/>
        <v>44.910720079622969</v>
      </c>
      <c r="O87" s="242">
        <f t="shared" si="36"/>
        <v>45.204364425600687</v>
      </c>
      <c r="P87" s="242">
        <f t="shared" si="36"/>
        <v>44.581541392036016</v>
      </c>
      <c r="Q87" s="242">
        <f t="shared" si="36"/>
        <v>43.380499331452945</v>
      </c>
      <c r="R87" s="242">
        <f t="shared" si="36"/>
        <v>0</v>
      </c>
    </row>
    <row r="88" spans="1:18" s="138" customFormat="1" x14ac:dyDescent="0.2">
      <c r="A88" s="134"/>
      <c r="B88" s="135"/>
      <c r="C88" s="136"/>
      <c r="D88" s="137"/>
      <c r="E88" s="138" t="s">
        <v>374</v>
      </c>
      <c r="G88" s="163" t="s">
        <v>235</v>
      </c>
      <c r="J88" s="243">
        <f t="shared" ref="J88:R88" si="37" xml:space="preserve"> IF( J83 = 1, $F82, J85 + J86 - J87)</f>
        <v>0</v>
      </c>
      <c r="K88" s="243">
        <f t="shared" si="37"/>
        <v>0</v>
      </c>
      <c r="L88" s="243">
        <f t="shared" si="37"/>
        <v>857.51697402244179</v>
      </c>
      <c r="M88" s="243">
        <f t="shared" si="37"/>
        <v>829.59870090744005</v>
      </c>
      <c r="N88" s="243">
        <f t="shared" si="37"/>
        <v>818.75697375928019</v>
      </c>
      <c r="O88" s="243">
        <f t="shared" si="37"/>
        <v>824.11033606672015</v>
      </c>
      <c r="P88" s="243">
        <f t="shared" si="37"/>
        <v>812.75579307019495</v>
      </c>
      <c r="Q88" s="243">
        <f t="shared" si="37"/>
        <v>790.85987242725741</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857.51697402244179</v>
      </c>
      <c r="N90" s="185">
        <f t="shared" si="38"/>
        <v>829.59870090744005</v>
      </c>
      <c r="O90" s="185">
        <f t="shared" si="38"/>
        <v>818.75697375928019</v>
      </c>
      <c r="P90" s="185">
        <f t="shared" si="38"/>
        <v>824.11033606672015</v>
      </c>
      <c r="Q90" s="185">
        <f t="shared" si="38"/>
        <v>812.75579307019495</v>
      </c>
      <c r="R90" s="185">
        <f t="shared" si="38"/>
        <v>790.85987242725741</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17.587140858824103</v>
      </c>
      <c r="N91" s="242">
        <f t="shared" si="39"/>
        <v>34.068992931463093</v>
      </c>
      <c r="O91" s="242">
        <f t="shared" si="39"/>
        <v>50.557726733040631</v>
      </c>
      <c r="P91" s="242">
        <f t="shared" si="39"/>
        <v>33.226998395510812</v>
      </c>
      <c r="Q91" s="242">
        <f t="shared" si="39"/>
        <v>21.484578688515409</v>
      </c>
      <c r="R91" s="242">
        <f t="shared" si="39"/>
        <v>-790.85987242725741</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857.51697402244179</v>
      </c>
      <c r="M92" s="185">
        <f t="shared" si="40"/>
        <v>829.59870090744005</v>
      </c>
      <c r="N92" s="185">
        <f t="shared" si="40"/>
        <v>818.75697375928019</v>
      </c>
      <c r="O92" s="185">
        <f t="shared" si="40"/>
        <v>824.11033606672015</v>
      </c>
      <c r="P92" s="185">
        <f t="shared" si="40"/>
        <v>812.75579307019495</v>
      </c>
      <c r="Q92" s="185">
        <f t="shared" si="40"/>
        <v>790.85987242725741</v>
      </c>
      <c r="R92" s="185">
        <f t="shared" si="40"/>
        <v>0</v>
      </c>
    </row>
    <row r="93" spans="1:18" x14ac:dyDescent="0.2">
      <c r="A93" s="49"/>
      <c r="D93" s="57"/>
      <c r="E93" s="7" t="s">
        <v>375</v>
      </c>
      <c r="G93" s="92" t="s">
        <v>235</v>
      </c>
      <c r="H93" s="244"/>
      <c r="I93" s="244"/>
      <c r="J93" s="185">
        <f t="shared" ref="J93:K93" si="41" xml:space="preserve"> ( (J90+J91) + J92) / 2</f>
        <v>0</v>
      </c>
      <c r="K93" s="185">
        <f t="shared" si="41"/>
        <v>0</v>
      </c>
      <c r="L93" s="185">
        <f xml:space="preserve"> ( (L90+L91) + L92) / 2</f>
        <v>428.75848701122089</v>
      </c>
      <c r="M93" s="185">
        <f xml:space="preserve"> ( (M90+M91) + M92) / 2</f>
        <v>852.35140789435297</v>
      </c>
      <c r="N93" s="185">
        <f t="shared" ref="N93:P93" si="42" xml:space="preserve"> ( (N90+N91) + N92) / 2</f>
        <v>841.21233379909165</v>
      </c>
      <c r="O93" s="185">
        <f t="shared" si="42"/>
        <v>846.71251827952051</v>
      </c>
      <c r="P93" s="185">
        <f t="shared" si="42"/>
        <v>835.04656376621301</v>
      </c>
      <c r="Q93" s="185">
        <f xml:space="preserve"> ( (Q90+Q91) + Q92) / 2</f>
        <v>812.55012209298388</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376</v>
      </c>
    </row>
    <row r="96" spans="1:18" s="205" customFormat="1" x14ac:dyDescent="0.2">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1.920357193840716E-2</v>
      </c>
      <c r="N96" s="205">
        <f xml:space="preserve"> InpR!N$103</f>
        <v>1.920357193840716E-2</v>
      </c>
      <c r="O96" s="205">
        <f xml:space="preserve"> InpR!O$103</f>
        <v>1.920357193840716E-2</v>
      </c>
      <c r="P96" s="205">
        <f xml:space="preserve"> InpR!P$103</f>
        <v>1.920357193840716E-2</v>
      </c>
      <c r="Q96" s="205">
        <f xml:space="preserve"> InpR!Q$103</f>
        <v>1.920357193840716E-2</v>
      </c>
      <c r="R96" s="205">
        <f xml:space="preserve"> InpR!R$103</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428.75848701122089</v>
      </c>
      <c r="M98" s="184">
        <f t="shared" si="44"/>
        <v>852.35140789435297</v>
      </c>
      <c r="N98" s="184">
        <f t="shared" si="44"/>
        <v>841.21233379909165</v>
      </c>
      <c r="O98" s="184">
        <f t="shared" si="44"/>
        <v>846.71251827952051</v>
      </c>
      <c r="P98" s="184">
        <f t="shared" si="44"/>
        <v>835.04656376621301</v>
      </c>
      <c r="Q98" s="184">
        <f t="shared" si="44"/>
        <v>812.55012209298388</v>
      </c>
      <c r="R98" s="184">
        <f t="shared" si="44"/>
        <v>0</v>
      </c>
    </row>
    <row r="99" spans="1:26" x14ac:dyDescent="0.2">
      <c r="E99" s="7" t="s">
        <v>377</v>
      </c>
      <c r="F99" s="244"/>
      <c r="G99" s="184" t="s">
        <v>235</v>
      </c>
      <c r="H99" s="244"/>
      <c r="I99" s="244"/>
      <c r="J99" s="244">
        <f t="shared" ref="J99:K99" si="45">J96*J97*J98</f>
        <v>0</v>
      </c>
      <c r="K99" s="244">
        <f t="shared" si="45"/>
        <v>0</v>
      </c>
      <c r="L99" s="244">
        <f>L96*L97*L98</f>
        <v>0</v>
      </c>
      <c r="M99" s="244">
        <f>M96*M97*M98</f>
        <v>16.368191578301833</v>
      </c>
      <c r="N99" s="244">
        <f t="shared" ref="N99:R99" si="46">N96*N97*N98</f>
        <v>16.154281567586235</v>
      </c>
      <c r="O99" s="244">
        <f t="shared" si="46"/>
        <v>16.259904755930659</v>
      </c>
      <c r="P99" s="244">
        <f t="shared" si="46"/>
        <v>16.035876759204175</v>
      </c>
      <c r="Q99" s="244">
        <f t="shared" si="46"/>
        <v>15.603864723174137</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857.51697402244179</v>
      </c>
      <c r="M102" s="185">
        <f t="shared" si="47"/>
        <v>829.59870090744005</v>
      </c>
      <c r="N102" s="185">
        <f t="shared" si="47"/>
        <v>818.75697375928019</v>
      </c>
      <c r="O102" s="185">
        <f t="shared" si="47"/>
        <v>824.11033606672015</v>
      </c>
      <c r="P102" s="185">
        <f t="shared" si="47"/>
        <v>812.75579307019495</v>
      </c>
      <c r="Q102" s="185">
        <f t="shared" si="47"/>
        <v>790.85987242725741</v>
      </c>
      <c r="R102" s="185">
        <f t="shared" si="47"/>
        <v>0</v>
      </c>
    </row>
    <row r="103" spans="1:26" x14ac:dyDescent="0.2">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790.85987242725741</v>
      </c>
      <c r="R103" s="184">
        <f t="shared" si="48"/>
        <v>0</v>
      </c>
    </row>
    <row r="104" spans="1:26" x14ac:dyDescent="0.2">
      <c r="J104" s="91"/>
      <c r="K104" s="91"/>
      <c r="L104" s="91"/>
      <c r="M104" s="91"/>
      <c r="N104" s="91"/>
      <c r="O104" s="91"/>
      <c r="P104" s="91"/>
      <c r="Q104" s="91"/>
      <c r="R104" s="91"/>
    </row>
    <row r="105" spans="1:26" x14ac:dyDescent="0.2">
      <c r="B105" s="61" t="s">
        <v>379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45.505413973825831</v>
      </c>
      <c r="N106" s="184">
        <f t="shared" si="49"/>
        <v>44.910720079622969</v>
      </c>
      <c r="O106" s="184">
        <f t="shared" si="49"/>
        <v>45.204364425600687</v>
      </c>
      <c r="P106" s="184">
        <f t="shared" si="49"/>
        <v>44.581541392036016</v>
      </c>
      <c r="Q106" s="184">
        <f t="shared" si="49"/>
        <v>43.380499331452945</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16.368191578301833</v>
      </c>
      <c r="N107" s="184">
        <f t="shared" si="50"/>
        <v>16.154281567586235</v>
      </c>
      <c r="O107" s="184">
        <f t="shared" si="50"/>
        <v>16.259904755930659</v>
      </c>
      <c r="P107" s="184">
        <f t="shared" si="50"/>
        <v>16.035876759204175</v>
      </c>
      <c r="Q107" s="184">
        <f t="shared" si="50"/>
        <v>15.603864723174137</v>
      </c>
      <c r="R107" s="184">
        <f t="shared" si="50"/>
        <v>0</v>
      </c>
      <c r="S107" s="92"/>
      <c r="T107" s="92"/>
      <c r="U107" s="92"/>
      <c r="V107" s="92"/>
      <c r="W107" s="92"/>
      <c r="X107" s="92"/>
      <c r="Y107" s="92"/>
      <c r="Z107" s="92"/>
    </row>
    <row r="108" spans="1:26" x14ac:dyDescent="0.2">
      <c r="E108" s="7" t="s">
        <v>380</v>
      </c>
      <c r="F108" s="244"/>
      <c r="G108" s="184" t="str">
        <f t="shared" si="50"/>
        <v>£m</v>
      </c>
      <c r="H108" s="244">
        <f>SUM(J108:R108)</f>
        <v>304.0046585867355</v>
      </c>
      <c r="I108" s="244"/>
      <c r="J108" s="244">
        <f t="shared" ref="J108:R108" si="51">SUM(J106:J107)</f>
        <v>0</v>
      </c>
      <c r="K108" s="244">
        <f t="shared" si="51"/>
        <v>0</v>
      </c>
      <c r="L108" s="244">
        <f t="shared" si="51"/>
        <v>0</v>
      </c>
      <c r="M108" s="244">
        <f t="shared" si="51"/>
        <v>61.873605552127664</v>
      </c>
      <c r="N108" s="244">
        <f t="shared" si="51"/>
        <v>61.065001647209201</v>
      </c>
      <c r="O108" s="244">
        <f t="shared" si="51"/>
        <v>61.46426918153135</v>
      </c>
      <c r="P108" s="244">
        <f t="shared" si="51"/>
        <v>60.617418151240187</v>
      </c>
      <c r="Q108" s="244">
        <f t="shared" si="51"/>
        <v>58.984364054627079</v>
      </c>
      <c r="R108" s="244">
        <f t="shared" si="51"/>
        <v>0</v>
      </c>
    </row>
    <row r="110" spans="1:26" x14ac:dyDescent="0.2">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
      <c r="C112" s="110" t="s">
        <v>382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62.100890422620083</v>
      </c>
      <c r="N114" s="184">
        <f t="shared" si="52"/>
        <v>60.613517644428839</v>
      </c>
      <c r="O114" s="184">
        <f t="shared" si="52"/>
        <v>59.271867237501816</v>
      </c>
      <c r="P114" s="184">
        <f t="shared" si="52"/>
        <v>57.987801505668614</v>
      </c>
      <c r="Q114" s="184">
        <f t="shared" si="52"/>
        <v>56.731553773849797</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304.0046585867355</v>
      </c>
      <c r="I115" s="184">
        <f t="shared" si="53"/>
        <v>0</v>
      </c>
      <c r="J115" s="184">
        <f t="shared" si="53"/>
        <v>0</v>
      </c>
      <c r="K115" s="184">
        <f t="shared" si="53"/>
        <v>0</v>
      </c>
      <c r="L115" s="184">
        <f t="shared" si="53"/>
        <v>0</v>
      </c>
      <c r="M115" s="184">
        <f t="shared" si="53"/>
        <v>61.873605552127664</v>
      </c>
      <c r="N115" s="184">
        <f t="shared" si="53"/>
        <v>61.065001647209201</v>
      </c>
      <c r="O115" s="184">
        <f t="shared" si="53"/>
        <v>61.46426918153135</v>
      </c>
      <c r="P115" s="184">
        <f t="shared" si="53"/>
        <v>60.617418151240187</v>
      </c>
      <c r="Q115" s="184">
        <f t="shared" si="53"/>
        <v>58.984364054627079</v>
      </c>
      <c r="R115" s="184">
        <f t="shared" si="53"/>
        <v>0</v>
      </c>
    </row>
    <row r="116" spans="1:26" s="184" customFormat="1" x14ac:dyDescent="0.2">
      <c r="A116" s="180"/>
      <c r="B116" s="181"/>
      <c r="C116" s="182"/>
      <c r="D116" s="183"/>
      <c r="E116" s="7" t="s">
        <v>383</v>
      </c>
      <c r="G116" s="184" t="str">
        <f t="shared" ref="G116" si="54" xml:space="preserve"> G$99</f>
        <v>£m</v>
      </c>
      <c r="H116" s="244">
        <f>SUM(J116:R116)</f>
        <v>7.2990280026663328</v>
      </c>
      <c r="M116" s="184">
        <f>M115-M114</f>
        <v>-0.22728487049241863</v>
      </c>
      <c r="N116" s="184">
        <f t="shared" ref="N116:Q116" si="55">N115-N114</f>
        <v>0.45148400278036149</v>
      </c>
      <c r="O116" s="184">
        <f t="shared" si="55"/>
        <v>2.1924019440295339</v>
      </c>
      <c r="P116" s="184">
        <f t="shared" si="55"/>
        <v>2.6296166455715735</v>
      </c>
      <c r="Q116" s="184">
        <f t="shared" si="55"/>
        <v>2.2528102807772825</v>
      </c>
      <c r="S116" s="185"/>
      <c r="T116" s="185"/>
      <c r="U116" s="185"/>
      <c r="V116" s="185"/>
      <c r="W116" s="185"/>
      <c r="X116" s="185"/>
      <c r="Y116" s="185"/>
      <c r="Z116" s="185"/>
    </row>
    <row r="118" spans="1:26" x14ac:dyDescent="0.2">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
      <c r="C120" s="110" t="s">
        <v>385</v>
      </c>
    </row>
    <row r="121" spans="1:26" x14ac:dyDescent="0.2">
      <c r="C121" s="110" t="s">
        <v>386</v>
      </c>
    </row>
    <row r="122" spans="1:26" x14ac:dyDescent="0.2">
      <c r="C122" s="110" t="s">
        <v>387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0</v>
      </c>
    </row>
    <row r="126" spans="1:26" s="172" customFormat="1" x14ac:dyDescent="0.2">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-1</v>
      </c>
      <c r="S126" s="177"/>
      <c r="T126" s="177"/>
      <c r="U126" s="177"/>
      <c r="V126" s="177"/>
      <c r="W126" s="177"/>
      <c r="X126" s="177"/>
      <c r="Y126" s="177"/>
      <c r="Z126" s="177"/>
    </row>
    <row r="128" spans="1:26" s="161" customFormat="1" x14ac:dyDescent="0.2">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857.51697402244179</v>
      </c>
      <c r="N128" s="245">
        <f t="shared" si="58"/>
        <v>832.64612689165187</v>
      </c>
      <c r="O128" s="245">
        <f t="shared" si="58"/>
        <v>812.70349523891934</v>
      </c>
      <c r="P128" s="245">
        <f t="shared" si="58"/>
        <v>794.71470301117563</v>
      </c>
      <c r="Q128" s="245">
        <f t="shared" si="58"/>
        <v>777.49800368514195</v>
      </c>
      <c r="R128" s="245">
        <f t="shared" si="58"/>
        <v>760.65428693330693</v>
      </c>
    </row>
    <row r="129" spans="1:16383" x14ac:dyDescent="0.2">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-1</v>
      </c>
    </row>
    <row r="130" spans="1:16383" x14ac:dyDescent="0.2">
      <c r="C130" s="278"/>
      <c r="E130" s="7" t="s">
        <v>389</v>
      </c>
      <c r="G130" s="91" t="s">
        <v>235</v>
      </c>
      <c r="J130" s="246">
        <f>J128*J129</f>
        <v>0</v>
      </c>
      <c r="K130" s="246">
        <f t="shared" ref="K130:L130" si="60">K128*K129</f>
        <v>0</v>
      </c>
      <c r="L130" s="246">
        <f t="shared" si="60"/>
        <v>0</v>
      </c>
      <c r="M130" s="246">
        <f>M128*M129</f>
        <v>20.801725230355565</v>
      </c>
      <c r="N130" s="246">
        <f t="shared" ref="N130:R130" si="61">N128*N129</f>
        <v>24.636041081891776</v>
      </c>
      <c r="O130" s="246">
        <f t="shared" si="61"/>
        <v>25.603153507046546</v>
      </c>
      <c r="P130" s="246">
        <f t="shared" si="61"/>
        <v>25.430870496358171</v>
      </c>
      <c r="Q130" s="246">
        <f t="shared" si="61"/>
        <v>24.879936117924391</v>
      </c>
      <c r="R130" s="246">
        <f t="shared" si="61"/>
        <v>-760.65428693330693</v>
      </c>
    </row>
    <row r="132" spans="1:16383" s="205" customFormat="1" x14ac:dyDescent="0.2">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f xml:space="preserve"> InpR!M$96</f>
        <v>5.2000000000000005E-2</v>
      </c>
      <c r="N132" s="205">
        <f xml:space="preserve"> InpR!N$96</f>
        <v>5.2000000000000005E-2</v>
      </c>
      <c r="O132" s="205">
        <f xml:space="preserve"> InpR!O$96</f>
        <v>5.2000000000000005E-2</v>
      </c>
      <c r="P132" s="205">
        <f xml:space="preserve"> InpR!P$96</f>
        <v>5.2000000000000005E-2</v>
      </c>
      <c r="Q132" s="205">
        <f xml:space="preserve"> InpR!Q$96</f>
        <v>5.2000000000000005E-2</v>
      </c>
      <c r="R132" s="205">
        <f xml:space="preserve"> InpR!R$96</f>
        <v>0</v>
      </c>
    </row>
    <row r="133" spans="1:16383" s="161" customFormat="1" x14ac:dyDescent="0.2">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857.51697402244179</v>
      </c>
      <c r="N133" s="245">
        <f t="shared" si="62"/>
        <v>832.64612689165187</v>
      </c>
      <c r="O133" s="245">
        <f t="shared" si="62"/>
        <v>812.70349523891934</v>
      </c>
      <c r="P133" s="245">
        <f t="shared" si="62"/>
        <v>794.71470301117563</v>
      </c>
      <c r="Q133" s="245">
        <f t="shared" si="62"/>
        <v>777.49800368514195</v>
      </c>
      <c r="R133" s="245">
        <f t="shared" si="62"/>
        <v>760.65428693330693</v>
      </c>
    </row>
    <row r="134" spans="1:16383" s="91" customFormat="1" x14ac:dyDescent="0.2">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20.801725230355565</v>
      </c>
      <c r="N134" s="246">
        <f t="shared" si="63"/>
        <v>24.636041081891776</v>
      </c>
      <c r="O134" s="246">
        <f t="shared" si="63"/>
        <v>25.603153507046546</v>
      </c>
      <c r="P134" s="246">
        <f t="shared" si="63"/>
        <v>25.430870496358171</v>
      </c>
      <c r="Q134" s="246">
        <f t="shared" si="63"/>
        <v>24.879936117924391</v>
      </c>
      <c r="R134" s="246">
        <f t="shared" si="63"/>
        <v>-760.65428693330693</v>
      </c>
      <c r="S134" s="92"/>
      <c r="T134" s="92"/>
      <c r="U134" s="92"/>
      <c r="V134" s="92"/>
      <c r="W134" s="92"/>
      <c r="X134" s="92"/>
      <c r="Y134" s="92"/>
      <c r="Z134" s="92"/>
    </row>
    <row r="135" spans="1:16383" x14ac:dyDescent="0.2">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45.67257236114547</v>
      </c>
      <c r="N135" s="246">
        <f t="shared" si="64"/>
        <v>44.578672734624277</v>
      </c>
      <c r="O135" s="246">
        <f t="shared" si="64"/>
        <v>43.591945734790229</v>
      </c>
      <c r="P135" s="246">
        <f t="shared" si="64"/>
        <v>42.647569822391759</v>
      </c>
      <c r="Q135" s="246">
        <f t="shared" si="64"/>
        <v>41.723652869759455</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InpR!$E$89</f>
        <v>RCV - CPI(H) + RPI wedge initial balance - nominal - WWN</v>
      </c>
      <c r="F137" s="250">
        <f>InpR!$F$89</f>
        <v>857.51697402244179</v>
      </c>
      <c r="G137" s="250" t="str">
        <f>InpR!$G$89</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80"/>
      <c r="D140" s="56"/>
      <c r="E140" s="7" t="s">
        <v>391</v>
      </c>
      <c r="G140" s="162" t="s">
        <v>235</v>
      </c>
      <c r="J140" s="242">
        <f t="shared" ref="J140:R140" si="65" xml:space="preserve"> I143</f>
        <v>0</v>
      </c>
      <c r="K140" s="242">
        <f t="shared" si="65"/>
        <v>0</v>
      </c>
      <c r="L140" s="242">
        <f t="shared" si="65"/>
        <v>0</v>
      </c>
      <c r="M140" s="242">
        <f t="shared" si="65"/>
        <v>857.51697402244179</v>
      </c>
      <c r="N140" s="242">
        <f t="shared" si="65"/>
        <v>832.64612689165187</v>
      </c>
      <c r="O140" s="242">
        <f t="shared" si="65"/>
        <v>812.70349523891934</v>
      </c>
      <c r="P140" s="242">
        <f t="shared" si="65"/>
        <v>794.71470301117563</v>
      </c>
      <c r="Q140" s="242">
        <f t="shared" si="65"/>
        <v>777.49800368514195</v>
      </c>
      <c r="R140" s="242">
        <f t="shared" si="65"/>
        <v>760.65428693330693</v>
      </c>
    </row>
    <row r="141" spans="1:16383" x14ac:dyDescent="0.2">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20.801725230355565</v>
      </c>
      <c r="N141" s="242">
        <f t="shared" si="66"/>
        <v>24.636041081891776</v>
      </c>
      <c r="O141" s="242">
        <f t="shared" si="66"/>
        <v>25.603153507046546</v>
      </c>
      <c r="P141" s="242">
        <f t="shared" si="66"/>
        <v>25.430870496358171</v>
      </c>
      <c r="Q141" s="242">
        <f t="shared" si="66"/>
        <v>24.879936117924391</v>
      </c>
      <c r="R141" s="242">
        <f t="shared" si="66"/>
        <v>-760.65428693330693</v>
      </c>
    </row>
    <row r="142" spans="1:16383" x14ac:dyDescent="0.2">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45.67257236114547</v>
      </c>
      <c r="N142" s="242">
        <f t="shared" si="67"/>
        <v>44.578672734624277</v>
      </c>
      <c r="O142" s="242">
        <f t="shared" si="67"/>
        <v>43.591945734790229</v>
      </c>
      <c r="P142" s="242">
        <f t="shared" si="67"/>
        <v>42.647569822391759</v>
      </c>
      <c r="Q142" s="242">
        <f t="shared" si="67"/>
        <v>41.723652869759455</v>
      </c>
      <c r="R142" s="242">
        <f t="shared" si="67"/>
        <v>0</v>
      </c>
    </row>
    <row r="143" spans="1:16383" s="138" customFormat="1" x14ac:dyDescent="0.2">
      <c r="A143" s="134"/>
      <c r="B143" s="135"/>
      <c r="C143" s="279"/>
      <c r="D143" s="137"/>
      <c r="E143" s="138" t="s">
        <v>392</v>
      </c>
      <c r="G143" s="163" t="s">
        <v>235</v>
      </c>
      <c r="J143" s="243">
        <f t="shared" ref="J143:R143" si="68" xml:space="preserve"> IF( J138 = 1, $F137, J140 + J141 - J142)</f>
        <v>0</v>
      </c>
      <c r="K143" s="243">
        <f t="shared" si="68"/>
        <v>0</v>
      </c>
      <c r="L143" s="243">
        <f t="shared" si="68"/>
        <v>857.51697402244179</v>
      </c>
      <c r="M143" s="243">
        <f t="shared" si="68"/>
        <v>832.64612689165187</v>
      </c>
      <c r="N143" s="243">
        <f t="shared" si="68"/>
        <v>812.70349523891934</v>
      </c>
      <c r="O143" s="243">
        <f t="shared" si="68"/>
        <v>794.71470301117563</v>
      </c>
      <c r="P143" s="243">
        <f t="shared" si="68"/>
        <v>777.49800368514195</v>
      </c>
      <c r="Q143" s="243">
        <f t="shared" si="68"/>
        <v>760.65428693330693</v>
      </c>
      <c r="R143" s="243">
        <f t="shared" si="68"/>
        <v>0</v>
      </c>
    </row>
    <row r="145" spans="1:26" s="92" customFormat="1" x14ac:dyDescent="0.2">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857.51697402244179</v>
      </c>
      <c r="N145" s="185">
        <f t="shared" si="69"/>
        <v>832.64612689165187</v>
      </c>
      <c r="O145" s="185">
        <f t="shared" si="69"/>
        <v>812.70349523891934</v>
      </c>
      <c r="P145" s="185">
        <f t="shared" si="69"/>
        <v>794.71470301117563</v>
      </c>
      <c r="Q145" s="185">
        <f t="shared" si="69"/>
        <v>777.49800368514195</v>
      </c>
      <c r="R145" s="185">
        <f t="shared" si="69"/>
        <v>760.65428693330693</v>
      </c>
    </row>
    <row r="146" spans="1:26" s="91" customFormat="1" x14ac:dyDescent="0.2">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20.801725230355565</v>
      </c>
      <c r="N146" s="184">
        <f t="shared" si="70"/>
        <v>24.636041081891776</v>
      </c>
      <c r="O146" s="184">
        <f t="shared" si="70"/>
        <v>25.603153507046546</v>
      </c>
      <c r="P146" s="184">
        <f t="shared" si="70"/>
        <v>25.430870496358171</v>
      </c>
      <c r="Q146" s="184">
        <f t="shared" si="70"/>
        <v>24.879936117924391</v>
      </c>
      <c r="R146" s="184">
        <f t="shared" si="70"/>
        <v>-760.65428693330693</v>
      </c>
      <c r="S146" s="92"/>
      <c r="T146" s="92"/>
      <c r="U146" s="92"/>
      <c r="V146" s="92"/>
      <c r="W146" s="92"/>
      <c r="X146" s="92"/>
      <c r="Y146" s="92"/>
      <c r="Z146" s="92"/>
    </row>
    <row r="147" spans="1:26" s="92" customFormat="1" x14ac:dyDescent="0.2">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857.51697402244179</v>
      </c>
      <c r="M147" s="185">
        <f t="shared" si="71"/>
        <v>832.64612689165187</v>
      </c>
      <c r="N147" s="185">
        <f t="shared" si="71"/>
        <v>812.70349523891934</v>
      </c>
      <c r="O147" s="185">
        <f t="shared" si="71"/>
        <v>794.71470301117563</v>
      </c>
      <c r="P147" s="185">
        <f t="shared" si="71"/>
        <v>777.49800368514195</v>
      </c>
      <c r="Q147" s="185">
        <f t="shared" si="71"/>
        <v>760.65428693330693</v>
      </c>
      <c r="R147" s="185">
        <f t="shared" si="71"/>
        <v>0</v>
      </c>
    </row>
    <row r="148" spans="1:26" x14ac:dyDescent="0.2">
      <c r="A148" s="49"/>
      <c r="C148" s="278"/>
      <c r="D148" s="57"/>
      <c r="E148" s="7" t="s">
        <v>393</v>
      </c>
      <c r="F148" s="244"/>
      <c r="G148" s="185" t="s">
        <v>235</v>
      </c>
      <c r="H148" s="244"/>
      <c r="I148" s="244"/>
      <c r="J148" s="185">
        <f t="shared" ref="J148:L148" si="72" xml:space="preserve"> ( (J145+J146) + J147) / 2</f>
        <v>0</v>
      </c>
      <c r="K148" s="185">
        <f t="shared" si="72"/>
        <v>0</v>
      </c>
      <c r="L148" s="185">
        <f t="shared" si="72"/>
        <v>428.75848701122089</v>
      </c>
      <c r="M148" s="185">
        <f xml:space="preserve"> ( (M145+M146) + M147) / 2</f>
        <v>855.48241307222463</v>
      </c>
      <c r="N148" s="185">
        <f t="shared" ref="N148:R148" si="73" xml:space="preserve"> ( (N145+N146) + N147) / 2</f>
        <v>834.99283160623145</v>
      </c>
      <c r="O148" s="185">
        <f t="shared" si="73"/>
        <v>816.51067587857074</v>
      </c>
      <c r="P148" s="185">
        <f t="shared" si="73"/>
        <v>798.82178859633791</v>
      </c>
      <c r="Q148" s="185">
        <f t="shared" si="73"/>
        <v>781.51611336818667</v>
      </c>
      <c r="R148" s="185">
        <f t="shared" si="73"/>
        <v>0</v>
      </c>
    </row>
    <row r="150" spans="1:26" s="205" customFormat="1" x14ac:dyDescent="0.2">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1.920357193840716E-2</v>
      </c>
      <c r="N150" s="205">
        <f xml:space="preserve"> InpR!N$103</f>
        <v>1.920357193840716E-2</v>
      </c>
      <c r="O150" s="205">
        <f xml:space="preserve"> InpR!O$103</f>
        <v>1.920357193840716E-2</v>
      </c>
      <c r="P150" s="205">
        <f xml:space="preserve"> InpR!P$103</f>
        <v>1.920357193840716E-2</v>
      </c>
      <c r="Q150" s="205">
        <f xml:space="preserve"> InpR!Q$103</f>
        <v>1.920357193840716E-2</v>
      </c>
      <c r="R150" s="205">
        <f xml:space="preserve"> InpR!R$103</f>
        <v>0</v>
      </c>
    </row>
    <row r="151" spans="1:26"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428.75848701122089</v>
      </c>
      <c r="M152" s="246">
        <f t="shared" si="74"/>
        <v>855.48241307222463</v>
      </c>
      <c r="N152" s="246">
        <f t="shared" si="74"/>
        <v>834.99283160623145</v>
      </c>
      <c r="O152" s="246">
        <f t="shared" si="74"/>
        <v>816.51067587857074</v>
      </c>
      <c r="P152" s="246">
        <f t="shared" si="74"/>
        <v>798.82178859633791</v>
      </c>
      <c r="Q152" s="246">
        <f t="shared" si="74"/>
        <v>781.51611336818667</v>
      </c>
      <c r="R152" s="246">
        <f t="shared" si="74"/>
        <v>0</v>
      </c>
    </row>
    <row r="153" spans="1:26" x14ac:dyDescent="0.2">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16.428318061474616</v>
      </c>
      <c r="N153" s="246">
        <f t="shared" si="76"/>
        <v>16.034844909804562</v>
      </c>
      <c r="O153" s="246">
        <f t="shared" si="76"/>
        <v>15.679921502711585</v>
      </c>
      <c r="P153" s="246">
        <f t="shared" si="76"/>
        <v>15.340231683276851</v>
      </c>
      <c r="Q153" s="246">
        <f t="shared" si="76"/>
        <v>15.007900904090338</v>
      </c>
      <c r="R153" s="246">
        <f t="shared" si="76"/>
        <v>0</v>
      </c>
    </row>
    <row r="154" spans="1:26" x14ac:dyDescent="0.2">
      <c r="M154" s="187"/>
      <c r="N154" s="187"/>
      <c r="O154" s="187"/>
      <c r="P154" s="187"/>
      <c r="Q154" s="187"/>
    </row>
    <row r="155" spans="1:26" s="91" customFormat="1" x14ac:dyDescent="0.2">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45.67257236114547</v>
      </c>
      <c r="N155" s="184">
        <f t="shared" si="77"/>
        <v>44.578672734624277</v>
      </c>
      <c r="O155" s="184">
        <f t="shared" si="77"/>
        <v>43.591945734790229</v>
      </c>
      <c r="P155" s="184">
        <f t="shared" si="77"/>
        <v>42.647569822391759</v>
      </c>
      <c r="Q155" s="184">
        <f t="shared" si="77"/>
        <v>41.723652869759455</v>
      </c>
      <c r="R155" s="184">
        <f t="shared" si="77"/>
        <v>0</v>
      </c>
      <c r="S155" s="92"/>
      <c r="T155" s="92"/>
      <c r="U155" s="92"/>
      <c r="V155" s="92"/>
      <c r="W155" s="92"/>
      <c r="X155" s="92"/>
      <c r="Y155" s="92"/>
      <c r="Z155" s="92"/>
    </row>
    <row r="156" spans="1:26" x14ac:dyDescent="0.2">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16.428318061474616</v>
      </c>
      <c r="N156" s="184">
        <f t="shared" si="78"/>
        <v>16.034844909804562</v>
      </c>
      <c r="O156" s="184">
        <f t="shared" si="78"/>
        <v>15.679921502711585</v>
      </c>
      <c r="P156" s="184">
        <f t="shared" si="78"/>
        <v>15.340231683276851</v>
      </c>
      <c r="Q156" s="184">
        <f t="shared" si="78"/>
        <v>15.007900904090338</v>
      </c>
      <c r="R156" s="184">
        <f t="shared" si="78"/>
        <v>0</v>
      </c>
    </row>
    <row r="157" spans="1:26" x14ac:dyDescent="0.2">
      <c r="C157" s="278"/>
      <c r="E157" s="7" t="s">
        <v>395</v>
      </c>
      <c r="F157" s="244"/>
      <c r="G157" s="184" t="str">
        <f t="shared" ref="G157" si="79">G$155</f>
        <v>£m</v>
      </c>
      <c r="H157" s="244">
        <f>SUM(J157:R157)</f>
        <v>296.70563058406913</v>
      </c>
      <c r="I157" s="244"/>
      <c r="J157" s="244">
        <f t="shared" ref="J157:R157" si="80">SUM(J155:J156)</f>
        <v>0</v>
      </c>
      <c r="K157" s="244">
        <f t="shared" si="80"/>
        <v>0</v>
      </c>
      <c r="L157" s="244">
        <f>SUM(L155:L156)</f>
        <v>0</v>
      </c>
      <c r="M157" s="244">
        <f t="shared" si="80"/>
        <v>62.100890422620083</v>
      </c>
      <c r="N157" s="244">
        <f t="shared" si="80"/>
        <v>60.613517644428839</v>
      </c>
      <c r="O157" s="244">
        <f t="shared" si="80"/>
        <v>59.271867237501816</v>
      </c>
      <c r="P157" s="244">
        <f t="shared" si="80"/>
        <v>57.987801505668614</v>
      </c>
      <c r="Q157" s="244">
        <f t="shared" si="80"/>
        <v>56.731553773849797</v>
      </c>
      <c r="R157" s="244">
        <f t="shared" si="80"/>
        <v>0</v>
      </c>
    </row>
    <row r="159" spans="1:26" x14ac:dyDescent="0.2">
      <c r="E159" s="7" t="str">
        <f t="shared" ref="E159:R159" si="81" xml:space="preserve"> E$157</f>
        <v>Total True up Nominal revenue to company</v>
      </c>
      <c r="F159" s="184">
        <f t="shared" si="81"/>
        <v>0</v>
      </c>
      <c r="G159" s="184" t="str">
        <f t="shared" si="81"/>
        <v>£m</v>
      </c>
      <c r="H159" s="184">
        <f t="shared" si="81"/>
        <v>296.70563058406913</v>
      </c>
      <c r="I159" s="184">
        <f t="shared" si="81"/>
        <v>0</v>
      </c>
      <c r="J159" s="184">
        <f t="shared" si="81"/>
        <v>0</v>
      </c>
      <c r="K159" s="184">
        <f t="shared" si="81"/>
        <v>0</v>
      </c>
      <c r="L159" s="184">
        <f t="shared" si="81"/>
        <v>0</v>
      </c>
      <c r="M159" s="184">
        <f t="shared" si="81"/>
        <v>62.100890422620083</v>
      </c>
      <c r="N159" s="184">
        <f t="shared" si="81"/>
        <v>60.613517644428839</v>
      </c>
      <c r="O159" s="184">
        <f t="shared" si="81"/>
        <v>59.271867237501816</v>
      </c>
      <c r="P159" s="184">
        <f t="shared" si="81"/>
        <v>57.987801505668614</v>
      </c>
      <c r="Q159" s="184">
        <f t="shared" si="81"/>
        <v>56.731553773849797</v>
      </c>
      <c r="R159" s="184">
        <f t="shared" si="81"/>
        <v>0</v>
      </c>
    </row>
    <row r="160" spans="1:26" x14ac:dyDescent="0.2">
      <c r="E160" s="7" t="str">
        <f t="shared" ref="E160:R160" si="82" xml:space="preserve"> E$108</f>
        <v>Total nominal revenue company should have received</v>
      </c>
      <c r="F160" s="184">
        <f t="shared" si="82"/>
        <v>0</v>
      </c>
      <c r="G160" s="184" t="str">
        <f t="shared" si="82"/>
        <v>£m</v>
      </c>
      <c r="H160" s="184">
        <f t="shared" si="82"/>
        <v>304.0046585867355</v>
      </c>
      <c r="I160" s="184">
        <f t="shared" si="82"/>
        <v>0</v>
      </c>
      <c r="J160" s="184">
        <f t="shared" si="82"/>
        <v>0</v>
      </c>
      <c r="K160" s="184">
        <f t="shared" si="82"/>
        <v>0</v>
      </c>
      <c r="L160" s="184">
        <f t="shared" si="82"/>
        <v>0</v>
      </c>
      <c r="M160" s="184">
        <f t="shared" si="82"/>
        <v>61.873605552127664</v>
      </c>
      <c r="N160" s="184">
        <f t="shared" si="82"/>
        <v>61.065001647209201</v>
      </c>
      <c r="O160" s="184">
        <f t="shared" si="82"/>
        <v>61.46426918153135</v>
      </c>
      <c r="P160" s="184">
        <f t="shared" si="82"/>
        <v>60.617418151240187</v>
      </c>
      <c r="Q160" s="184">
        <f t="shared" si="82"/>
        <v>58.984364054627079</v>
      </c>
      <c r="R160" s="184">
        <f t="shared" si="82"/>
        <v>0</v>
      </c>
    </row>
    <row r="161" spans="1:16383" s="185" customFormat="1" x14ac:dyDescent="0.2">
      <c r="A161" s="252"/>
      <c r="B161" s="181"/>
      <c r="C161" s="182"/>
      <c r="D161" s="253"/>
      <c r="E161" s="7" t="s">
        <v>396</v>
      </c>
      <c r="G161" s="185" t="str">
        <f t="shared" ref="G161" si="83" xml:space="preserve"> G$153</f>
        <v>£m</v>
      </c>
      <c r="H161" s="185">
        <f xml:space="preserve"> SUM(J161:R161)</f>
        <v>7.2990280026663328</v>
      </c>
      <c r="J161" s="185">
        <f t="shared" ref="J161:K161" si="84">J160-J159</f>
        <v>0</v>
      </c>
      <c r="K161" s="185">
        <f t="shared" si="84"/>
        <v>0</v>
      </c>
      <c r="L161" s="185">
        <f>L160-L159</f>
        <v>0</v>
      </c>
      <c r="M161" s="185">
        <f>M160-M159</f>
        <v>-0.22728487049241863</v>
      </c>
      <c r="N161" s="185">
        <f t="shared" ref="N161:R161" si="85">N160-N159</f>
        <v>0.45148400278036149</v>
      </c>
      <c r="O161" s="185">
        <f t="shared" si="85"/>
        <v>2.1924019440295339</v>
      </c>
      <c r="P161" s="185">
        <f t="shared" si="85"/>
        <v>2.6296166455715735</v>
      </c>
      <c r="Q161" s="185">
        <f t="shared" si="85"/>
        <v>2.2528102807772825</v>
      </c>
      <c r="R161" s="185">
        <f t="shared" si="85"/>
        <v>0</v>
      </c>
    </row>
    <row r="163" spans="1:16383" s="91" customFormat="1" x14ac:dyDescent="0.2">
      <c r="A163" s="170"/>
      <c r="B163" s="165"/>
      <c r="C163" s="166"/>
      <c r="D163" s="171"/>
      <c r="E163" s="7" t="str">
        <f t="shared" ref="E163:R163" si="86" xml:space="preserve"> E$161</f>
        <v>Value of True up nominal</v>
      </c>
      <c r="F163" s="248">
        <f t="shared" si="86"/>
        <v>0</v>
      </c>
      <c r="G163" s="248" t="str">
        <f t="shared" si="86"/>
        <v>£m</v>
      </c>
      <c r="H163" s="248">
        <f t="shared" si="86"/>
        <v>7.2990280026663328</v>
      </c>
      <c r="I163" s="248">
        <f t="shared" si="86"/>
        <v>0</v>
      </c>
      <c r="J163" s="248">
        <f t="shared" si="86"/>
        <v>0</v>
      </c>
      <c r="K163" s="248">
        <f t="shared" si="86"/>
        <v>0</v>
      </c>
      <c r="L163" s="248">
        <f t="shared" si="86"/>
        <v>0</v>
      </c>
      <c r="M163" s="248">
        <f t="shared" si="86"/>
        <v>-0.22728487049241863</v>
      </c>
      <c r="N163" s="248">
        <f t="shared" si="86"/>
        <v>0.45148400278036149</v>
      </c>
      <c r="O163" s="248">
        <f t="shared" si="86"/>
        <v>2.1924019440295339</v>
      </c>
      <c r="P163" s="248">
        <f t="shared" si="86"/>
        <v>2.6296166455715735</v>
      </c>
      <c r="Q163" s="248">
        <f t="shared" si="86"/>
        <v>2.2528102807772825</v>
      </c>
      <c r="R163" s="248">
        <f t="shared" si="86"/>
        <v>0</v>
      </c>
      <c r="S163" s="92"/>
      <c r="T163" s="92"/>
      <c r="U163" s="92"/>
      <c r="V163" s="92"/>
      <c r="W163" s="92"/>
      <c r="X163" s="92"/>
      <c r="Y163" s="92"/>
      <c r="Z163" s="92"/>
    </row>
    <row r="164" spans="1:16383" s="91" customFormat="1" x14ac:dyDescent="0.2">
      <c r="A164" s="170"/>
      <c r="B164" s="165"/>
      <c r="C164" s="166"/>
      <c r="D164" s="171"/>
      <c r="E164" s="7" t="str">
        <f t="shared" ref="E164:R164" si="87" xml:space="preserve"> E$116</f>
        <v>Difference in nominal revenue</v>
      </c>
      <c r="F164" s="248">
        <f t="shared" si="87"/>
        <v>0</v>
      </c>
      <c r="G164" s="248" t="str">
        <f t="shared" si="87"/>
        <v>£m</v>
      </c>
      <c r="H164" s="248">
        <f t="shared" si="87"/>
        <v>7.2990280026663328</v>
      </c>
      <c r="I164" s="248">
        <f t="shared" si="87"/>
        <v>0</v>
      </c>
      <c r="J164" s="248">
        <f t="shared" si="87"/>
        <v>0</v>
      </c>
      <c r="K164" s="248">
        <f t="shared" si="87"/>
        <v>0</v>
      </c>
      <c r="L164" s="248">
        <f t="shared" si="87"/>
        <v>0</v>
      </c>
      <c r="M164" s="248">
        <f t="shared" si="87"/>
        <v>-0.22728487049241863</v>
      </c>
      <c r="N164" s="248">
        <f t="shared" si="87"/>
        <v>0.45148400278036149</v>
      </c>
      <c r="O164" s="248">
        <f t="shared" si="87"/>
        <v>2.1924019440295339</v>
      </c>
      <c r="P164" s="248">
        <f t="shared" si="87"/>
        <v>2.6296166455715735</v>
      </c>
      <c r="Q164" s="248">
        <f t="shared" si="87"/>
        <v>2.2528102807772825</v>
      </c>
      <c r="R164" s="248">
        <f t="shared" si="87"/>
        <v>0</v>
      </c>
      <c r="S164" s="92"/>
      <c r="T164" s="92"/>
      <c r="U164" s="92"/>
      <c r="V164" s="92"/>
      <c r="W164" s="92"/>
      <c r="X164" s="92"/>
      <c r="Y164" s="92"/>
      <c r="Z164" s="92"/>
    </row>
    <row r="165" spans="1:16383" s="211" customFormat="1" x14ac:dyDescent="0.2">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
      <c r="A167" s="50" t="s">
        <v>398</v>
      </c>
      <c r="B167" s="50"/>
    </row>
    <row r="169" spans="1:16383" x14ac:dyDescent="0.2">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428.75848701122089</v>
      </c>
      <c r="M169" s="185">
        <f t="shared" si="90"/>
        <v>855.48241307222463</v>
      </c>
      <c r="N169" s="184">
        <f t="shared" si="90"/>
        <v>834.99283160623145</v>
      </c>
      <c r="O169" s="184">
        <f t="shared" si="90"/>
        <v>816.51067587857074</v>
      </c>
      <c r="P169" s="184">
        <f t="shared" si="90"/>
        <v>798.82178859633791</v>
      </c>
      <c r="Q169" s="184">
        <f t="shared" si="90"/>
        <v>781.51611336818667</v>
      </c>
      <c r="R169" s="184">
        <f t="shared" si="90"/>
        <v>0</v>
      </c>
    </row>
    <row r="170" spans="1:16383" x14ac:dyDescent="0.2">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428.75848701122089</v>
      </c>
      <c r="M170" s="185">
        <f t="shared" si="91"/>
        <v>852.35140789435297</v>
      </c>
      <c r="N170" s="184">
        <f t="shared" si="91"/>
        <v>841.21233379909165</v>
      </c>
      <c r="O170" s="184">
        <f t="shared" si="91"/>
        <v>846.71251827952051</v>
      </c>
      <c r="P170" s="184">
        <f t="shared" si="91"/>
        <v>835.04656376621301</v>
      </c>
      <c r="Q170" s="184">
        <f t="shared" si="91"/>
        <v>812.55012209298388</v>
      </c>
      <c r="R170" s="184">
        <f t="shared" si="91"/>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0</v>
      </c>
    </row>
    <row r="172" spans="1:16383" s="91" customFormat="1" x14ac:dyDescent="0.2">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411.63333811412099</v>
      </c>
      <c r="M172" s="184">
        <f t="shared" si="92"/>
        <v>805.34054331442348</v>
      </c>
      <c r="N172" s="184">
        <f t="shared" si="92"/>
        <v>770.60740462392255</v>
      </c>
      <c r="O172" s="184">
        <f t="shared" si="92"/>
        <v>738.23116795952626</v>
      </c>
      <c r="P172" s="184">
        <f t="shared" si="92"/>
        <v>707.38308318986412</v>
      </c>
      <c r="Q172" s="184">
        <f t="shared" si="92"/>
        <v>677.82403141590385</v>
      </c>
      <c r="R172" s="184">
        <f t="shared" si="92"/>
        <v>0</v>
      </c>
      <c r="S172" s="92"/>
      <c r="T172" s="92"/>
      <c r="U172" s="92"/>
      <c r="V172" s="92"/>
      <c r="W172" s="92"/>
      <c r="X172" s="92"/>
      <c r="Y172" s="92"/>
      <c r="Z172" s="92"/>
    </row>
    <row r="173" spans="1:16383" s="91" customFormat="1" x14ac:dyDescent="0.2">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411.63333811412099</v>
      </c>
      <c r="M173" s="184">
        <f t="shared" si="92"/>
        <v>802.39305383651345</v>
      </c>
      <c r="N173" s="184">
        <f t="shared" si="92"/>
        <v>776.34732748490467</v>
      </c>
      <c r="O173" s="184">
        <f t="shared" si="92"/>
        <v>765.53753644784047</v>
      </c>
      <c r="P173" s="184">
        <f t="shared" si="92"/>
        <v>739.46131830229501</v>
      </c>
      <c r="Q173" s="184">
        <f t="shared" si="92"/>
        <v>704.74042705383761</v>
      </c>
      <c r="R173" s="184">
        <f t="shared" si="92"/>
        <v>0</v>
      </c>
      <c r="S173" s="92"/>
      <c r="T173" s="92"/>
      <c r="U173" s="92"/>
      <c r="V173" s="92"/>
      <c r="W173" s="92"/>
      <c r="X173" s="92"/>
      <c r="Y173" s="92"/>
      <c r="Z173" s="92"/>
    </row>
    <row r="174" spans="1:16383" s="91" customFormat="1" x14ac:dyDescent="0.2">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-2.9474894779100396</v>
      </c>
      <c r="N174" s="185">
        <f t="shared" si="93"/>
        <v>5.7399228609821193</v>
      </c>
      <c r="O174" s="185">
        <f t="shared" si="93"/>
        <v>27.306368488314206</v>
      </c>
      <c r="P174" s="185">
        <f t="shared" si="93"/>
        <v>32.078235112430889</v>
      </c>
      <c r="Q174" s="185">
        <f t="shared" si="93"/>
        <v>26.916395637933761</v>
      </c>
      <c r="R174" s="185">
        <f t="shared" si="93"/>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-2.9474894779100396</v>
      </c>
      <c r="N176" s="185">
        <f t="shared" si="94"/>
        <v>5.7399228609821193</v>
      </c>
      <c r="O176" s="185">
        <f t="shared" si="94"/>
        <v>27.306368488314206</v>
      </c>
      <c r="P176" s="185">
        <f t="shared" si="94"/>
        <v>32.078235112430889</v>
      </c>
      <c r="Q176" s="185">
        <f t="shared" si="94"/>
        <v>26.916395637933761</v>
      </c>
      <c r="R176" s="185">
        <f t="shared" si="94"/>
        <v>0</v>
      </c>
      <c r="S176" s="92"/>
      <c r="T176" s="92"/>
      <c r="U176" s="92"/>
      <c r="V176" s="92"/>
      <c r="W176" s="92"/>
      <c r="X176" s="92"/>
      <c r="Y176" s="92"/>
      <c r="Z176" s="92"/>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
      <c r="A178" s="272"/>
      <c r="B178" s="273"/>
      <c r="C178" s="274"/>
      <c r="D178" s="275"/>
      <c r="E178" s="34" t="s">
        <v>415</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26.916395637933761</v>
      </c>
      <c r="R178" s="271">
        <f t="shared" si="95"/>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401</v>
      </c>
      <c r="B180" s="50"/>
    </row>
    <row r="182" spans="1:26" s="91" customFormat="1" x14ac:dyDescent="0.2">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45.67257236114547</v>
      </c>
      <c r="N182" s="184">
        <f t="shared" si="96"/>
        <v>44.578672734624277</v>
      </c>
      <c r="O182" s="184">
        <f t="shared" si="96"/>
        <v>43.591945734790229</v>
      </c>
      <c r="P182" s="184">
        <f t="shared" si="96"/>
        <v>42.647569822391759</v>
      </c>
      <c r="Q182" s="184">
        <f t="shared" si="96"/>
        <v>41.723652869759455</v>
      </c>
      <c r="R182" s="184">
        <f t="shared" si="96"/>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16.428318061474616</v>
      </c>
      <c r="N183" s="184">
        <f t="shared" si="97"/>
        <v>16.034844909804562</v>
      </c>
      <c r="O183" s="184">
        <f t="shared" si="97"/>
        <v>15.679921502711585</v>
      </c>
      <c r="P183" s="184">
        <f t="shared" si="97"/>
        <v>15.340231683276851</v>
      </c>
      <c r="Q183" s="184">
        <f t="shared" si="97"/>
        <v>15.007900904090338</v>
      </c>
      <c r="R183" s="184">
        <f t="shared" si="97"/>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98">F$157</f>
        <v>0</v>
      </c>
      <c r="G184" s="184" t="str">
        <f t="shared" si="98"/>
        <v>£m</v>
      </c>
      <c r="H184" s="184">
        <f t="shared" si="98"/>
        <v>296.70563058406913</v>
      </c>
      <c r="I184" s="184">
        <f t="shared" si="98"/>
        <v>0</v>
      </c>
      <c r="J184" s="184">
        <f t="shared" si="98"/>
        <v>0</v>
      </c>
      <c r="K184" s="184">
        <f t="shared" si="98"/>
        <v>0</v>
      </c>
      <c r="L184" s="184">
        <f t="shared" si="98"/>
        <v>0</v>
      </c>
      <c r="M184" s="184">
        <f t="shared" si="98"/>
        <v>62.100890422620083</v>
      </c>
      <c r="N184" s="184">
        <f t="shared" si="98"/>
        <v>60.613517644428839</v>
      </c>
      <c r="O184" s="184">
        <f t="shared" si="98"/>
        <v>59.271867237501816</v>
      </c>
      <c r="P184" s="184">
        <f t="shared" si="98"/>
        <v>57.987801505668614</v>
      </c>
      <c r="Q184" s="184">
        <f t="shared" si="98"/>
        <v>56.731553773849797</v>
      </c>
      <c r="R184" s="184">
        <f t="shared" si="98"/>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45.505413973825831</v>
      </c>
      <c r="N185" s="184">
        <f t="shared" si="99"/>
        <v>44.910720079622969</v>
      </c>
      <c r="O185" s="184">
        <f t="shared" si="99"/>
        <v>45.204364425600687</v>
      </c>
      <c r="P185" s="184">
        <f t="shared" si="99"/>
        <v>44.581541392036016</v>
      </c>
      <c r="Q185" s="184">
        <f t="shared" si="99"/>
        <v>43.380499331452945</v>
      </c>
      <c r="R185" s="184">
        <f t="shared" si="99"/>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16.368191578301833</v>
      </c>
      <c r="N186" s="184">
        <f t="shared" si="100"/>
        <v>16.154281567586235</v>
      </c>
      <c r="O186" s="184">
        <f t="shared" si="100"/>
        <v>16.259904755930659</v>
      </c>
      <c r="P186" s="184">
        <f t="shared" si="100"/>
        <v>16.035876759204175</v>
      </c>
      <c r="Q186" s="184">
        <f t="shared" si="100"/>
        <v>15.603864723174137</v>
      </c>
      <c r="R186" s="184">
        <f t="shared" si="100"/>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01">F$108</f>
        <v>0</v>
      </c>
      <c r="G187" s="184" t="str">
        <f t="shared" si="101"/>
        <v>£m</v>
      </c>
      <c r="H187" s="184">
        <f t="shared" si="101"/>
        <v>304.0046585867355</v>
      </c>
      <c r="I187" s="184">
        <f t="shared" si="101"/>
        <v>0</v>
      </c>
      <c r="J187" s="184">
        <f t="shared" si="101"/>
        <v>0</v>
      </c>
      <c r="K187" s="184">
        <f t="shared" si="101"/>
        <v>0</v>
      </c>
      <c r="L187" s="184">
        <f t="shared" si="101"/>
        <v>0</v>
      </c>
      <c r="M187" s="184">
        <f t="shared" si="101"/>
        <v>61.873605552127664</v>
      </c>
      <c r="N187" s="184">
        <f t="shared" si="101"/>
        <v>61.065001647209201</v>
      </c>
      <c r="O187" s="184">
        <f t="shared" si="101"/>
        <v>61.46426918153135</v>
      </c>
      <c r="P187" s="184">
        <f t="shared" si="101"/>
        <v>60.617418151240187</v>
      </c>
      <c r="Q187" s="184">
        <f t="shared" si="101"/>
        <v>58.984364054627079</v>
      </c>
      <c r="R187" s="184">
        <f t="shared" si="101"/>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0</v>
      </c>
    </row>
    <row r="189" spans="1:26" s="91" customFormat="1" x14ac:dyDescent="0.2">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197.50316631025598</v>
      </c>
      <c r="I189" s="184"/>
      <c r="J189" s="184">
        <f t="shared" ref="J189:R194" si="105" xml:space="preserve"> IF(J$188 = 0, 0, J182 / J$188)</f>
        <v>0</v>
      </c>
      <c r="K189" s="184">
        <f t="shared" si="105"/>
        <v>0</v>
      </c>
      <c r="L189" s="184">
        <f t="shared" si="105"/>
        <v>0</v>
      </c>
      <c r="M189" s="185">
        <f t="shared" si="105"/>
        <v>42.995593688244384</v>
      </c>
      <c r="N189" s="184">
        <f t="shared" si="105"/>
        <v>41.141257741728936</v>
      </c>
      <c r="O189" s="184">
        <f t="shared" si="105"/>
        <v>39.412752293527078</v>
      </c>
      <c r="P189" s="184">
        <f t="shared" si="105"/>
        <v>37.765831956748393</v>
      </c>
      <c r="Q189" s="184">
        <f t="shared" si="105"/>
        <v>36.187730630007188</v>
      </c>
      <c r="R189" s="184">
        <f t="shared" si="105"/>
        <v>0</v>
      </c>
      <c r="S189" s="92"/>
      <c r="T189" s="92"/>
      <c r="U189" s="92"/>
      <c r="V189" s="92"/>
      <c r="W189" s="92"/>
      <c r="X189" s="92"/>
      <c r="Y189" s="92"/>
      <c r="Z189" s="92"/>
    </row>
    <row r="190" spans="1:26" s="91" customFormat="1" x14ac:dyDescent="0.2">
      <c r="A190" s="170"/>
      <c r="B190" s="165"/>
      <c r="C190" s="166"/>
      <c r="D190" s="171"/>
      <c r="E190" s="7" t="str">
        <f t="shared" si="102"/>
        <v>True up Nominal return- real</v>
      </c>
      <c r="F190" s="184"/>
      <c r="G190" s="184" t="str">
        <f t="shared" si="103"/>
        <v>£m</v>
      </c>
      <c r="H190" s="244">
        <f t="shared" si="104"/>
        <v>71.041429605429542</v>
      </c>
      <c r="I190" s="184"/>
      <c r="J190" s="184">
        <f t="shared" si="105"/>
        <v>0</v>
      </c>
      <c r="K190" s="184">
        <f t="shared" si="105"/>
        <v>0</v>
      </c>
      <c r="L190" s="184">
        <f t="shared" si="105"/>
        <v>0</v>
      </c>
      <c r="M190" s="185">
        <f t="shared" si="105"/>
        <v>15.46541505845444</v>
      </c>
      <c r="N190" s="184">
        <f xml:space="preserve"> IF(N$188 = 0, 0, N183 / N$188)</f>
        <v>14.79841473096473</v>
      </c>
      <c r="O190" s="184">
        <f t="shared" si="105"/>
        <v>14.176675341085103</v>
      </c>
      <c r="P190" s="184">
        <f t="shared" si="105"/>
        <v>13.584281926048812</v>
      </c>
      <c r="Q190" s="184">
        <f t="shared" si="105"/>
        <v>13.016642548876463</v>
      </c>
      <c r="R190" s="184">
        <f t="shared" si="105"/>
        <v>0</v>
      </c>
      <c r="S190" s="92"/>
      <c r="T190" s="92"/>
      <c r="U190" s="92"/>
      <c r="V190" s="92"/>
      <c r="W190" s="92"/>
      <c r="X190" s="92"/>
      <c r="Y190" s="92"/>
      <c r="Z190" s="92"/>
    </row>
    <row r="191" spans="1:26" s="91" customFormat="1" x14ac:dyDescent="0.2">
      <c r="A191" s="170"/>
      <c r="B191" s="165"/>
      <c r="C191" s="166"/>
      <c r="D191" s="171"/>
      <c r="E191" s="7" t="str">
        <f t="shared" si="102"/>
        <v>Total True up Nominal revenue to company- real</v>
      </c>
      <c r="F191" s="184"/>
      <c r="G191" s="184" t="str">
        <f t="shared" si="103"/>
        <v>£m</v>
      </c>
      <c r="H191" s="244">
        <f t="shared" si="104"/>
        <v>268.54459591568553</v>
      </c>
      <c r="I191" s="184"/>
      <c r="J191" s="184">
        <f t="shared" si="105"/>
        <v>0</v>
      </c>
      <c r="K191" s="184">
        <f t="shared" si="105"/>
        <v>0</v>
      </c>
      <c r="L191" s="184">
        <f t="shared" si="105"/>
        <v>0</v>
      </c>
      <c r="M191" s="185">
        <f t="shared" si="105"/>
        <v>58.461008746698816</v>
      </c>
      <c r="N191" s="184">
        <f t="shared" si="105"/>
        <v>55.939672472693665</v>
      </c>
      <c r="O191" s="184">
        <f t="shared" si="105"/>
        <v>53.589427634612179</v>
      </c>
      <c r="P191" s="184">
        <f t="shared" si="105"/>
        <v>51.35011388279721</v>
      </c>
      <c r="Q191" s="184">
        <f t="shared" si="105"/>
        <v>49.204373178883657</v>
      </c>
      <c r="R191" s="184">
        <f t="shared" si="105"/>
        <v>0</v>
      </c>
      <c r="S191" s="92"/>
      <c r="T191" s="92"/>
      <c r="U191" s="92"/>
      <c r="V191" s="92"/>
      <c r="W191" s="92"/>
      <c r="X191" s="92"/>
      <c r="Y191" s="92"/>
      <c r="Z191" s="92"/>
    </row>
    <row r="192" spans="1:26" s="91" customFormat="1" x14ac:dyDescent="0.2">
      <c r="A192" s="170"/>
      <c r="B192" s="165"/>
      <c r="C192" s="166"/>
      <c r="D192" s="171"/>
      <c r="E192" s="7" t="str">
        <f t="shared" si="102"/>
        <v>RCV run-off company should have received- real</v>
      </c>
      <c r="F192" s="184"/>
      <c r="G192" s="184" t="str">
        <f t="shared" si="103"/>
        <v>£m</v>
      </c>
      <c r="H192" s="244">
        <f t="shared" si="104"/>
        <v>202.25969454057531</v>
      </c>
      <c r="I192" s="184"/>
      <c r="J192" s="184">
        <f t="shared" si="105"/>
        <v>0</v>
      </c>
      <c r="K192" s="184">
        <f t="shared" si="105"/>
        <v>0</v>
      </c>
      <c r="L192" s="184">
        <f t="shared" si="105"/>
        <v>0</v>
      </c>
      <c r="M192" s="185">
        <f t="shared" si="105"/>
        <v>42.83823285369477</v>
      </c>
      <c r="N192" s="184">
        <f t="shared" si="105"/>
        <v>41.44770126202777</v>
      </c>
      <c r="O192" s="184">
        <f t="shared" si="105"/>
        <v>40.870587161486355</v>
      </c>
      <c r="P192" s="184">
        <f t="shared" si="105"/>
        <v>39.478427671169754</v>
      </c>
      <c r="Q192" s="184">
        <f t="shared" si="105"/>
        <v>37.624745592196675</v>
      </c>
      <c r="R192" s="184">
        <f t="shared" si="105"/>
        <v>0</v>
      </c>
      <c r="S192" s="92"/>
      <c r="T192" s="92"/>
      <c r="U192" s="92"/>
      <c r="V192" s="92"/>
      <c r="W192" s="92"/>
      <c r="X192" s="92"/>
      <c r="Y192" s="92"/>
      <c r="Z192" s="92"/>
    </row>
    <row r="193" spans="1:26" s="91" customFormat="1" x14ac:dyDescent="0.2">
      <c r="A193" s="170"/>
      <c r="B193" s="165"/>
      <c r="C193" s="166"/>
      <c r="D193" s="171"/>
      <c r="E193" s="7" t="str">
        <f t="shared" si="102"/>
        <v>Nominal return company should have received- real</v>
      </c>
      <c r="F193" s="184"/>
      <c r="G193" s="184" t="str">
        <f t="shared" si="103"/>
        <v>£m</v>
      </c>
      <c r="H193" s="244">
        <f t="shared" si="104"/>
        <v>72.752341748020967</v>
      </c>
      <c r="I193" s="184"/>
      <c r="J193" s="184">
        <f t="shared" si="105"/>
        <v>0</v>
      </c>
      <c r="K193" s="184">
        <f t="shared" si="105"/>
        <v>0</v>
      </c>
      <c r="L193" s="184">
        <f t="shared" si="105"/>
        <v>0</v>
      </c>
      <c r="M193" s="185">
        <f t="shared" si="105"/>
        <v>15.408812732227696</v>
      </c>
      <c r="N193" s="184">
        <f t="shared" si="105"/>
        <v>14.90864175254651</v>
      </c>
      <c r="O193" s="184">
        <f t="shared" si="105"/>
        <v>14.701055152727097</v>
      </c>
      <c r="P193" s="184">
        <f t="shared" si="105"/>
        <v>14.200298621687519</v>
      </c>
      <c r="Q193" s="184">
        <f t="shared" si="105"/>
        <v>13.533533488832154</v>
      </c>
      <c r="R193" s="184">
        <f t="shared" si="105"/>
        <v>0</v>
      </c>
      <c r="S193" s="92"/>
      <c r="T193" s="92"/>
      <c r="U193" s="92"/>
      <c r="V193" s="92"/>
      <c r="W193" s="92"/>
      <c r="X193" s="92"/>
      <c r="Y193" s="92"/>
      <c r="Z193" s="92"/>
    </row>
    <row r="194" spans="1:26" s="91" customFormat="1" x14ac:dyDescent="0.2">
      <c r="A194" s="170"/>
      <c r="B194" s="165"/>
      <c r="C194" s="166"/>
      <c r="D194" s="171"/>
      <c r="E194" s="7" t="str">
        <f t="shared" si="102"/>
        <v>Total nominal revenue company should have received- real</v>
      </c>
      <c r="F194" s="184"/>
      <c r="G194" s="184" t="str">
        <f t="shared" si="103"/>
        <v>£m</v>
      </c>
      <c r="H194" s="244">
        <f t="shared" si="104"/>
        <v>275.01203628859628</v>
      </c>
      <c r="I194" s="184"/>
      <c r="J194" s="184">
        <f t="shared" si="105"/>
        <v>0</v>
      </c>
      <c r="K194" s="184">
        <f t="shared" si="105"/>
        <v>0</v>
      </c>
      <c r="L194" s="184">
        <f t="shared" si="105"/>
        <v>0</v>
      </c>
      <c r="M194" s="185">
        <f t="shared" si="105"/>
        <v>58.247045585922464</v>
      </c>
      <c r="N194" s="184">
        <f t="shared" si="105"/>
        <v>56.356343014574271</v>
      </c>
      <c r="O194" s="184">
        <f t="shared" si="105"/>
        <v>55.571642314213449</v>
      </c>
      <c r="P194" s="184">
        <f t="shared" si="105"/>
        <v>53.67872629285727</v>
      </c>
      <c r="Q194" s="184">
        <f t="shared" si="105"/>
        <v>51.158279081028823</v>
      </c>
      <c r="R194" s="184">
        <f t="shared" si="105"/>
        <v>0</v>
      </c>
      <c r="S194" s="92"/>
      <c r="T194" s="92"/>
      <c r="U194" s="92"/>
      <c r="V194" s="92"/>
      <c r="W194" s="92"/>
      <c r="X194" s="92"/>
      <c r="Y194" s="92"/>
      <c r="Z194" s="92"/>
    </row>
    <row r="196" spans="1:26" x14ac:dyDescent="0.2">
      <c r="E196" s="7" t="str">
        <f>E$189</f>
        <v>True up Nominal RCV run-off- real</v>
      </c>
      <c r="F196" s="184">
        <f t="shared" ref="F196:R196" si="106">F$189</f>
        <v>0</v>
      </c>
      <c r="G196" s="7" t="str">
        <f t="shared" si="106"/>
        <v>£m</v>
      </c>
      <c r="H196" s="247">
        <f t="shared" si="106"/>
        <v>197.50316631025598</v>
      </c>
      <c r="I196" s="247">
        <f t="shared" si="106"/>
        <v>0</v>
      </c>
      <c r="J196" s="184">
        <f t="shared" si="106"/>
        <v>0</v>
      </c>
      <c r="K196" s="184">
        <f t="shared" si="106"/>
        <v>0</v>
      </c>
      <c r="L196" s="184">
        <f t="shared" si="106"/>
        <v>0</v>
      </c>
      <c r="M196" s="185">
        <f t="shared" si="106"/>
        <v>42.995593688244384</v>
      </c>
      <c r="N196" s="184">
        <f t="shared" si="106"/>
        <v>41.141257741728936</v>
      </c>
      <c r="O196" s="184">
        <f t="shared" si="106"/>
        <v>39.412752293527078</v>
      </c>
      <c r="P196" s="184">
        <f t="shared" si="106"/>
        <v>37.765831956748393</v>
      </c>
      <c r="Q196" s="184">
        <f t="shared" si="106"/>
        <v>36.187730630007188</v>
      </c>
      <c r="R196" s="184">
        <f t="shared" si="106"/>
        <v>0</v>
      </c>
    </row>
    <row r="197" spans="1:26" x14ac:dyDescent="0.2">
      <c r="E197" s="7" t="str">
        <f>E$192</f>
        <v>RCV run-off company should have received- real</v>
      </c>
      <c r="F197" s="184">
        <f t="shared" ref="F197:R197" si="107">F$192</f>
        <v>0</v>
      </c>
      <c r="G197" s="7" t="str">
        <f t="shared" si="107"/>
        <v>£m</v>
      </c>
      <c r="H197" s="247">
        <f t="shared" si="107"/>
        <v>202.25969454057531</v>
      </c>
      <c r="I197" s="247">
        <f t="shared" si="107"/>
        <v>0</v>
      </c>
      <c r="J197" s="184">
        <f t="shared" si="107"/>
        <v>0</v>
      </c>
      <c r="K197" s="184">
        <f t="shared" si="107"/>
        <v>0</v>
      </c>
      <c r="L197" s="184">
        <f t="shared" si="107"/>
        <v>0</v>
      </c>
      <c r="M197" s="185">
        <f t="shared" si="107"/>
        <v>42.83823285369477</v>
      </c>
      <c r="N197" s="184">
        <f t="shared" si="107"/>
        <v>41.44770126202777</v>
      </c>
      <c r="O197" s="184">
        <f t="shared" si="107"/>
        <v>40.870587161486355</v>
      </c>
      <c r="P197" s="184">
        <f t="shared" si="107"/>
        <v>39.478427671169754</v>
      </c>
      <c r="Q197" s="184">
        <f t="shared" si="107"/>
        <v>37.624745592196675</v>
      </c>
      <c r="R197" s="184">
        <f t="shared" si="107"/>
        <v>0</v>
      </c>
    </row>
    <row r="198" spans="1:26" x14ac:dyDescent="0.2">
      <c r="C198" s="278"/>
      <c r="E198" s="7" t="s">
        <v>402</v>
      </c>
      <c r="G198" s="7" t="s">
        <v>235</v>
      </c>
      <c r="H198" s="185">
        <f xml:space="preserve"> SUM(J198:R198)</f>
        <v>4.756528230319347</v>
      </c>
      <c r="I198" s="185"/>
      <c r="J198" s="184">
        <f t="shared" ref="J198:K198" si="108">J197-J196</f>
        <v>0</v>
      </c>
      <c r="K198" s="184">
        <f t="shared" si="108"/>
        <v>0</v>
      </c>
      <c r="L198" s="184">
        <f>L197-L196</f>
        <v>0</v>
      </c>
      <c r="M198" s="185">
        <f>M197-M196</f>
        <v>-0.15736083454961403</v>
      </c>
      <c r="N198" s="184">
        <f t="shared" ref="N198:R198" si="109">N197-N196</f>
        <v>0.30644352029883493</v>
      </c>
      <c r="O198" s="184">
        <f t="shared" si="109"/>
        <v>1.4578348679592779</v>
      </c>
      <c r="P198" s="184">
        <f t="shared" si="109"/>
        <v>1.7125957144213615</v>
      </c>
      <c r="Q198" s="184">
        <f t="shared" si="109"/>
        <v>1.4370149621894868</v>
      </c>
      <c r="R198" s="184">
        <f t="shared" si="109"/>
        <v>0</v>
      </c>
    </row>
    <row r="200" spans="1:26" x14ac:dyDescent="0.2">
      <c r="E200" s="7" t="str">
        <f>E$190</f>
        <v>True up Nominal return- real</v>
      </c>
      <c r="F200" s="184">
        <f t="shared" ref="F200:R200" si="110">F$190</f>
        <v>0</v>
      </c>
      <c r="G200" s="7" t="str">
        <f t="shared" si="110"/>
        <v>£m</v>
      </c>
      <c r="H200" s="247">
        <f t="shared" si="110"/>
        <v>71.041429605429542</v>
      </c>
      <c r="I200" s="247">
        <f t="shared" si="110"/>
        <v>0</v>
      </c>
      <c r="J200" s="184">
        <f t="shared" si="110"/>
        <v>0</v>
      </c>
      <c r="K200" s="184">
        <f t="shared" si="110"/>
        <v>0</v>
      </c>
      <c r="L200" s="184">
        <f t="shared" si="110"/>
        <v>0</v>
      </c>
      <c r="M200" s="185">
        <f t="shared" si="110"/>
        <v>15.46541505845444</v>
      </c>
      <c r="N200" s="184">
        <f t="shared" si="110"/>
        <v>14.79841473096473</v>
      </c>
      <c r="O200" s="184">
        <f t="shared" si="110"/>
        <v>14.176675341085103</v>
      </c>
      <c r="P200" s="184">
        <f t="shared" si="110"/>
        <v>13.584281926048812</v>
      </c>
      <c r="Q200" s="184">
        <f t="shared" si="110"/>
        <v>13.016642548876463</v>
      </c>
      <c r="R200" s="184">
        <f t="shared" si="110"/>
        <v>0</v>
      </c>
    </row>
    <row r="201" spans="1:26" x14ac:dyDescent="0.2">
      <c r="E201" s="7" t="str">
        <f>E$193</f>
        <v>Nominal return company should have received- real</v>
      </c>
      <c r="F201" s="184">
        <f t="shared" ref="F201:R201" si="111">F$193</f>
        <v>0</v>
      </c>
      <c r="G201" s="7" t="str">
        <f t="shared" si="111"/>
        <v>£m</v>
      </c>
      <c r="H201" s="247">
        <f t="shared" si="111"/>
        <v>72.752341748020967</v>
      </c>
      <c r="I201" s="247">
        <f t="shared" si="111"/>
        <v>0</v>
      </c>
      <c r="J201" s="184">
        <f t="shared" si="111"/>
        <v>0</v>
      </c>
      <c r="K201" s="184">
        <f t="shared" si="111"/>
        <v>0</v>
      </c>
      <c r="L201" s="184">
        <f t="shared" si="111"/>
        <v>0</v>
      </c>
      <c r="M201" s="185">
        <f t="shared" si="111"/>
        <v>15.408812732227696</v>
      </c>
      <c r="N201" s="184">
        <f t="shared" si="111"/>
        <v>14.90864175254651</v>
      </c>
      <c r="O201" s="184">
        <f t="shared" si="111"/>
        <v>14.701055152727097</v>
      </c>
      <c r="P201" s="184">
        <f t="shared" si="111"/>
        <v>14.200298621687519</v>
      </c>
      <c r="Q201" s="184">
        <f t="shared" si="111"/>
        <v>13.533533488832154</v>
      </c>
      <c r="R201" s="184">
        <f t="shared" si="111"/>
        <v>0</v>
      </c>
    </row>
    <row r="202" spans="1:26" x14ac:dyDescent="0.2">
      <c r="C202" s="278"/>
      <c r="E202" s="7" t="s">
        <v>403</v>
      </c>
      <c r="G202" s="7" t="s">
        <v>235</v>
      </c>
      <c r="H202" s="185">
        <f xml:space="preserve"> SUM(J202:R202)</f>
        <v>1.7109121425914289</v>
      </c>
      <c r="I202" s="185"/>
      <c r="J202" s="184">
        <f t="shared" ref="J202:K202" si="112">J201-J200</f>
        <v>0</v>
      </c>
      <c r="K202" s="184">
        <f t="shared" si="112"/>
        <v>0</v>
      </c>
      <c r="L202" s="184">
        <f>L201-L200</f>
        <v>0</v>
      </c>
      <c r="M202" s="185">
        <f>M201-M200</f>
        <v>-5.6602326226743216E-2</v>
      </c>
      <c r="N202" s="184">
        <f t="shared" ref="N202:R202" si="113">N201-N200</f>
        <v>0.11022702158177999</v>
      </c>
      <c r="O202" s="184">
        <f>O201-O200</f>
        <v>0.52437981164199421</v>
      </c>
      <c r="P202" s="184">
        <f t="shared" si="113"/>
        <v>0.61601669563870765</v>
      </c>
      <c r="Q202" s="184">
        <f t="shared" si="113"/>
        <v>0.51689093995569024</v>
      </c>
      <c r="R202" s="184">
        <f t="shared" si="113"/>
        <v>0</v>
      </c>
    </row>
    <row r="204" spans="1:26" x14ac:dyDescent="0.2">
      <c r="E204" s="7" t="str">
        <f>E$191</f>
        <v>Total True up Nominal revenue to company- real</v>
      </c>
      <c r="F204" s="184">
        <f t="shared" ref="F204:R204" si="114">F$191</f>
        <v>0</v>
      </c>
      <c r="G204" s="7" t="str">
        <f t="shared" si="114"/>
        <v>£m</v>
      </c>
      <c r="H204" s="247">
        <f t="shared" si="114"/>
        <v>268.54459591568553</v>
      </c>
      <c r="I204" s="247"/>
      <c r="J204" s="184">
        <f t="shared" si="114"/>
        <v>0</v>
      </c>
      <c r="K204" s="184">
        <f t="shared" si="114"/>
        <v>0</v>
      </c>
      <c r="L204" s="184">
        <f t="shared" si="114"/>
        <v>0</v>
      </c>
      <c r="M204" s="185">
        <f t="shared" si="114"/>
        <v>58.461008746698816</v>
      </c>
      <c r="N204" s="184">
        <f t="shared" si="114"/>
        <v>55.939672472693665</v>
      </c>
      <c r="O204" s="184">
        <f t="shared" si="114"/>
        <v>53.589427634612179</v>
      </c>
      <c r="P204" s="184">
        <f t="shared" si="114"/>
        <v>51.35011388279721</v>
      </c>
      <c r="Q204" s="184">
        <f t="shared" si="114"/>
        <v>49.204373178883657</v>
      </c>
      <c r="R204" s="184">
        <f t="shared" si="114"/>
        <v>0</v>
      </c>
    </row>
    <row r="205" spans="1:26" x14ac:dyDescent="0.2">
      <c r="E205" s="7" t="str">
        <f>E$194</f>
        <v>Total nominal revenue company should have received- real</v>
      </c>
      <c r="F205" s="184">
        <f t="shared" ref="F205:R205" si="115">F$194</f>
        <v>0</v>
      </c>
      <c r="G205" s="7" t="str">
        <f t="shared" si="115"/>
        <v>£m</v>
      </c>
      <c r="H205" s="247">
        <f t="shared" si="115"/>
        <v>275.01203628859628</v>
      </c>
      <c r="I205" s="247"/>
      <c r="J205" s="184">
        <f t="shared" si="115"/>
        <v>0</v>
      </c>
      <c r="K205" s="184">
        <f t="shared" si="115"/>
        <v>0</v>
      </c>
      <c r="L205" s="184">
        <f t="shared" si="115"/>
        <v>0</v>
      </c>
      <c r="M205" s="185">
        <f t="shared" si="115"/>
        <v>58.247045585922464</v>
      </c>
      <c r="N205" s="184">
        <f t="shared" si="115"/>
        <v>56.356343014574271</v>
      </c>
      <c r="O205" s="184">
        <f t="shared" si="115"/>
        <v>55.571642314213449</v>
      </c>
      <c r="P205" s="184">
        <f t="shared" si="115"/>
        <v>53.67872629285727</v>
      </c>
      <c r="Q205" s="184">
        <f t="shared" si="115"/>
        <v>51.158279081028823</v>
      </c>
      <c r="R205" s="184">
        <f t="shared" si="115"/>
        <v>0</v>
      </c>
    </row>
    <row r="206" spans="1:26" x14ac:dyDescent="0.2">
      <c r="C206" s="278"/>
      <c r="E206" s="7" t="s">
        <v>404</v>
      </c>
      <c r="G206" s="7" t="s">
        <v>235</v>
      </c>
      <c r="H206" s="185">
        <f xml:space="preserve"> SUM(J206:R206)</f>
        <v>6.467440372910751</v>
      </c>
      <c r="I206" s="185"/>
      <c r="J206" s="184">
        <f t="shared" ref="J206:K206" si="116">J205-J204</f>
        <v>0</v>
      </c>
      <c r="K206" s="184">
        <f t="shared" si="116"/>
        <v>0</v>
      </c>
      <c r="L206" s="184">
        <f>L205-L204</f>
        <v>0</v>
      </c>
      <c r="M206" s="185">
        <f>M205-M204</f>
        <v>-0.21396316077635191</v>
      </c>
      <c r="N206" s="184">
        <f t="shared" ref="N206:R206" si="117">N205-N204</f>
        <v>0.41667054188060604</v>
      </c>
      <c r="O206" s="184">
        <f t="shared" si="117"/>
        <v>1.9822146796012703</v>
      </c>
      <c r="P206" s="184">
        <f t="shared" si="117"/>
        <v>2.3286124100600603</v>
      </c>
      <c r="Q206" s="184">
        <f t="shared" si="117"/>
        <v>1.9539059021451664</v>
      </c>
      <c r="R206" s="184">
        <f t="shared" si="117"/>
        <v>0</v>
      </c>
    </row>
    <row r="208" spans="1:26" x14ac:dyDescent="0.2">
      <c r="B208" s="61" t="s">
        <v>405</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2.9195763820156317E-2</v>
      </c>
      <c r="N210" s="205">
        <f>InpR!N$110</f>
        <v>2.9195763820156317E-2</v>
      </c>
      <c r="O210" s="205">
        <f>InpR!O$110</f>
        <v>2.9195763820156317E-2</v>
      </c>
      <c r="P210" s="205">
        <f>InpR!P$110</f>
        <v>2.9195763820156317E-2</v>
      </c>
      <c r="Q210" s="205">
        <f>InpR!Q$110</f>
        <v>2.9195763820156317E-2</v>
      </c>
      <c r="R210" s="205">
        <f>InpR!R$110</f>
        <v>0</v>
      </c>
    </row>
    <row r="211" spans="1:18" x14ac:dyDescent="0.2">
      <c r="E211" s="7" t="s">
        <v>406</v>
      </c>
      <c r="G211" s="7" t="s">
        <v>407</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
      <c r="B213" s="61" t="s">
        <v>408</v>
      </c>
    </row>
    <row r="214" spans="1:18" x14ac:dyDescent="0.2">
      <c r="E214" s="7" t="str">
        <f>E$198</f>
        <v>Value of True up run-off - real</v>
      </c>
      <c r="F214" s="184">
        <f t="shared" ref="F214:R214" si="119">F$198</f>
        <v>0</v>
      </c>
      <c r="G214" s="7" t="str">
        <f t="shared" si="119"/>
        <v>£m</v>
      </c>
      <c r="H214" s="247">
        <f t="shared" si="119"/>
        <v>4.756528230319347</v>
      </c>
      <c r="I214" s="247">
        <f t="shared" si="119"/>
        <v>0</v>
      </c>
      <c r="J214" s="184">
        <f t="shared" si="119"/>
        <v>0</v>
      </c>
      <c r="K214" s="184">
        <f t="shared" si="119"/>
        <v>0</v>
      </c>
      <c r="L214" s="184">
        <f t="shared" si="119"/>
        <v>0</v>
      </c>
      <c r="M214" s="185">
        <f t="shared" si="119"/>
        <v>-0.15736083454961403</v>
      </c>
      <c r="N214" s="184">
        <f t="shared" si="119"/>
        <v>0.30644352029883493</v>
      </c>
      <c r="O214" s="184">
        <f t="shared" si="119"/>
        <v>1.4578348679592779</v>
      </c>
      <c r="P214" s="184">
        <f t="shared" si="119"/>
        <v>1.7125957144213615</v>
      </c>
      <c r="Q214" s="184">
        <f t="shared" si="119"/>
        <v>1.4370149621894868</v>
      </c>
      <c r="R214" s="184">
        <f t="shared" si="119"/>
        <v>0</v>
      </c>
    </row>
    <row r="215" spans="1:18" x14ac:dyDescent="0.2">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
      <c r="A216" s="265"/>
      <c r="B216" s="266"/>
      <c r="C216" s="267"/>
      <c r="D216" s="268"/>
      <c r="E216" s="34" t="s">
        <v>416</v>
      </c>
      <c r="G216" s="34" t="s">
        <v>235</v>
      </c>
      <c r="H216" s="271">
        <f xml:space="preserve"> SUM(J216:R216)</f>
        <v>4.9013307805942556</v>
      </c>
      <c r="J216" s="271">
        <f xml:space="preserve"> J214 * J215</f>
        <v>0</v>
      </c>
      <c r="K216" s="271">
        <f t="shared" ref="K216:R216" si="121" xml:space="preserve"> K214 * K215</f>
        <v>0</v>
      </c>
      <c r="L216" s="271">
        <f t="shared" si="121"/>
        <v>0</v>
      </c>
      <c r="M216" s="277">
        <f t="shared" si="121"/>
        <v>-0.1765584916996773</v>
      </c>
      <c r="N216" s="271">
        <f t="shared" si="121"/>
        <v>0.33407533504871545</v>
      </c>
      <c r="O216" s="271">
        <f t="shared" si="121"/>
        <v>1.5442027206367115</v>
      </c>
      <c r="P216" s="271">
        <f t="shared" si="121"/>
        <v>1.7625962544190195</v>
      </c>
      <c r="Q216" s="271">
        <f t="shared" si="121"/>
        <v>1.4370149621894868</v>
      </c>
      <c r="R216" s="271">
        <f t="shared" si="121"/>
        <v>0</v>
      </c>
    </row>
    <row r="218" spans="1:18" x14ac:dyDescent="0.2">
      <c r="B218" s="61" t="s">
        <v>410</v>
      </c>
    </row>
    <row r="219" spans="1:18" x14ac:dyDescent="0.2">
      <c r="E219" s="7" t="str">
        <f>E202</f>
        <v>Value of True up return - real</v>
      </c>
      <c r="F219" s="184">
        <f t="shared" ref="F219:R219" si="122">F202</f>
        <v>0</v>
      </c>
      <c r="G219" s="7" t="str">
        <f t="shared" si="122"/>
        <v>£m</v>
      </c>
      <c r="H219" s="247">
        <f t="shared" si="122"/>
        <v>1.7109121425914289</v>
      </c>
      <c r="I219" s="247">
        <f t="shared" si="122"/>
        <v>0</v>
      </c>
      <c r="J219" s="184">
        <f t="shared" si="122"/>
        <v>0</v>
      </c>
      <c r="K219" s="184">
        <f t="shared" si="122"/>
        <v>0</v>
      </c>
      <c r="L219" s="184">
        <f t="shared" si="122"/>
        <v>0</v>
      </c>
      <c r="M219" s="185">
        <f t="shared" si="122"/>
        <v>-5.6602326226743216E-2</v>
      </c>
      <c r="N219" s="184">
        <f t="shared" si="122"/>
        <v>0.11022702158177999</v>
      </c>
      <c r="O219" s="184">
        <f t="shared" si="122"/>
        <v>0.52437981164199421</v>
      </c>
      <c r="P219" s="184">
        <f t="shared" si="122"/>
        <v>0.61601669563870765</v>
      </c>
      <c r="Q219" s="184">
        <f t="shared" si="122"/>
        <v>0.51689093995569024</v>
      </c>
      <c r="R219" s="184">
        <f t="shared" si="122"/>
        <v>0</v>
      </c>
    </row>
    <row r="220" spans="1:18" x14ac:dyDescent="0.2">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
      <c r="A221" s="265"/>
      <c r="B221" s="266"/>
      <c r="C221" s="267"/>
      <c r="D221" s="268"/>
      <c r="E221" s="34" t="s">
        <v>417</v>
      </c>
      <c r="G221" s="34" t="s">
        <v>235</v>
      </c>
      <c r="H221" s="271">
        <f xml:space="preserve"> SUM(J221:R221)</f>
        <v>1.7629972831702991</v>
      </c>
      <c r="J221" s="271">
        <f xml:space="preserve"> J219 * J220</f>
        <v>0</v>
      </c>
      <c r="K221" s="271">
        <f t="shared" ref="K221:M221" si="124" xml:space="preserve"> K219 * K220</f>
        <v>0</v>
      </c>
      <c r="L221" s="271">
        <f t="shared" si="124"/>
        <v>0</v>
      </c>
      <c r="M221" s="277">
        <f t="shared" si="124"/>
        <v>-6.3507678857257194E-2</v>
      </c>
      <c r="N221" s="271">
        <f xml:space="preserve"> N219 * N220</f>
        <v>0.12016612108634343</v>
      </c>
      <c r="O221" s="271">
        <f t="shared" ref="O221:R221" si="125" xml:space="preserve"> O219 * O220</f>
        <v>0.55544612739167432</v>
      </c>
      <c r="P221" s="271">
        <f t="shared" si="125"/>
        <v>0.63400177359384846</v>
      </c>
      <c r="Q221" s="271">
        <f t="shared" si="125"/>
        <v>0.51689093995569024</v>
      </c>
      <c r="R221" s="271">
        <f t="shared" si="125"/>
        <v>0</v>
      </c>
    </row>
    <row r="223" spans="1:18" x14ac:dyDescent="0.2">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7e6900f-9760-4350-a8b4-c1abd6f9ab61">
      <Terms xmlns="http://schemas.microsoft.com/office/infopath/2007/PartnerControls"/>
    </lcf76f155ced4ddcb4097134ff3c332f>
    <TaxCatchAll xmlns="b5908f9a-e103-42c4-a924-ee3ceb127a41" xsi:nil="true"/>
    <Comment xmlns="f7e6900f-9760-4350-a8b4-c1abd6f9ab61">Clean</Comment>
    <Checked xmlns="f7e6900f-9760-4350-a8b4-c1abd6f9ab61">Checked</Check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EF82E880D04449A25C57CEF3CC806C" ma:contentTypeVersion="15" ma:contentTypeDescription="Create a new document." ma:contentTypeScope="" ma:versionID="d071bfc446c518f8b036a63c2d928cd8">
  <xsd:schema xmlns:xsd="http://www.w3.org/2001/XMLSchema" xmlns:xs="http://www.w3.org/2001/XMLSchema" xmlns:p="http://schemas.microsoft.com/office/2006/metadata/properties" xmlns:ns2="f7e6900f-9760-4350-a8b4-c1abd6f9ab61" xmlns:ns3="b5908f9a-e103-42c4-a924-ee3ceb127a41" targetNamespace="http://schemas.microsoft.com/office/2006/metadata/properties" ma:root="true" ma:fieldsID="1f3cbc6b744b5b068e57f5ae4e7e6e5f" ns2:_="" ns3:_="">
    <xsd:import namespace="f7e6900f-9760-4350-a8b4-c1abd6f9ab61"/>
    <xsd:import namespace="b5908f9a-e103-42c4-a924-ee3ceb127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Comment" minOccurs="0"/>
                <xsd:element ref="ns2:Che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6900f-9760-4350-a8b4-c1abd6f9a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Comment" ma:index="21" nillable="true" ma:displayName="Comment" ma:format="Dropdown" ma:internalName="Comment">
      <xsd:simpleType>
        <xsd:restriction base="dms:Text">
          <xsd:maxLength value="255"/>
        </xsd:restriction>
      </xsd:simpleType>
    </xsd:element>
    <xsd:element name="Checked" ma:index="22" nillable="true" ma:displayName="Checked" ma:format="Dropdown" ma:internalName="Checked">
      <xsd:simpleType>
        <xsd:restriction base="dms:Choice">
          <xsd:enumeration value="Checked"/>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b5908f9a-e103-42c4-a924-ee3ceb127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af915a9-6436-46e9-88fa-647946e9eb41}" ma:internalName="TaxCatchAll" ma:showField="CatchAllData" ma:web="b5908f9a-e103-42c4-a924-ee3ceb127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5F2D5-2104-455F-98C7-B26412ABD4EE}">
  <ds:schemaRefs>
    <ds:schemaRef ds:uri="http://schemas.microsoft.com/office/infopath/2007/PartnerControls"/>
    <ds:schemaRef ds:uri="http://schemas.microsoft.com/office/2006/documentManagement/types"/>
    <ds:schemaRef ds:uri="http://schemas.microsoft.com/office/2006/metadata/properties"/>
    <ds:schemaRef ds:uri="b5908f9a-e103-42c4-a924-ee3ceb127a41"/>
    <ds:schemaRef ds:uri="http://purl.org/dc/elements/1.1/"/>
    <ds:schemaRef ds:uri="http://schemas.openxmlformats.org/package/2006/metadata/core-properties"/>
    <ds:schemaRef ds:uri="http://purl.org/dc/terms/"/>
    <ds:schemaRef ds:uri="http://purl.org/dc/dcmitype/"/>
    <ds:schemaRef ds:uri="f7e6900f-9760-4350-a8b4-c1abd6f9ab61"/>
    <ds:schemaRef ds:uri="http://www.w3.org/XML/1998/namespace"/>
  </ds:schemaRefs>
</ds:datastoreItem>
</file>

<file path=customXml/itemProps2.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3.xml><?xml version="1.0" encoding="utf-8"?>
<ds:datastoreItem xmlns:ds="http://schemas.openxmlformats.org/officeDocument/2006/customXml" ds:itemID="{DDA62DA6-936A-4AC1-851E-BEF6D76B41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6900f-9760-4350-a8b4-c1abd6f9ab61"/>
    <ds:schemaRef ds:uri="b5908f9a-e103-42c4-a924-ee3ceb127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2024-08-27T18:32:05Z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0x0101002CEF82E880D04449A25C57CEF3CC806C</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SIP_Label_20ad2324-fd97-41a5-8822-ae85afc1f7c6_Enabled">
    <vt:lpwstr>true</vt:lpwstr>
  </property>
  <property fmtid="{D5CDD505-2E9C-101B-9397-08002B2CF9AE}" pid="19" name="MSIP_Label_20ad2324-fd97-41a5-8822-ae85afc1f7c6_SetDate">
    <vt:lpwstr>2024-04-09T08:15:50Z</vt:lpwstr>
  </property>
  <property fmtid="{D5CDD505-2E9C-101B-9397-08002B2CF9AE}" pid="20" name="MSIP_Label_20ad2324-fd97-41a5-8822-ae85afc1f7c6_Method">
    <vt:lpwstr>Standard</vt:lpwstr>
  </property>
  <property fmtid="{D5CDD505-2E9C-101B-9397-08002B2CF9AE}" pid="21" name="MSIP_Label_20ad2324-fd97-41a5-8822-ae85afc1f7c6_Name">
    <vt:lpwstr>Business_Sublabel</vt:lpwstr>
  </property>
  <property fmtid="{D5CDD505-2E9C-101B-9397-08002B2CF9AE}" pid="22" name="MSIP_Label_20ad2324-fd97-41a5-8822-ae85afc1f7c6_SiteId">
    <vt:lpwstr>25d26f64-e150-4587-8705-aefeb42a308c</vt:lpwstr>
  </property>
  <property fmtid="{D5CDD505-2E9C-101B-9397-08002B2CF9AE}" pid="23" name="MSIP_Label_20ad2324-fd97-41a5-8822-ae85afc1f7c6_ActionId">
    <vt:lpwstr>a403ed5e-9ba9-4f8b-aef4-3469a9055339</vt:lpwstr>
  </property>
  <property fmtid="{D5CDD505-2E9C-101B-9397-08002B2CF9AE}" pid="24" name="MSIP_Label_20ad2324-fd97-41a5-8822-ae85afc1f7c6_ContentBits">
    <vt:lpwstr>2</vt:lpwstr>
  </property>
  <property fmtid="{D5CDD505-2E9C-101B-9397-08002B2CF9AE}" pid="25" name="MediaServiceImageTags">
    <vt:lpwstr/>
  </property>
</Properties>
</file>